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guymo\Downloads\"/>
    </mc:Choice>
  </mc:AlternateContent>
  <xr:revisionPtr revIDLastSave="0" documentId="13_ncr:1_{175DEEB4-38A3-4006-9C23-6BCB4D2B8CBF}" xr6:coauthVersionLast="47" xr6:coauthVersionMax="47" xr10:uidLastSave="{00000000-0000-0000-0000-000000000000}"/>
  <bookViews>
    <workbookView xWindow="28680" yWindow="-3585" windowWidth="51840" windowHeight="21120" tabRatio="1000" activeTab="11" xr2:uid="{00000000-000D-0000-FFFF-FFFF00000000}"/>
  </bookViews>
  <sheets>
    <sheet name="General Information" sheetId="1" r:id="rId1"/>
    <sheet name="Dashboard" sheetId="2" r:id="rId2"/>
    <sheet name="Valuations" sheetId="3" r:id="rId3"/>
    <sheet name="VBA" sheetId="4" state="hidden" r:id="rId4"/>
    <sheet name="Scenarios" sheetId="5" r:id="rId5"/>
    <sheet name="Inputs" sheetId="6" r:id="rId6"/>
    <sheet name="Construction Timeline" sheetId="7" r:id="rId7"/>
    <sheet name="P&amp;L" sheetId="8" r:id="rId8"/>
    <sheet name="Balance Sheet" sheetId="9" r:id="rId9"/>
    <sheet name="Cashflow" sheetId="10" r:id="rId10"/>
    <sheet name="Debt" sheetId="11" r:id="rId11"/>
    <sheet name="Revenue Assumptions" sheetId="12" r:id="rId12"/>
    <sheet name="Expense Assumptions" sheetId="13" r:id="rId13"/>
    <sheet name="Calendar Assumptions" sheetId="14" r:id="rId14"/>
    <sheet name="Partnership Assumptions" sheetId="15" r:id="rId15"/>
    <sheet name="Legend" sheetId="16" r:id="rId16"/>
    <sheet name="GANTT – MASTER OPTIONS" sheetId="22" r:id="rId17"/>
    <sheet name="Timing" sheetId="17" r:id="rId18"/>
    <sheet name="Disclaimer" sheetId="18" r:id="rId19"/>
    <sheet name="Original Capex" sheetId="19" r:id="rId20"/>
    <sheet name="Model Audit Report" sheetId="20" r:id="rId21"/>
    <sheet name="Model Checks" sheetId="21" r:id="rId22"/>
  </sheets>
  <externalReferences>
    <externalReference r:id="rId23"/>
  </externalReferences>
  <definedNames>
    <definedName name="Construction_End_Date">Inputs!$E$19</definedName>
    <definedName name="Construction_Start_Date">Inputs!$E$18</definedName>
    <definedName name="GanttView">'GANTT – MASTER OPTIONS'!$C$3</definedName>
    <definedName name="Model_Start" localSheetId="15">[1]Inputs!$E$7</definedName>
    <definedName name="Model_start">Inputs!$E$9</definedName>
    <definedName name="Operations_Start_Date">Inputs!$E$22</definedName>
    <definedName name="_xlnm.Print_Area" localSheetId="8">'Balance Sheet'!$B$3:$S$47</definedName>
    <definedName name="_xlnm.Print_Area" localSheetId="13">'Calendar Assumptions'!$A$1:$R$85</definedName>
    <definedName name="_xlnm.Print_Area" localSheetId="9">Cashflow!$A$3:$O$72</definedName>
    <definedName name="_xlnm.Print_Area" localSheetId="6">'Construction Timeline'!$A$1:$AB$135</definedName>
    <definedName name="_xlnm.Print_Area" localSheetId="10">Debt!$A$3:$S$61</definedName>
    <definedName name="_xlnm.Print_Area" localSheetId="12">'Expense Assumptions'!$A$3:$BL$96</definedName>
    <definedName name="_xlnm.Print_Area" localSheetId="16">'GANTT – MASTER OPTIONS'!$B$1:$AL$23</definedName>
    <definedName name="_xlnm.Print_Area" localSheetId="0">'General Information'!$A$1:$A$17</definedName>
    <definedName name="_xlnm.Print_Area" localSheetId="5">Inputs!$A$3:$X$266</definedName>
    <definedName name="_xlnm.Print_Area" localSheetId="7">'P&amp;L'!$A$1:$S$135</definedName>
    <definedName name="_xlnm.Print_Area" localSheetId="14">'Partnership Assumptions'!$A$1:$T$51</definedName>
    <definedName name="_xlnm.Print_Area" localSheetId="11">'Revenue Assumptions'!$A$1:$P$183</definedName>
    <definedName name="_xlnm.Print_Area" localSheetId="4">Scenarios!$A$3:$L$25</definedName>
    <definedName name="_xlnm.Print_Area" localSheetId="17">Timing!$A$1:$EN$20</definedName>
    <definedName name="_xlnm.Print_Area" localSheetId="3">VBA!$A$1:$A$6</definedName>
    <definedName name="_xlnm.Print_Titles" localSheetId="8">'Balance Sheet'!$3:$5</definedName>
    <definedName name="_xlnm.Print_Titles" localSheetId="9">Cashflow!$3:$6</definedName>
    <definedName name="_xlnm.Print_Titles" localSheetId="10">Debt!$3:$8</definedName>
    <definedName name="_xlnm.Print_Titles" localSheetId="5">Inputs!$3:$26</definedName>
    <definedName name="_xlnm.Print_Titles" localSheetId="7">'P&amp;L'!$1:$9</definedName>
    <definedName name="_xlnm.Print_Titles" localSheetId="4">Scenarios!$3:$5</definedName>
    <definedName name="ProjectStart">MIN(#REF!)</definedName>
    <definedName name="RM_BaseEventDays">Inputs!$E$139</definedName>
    <definedName name="RM_EventDaysScale">Inputs!$E$276</definedName>
    <definedName name="RM_ExitMultiple">Inputs!$E$261</definedName>
    <definedName name="RM_HourlyRate">Inputs!$E$223</definedName>
    <definedName name="RM_IO_Months">Inputs!$E$57</definedName>
    <definedName name="RM_OutgoingsPct">Inputs!$E$36</definedName>
    <definedName name="RM_ShiftHours">Inputs!$E$224</definedName>
    <definedName name="RM_StaffPerEvent">Inputs!$E$222</definedName>
    <definedName name="RM_SustCapexPct">Inputs!$E$246</definedName>
    <definedName name="RM_TerminalGrowth">Inputs!$E$265</definedName>
    <definedName name="RM_VHA_Cap">Inputs!$E$146</definedName>
    <definedName name="RM_VHA_GBO_Fee">Inputs!$E$145</definedName>
    <definedName name="SelectedLevel">'GANTT – MASTER OPTIONS'!$C$7</definedName>
    <definedName name="ShowPhaseBands">'GANTT – MASTER OPTIONS'!$C$10</definedName>
    <definedName name="ShowToday">'GANTT – MASTER OPTIONS'!$C$9</definedName>
    <definedName name="TimeScaleSelection">'GANTT – MASTER OPTIONS'!$C$5</definedName>
    <definedName name="Total_Initial_Capex">'Construction Timeline'!$G$17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7" i="12" l="1"/>
  <c r="G37" i="12"/>
  <c r="H37" i="12"/>
  <c r="I37" i="12"/>
  <c r="J37" i="12"/>
  <c r="K37" i="12"/>
  <c r="L37" i="12"/>
  <c r="M37" i="12"/>
  <c r="N37" i="12"/>
  <c r="O37" i="12"/>
  <c r="F38" i="12"/>
  <c r="G38" i="12"/>
  <c r="H38" i="12"/>
  <c r="I38" i="12"/>
  <c r="J38" i="12"/>
  <c r="K38" i="12"/>
  <c r="L38" i="12"/>
  <c r="M38" i="12"/>
  <c r="N38" i="12"/>
  <c r="O38" i="12"/>
  <c r="F39" i="12"/>
  <c r="G39" i="12"/>
  <c r="H39" i="12"/>
  <c r="I39" i="12"/>
  <c r="J39" i="12"/>
  <c r="K39" i="12"/>
  <c r="L39" i="12"/>
  <c r="M39" i="12"/>
  <c r="N39" i="12"/>
  <c r="O39" i="12"/>
  <c r="F40" i="12"/>
  <c r="G40" i="12"/>
  <c r="H40" i="12"/>
  <c r="I40" i="12"/>
  <c r="J40" i="12"/>
  <c r="K40" i="12"/>
  <c r="L40" i="12"/>
  <c r="M40" i="12"/>
  <c r="N40" i="12"/>
  <c r="O40" i="12"/>
  <c r="F41" i="12"/>
  <c r="G41" i="12"/>
  <c r="H41" i="12"/>
  <c r="I41" i="12"/>
  <c r="J41" i="12"/>
  <c r="K41" i="12"/>
  <c r="L41" i="12"/>
  <c r="M41" i="12"/>
  <c r="N41" i="12"/>
  <c r="O41" i="12"/>
  <c r="F42" i="12"/>
  <c r="G42" i="12"/>
  <c r="H42" i="12"/>
  <c r="I42" i="12"/>
  <c r="J42" i="12"/>
  <c r="K42" i="12"/>
  <c r="L42" i="12"/>
  <c r="M42" i="12"/>
  <c r="N42" i="12"/>
  <c r="O42" i="12"/>
  <c r="F43" i="12"/>
  <c r="G43" i="12"/>
  <c r="H43" i="12"/>
  <c r="I43" i="12"/>
  <c r="J43" i="12"/>
  <c r="K43" i="12"/>
  <c r="L43" i="12"/>
  <c r="M43" i="12"/>
  <c r="N43" i="12"/>
  <c r="O43" i="12"/>
  <c r="F44" i="12"/>
  <c r="G44" i="12"/>
  <c r="H44" i="12"/>
  <c r="I44" i="12"/>
  <c r="J44" i="12"/>
  <c r="K44" i="12"/>
  <c r="L44" i="12"/>
  <c r="M44" i="12"/>
  <c r="N44" i="12"/>
  <c r="O44" i="12"/>
  <c r="F45" i="12"/>
  <c r="G45" i="12"/>
  <c r="H45" i="12"/>
  <c r="I45" i="12"/>
  <c r="J45" i="12"/>
  <c r="K45" i="12"/>
  <c r="L45" i="12"/>
  <c r="M45" i="12"/>
  <c r="N45" i="12"/>
  <c r="O45" i="12"/>
  <c r="F46" i="12"/>
  <c r="G46" i="12"/>
  <c r="H46" i="12"/>
  <c r="I46" i="12"/>
  <c r="J46" i="12"/>
  <c r="K46" i="12"/>
  <c r="L46" i="12"/>
  <c r="M46" i="12"/>
  <c r="N46" i="12"/>
  <c r="O46" i="12"/>
  <c r="F47" i="12"/>
  <c r="G47" i="12"/>
  <c r="H47" i="12"/>
  <c r="I47" i="12"/>
  <c r="J47" i="12"/>
  <c r="K47" i="12"/>
  <c r="L47" i="12"/>
  <c r="M47" i="12"/>
  <c r="N47" i="12"/>
  <c r="O47" i="12"/>
  <c r="P21" i="14"/>
  <c r="O21" i="14"/>
  <c r="N21" i="14"/>
  <c r="M21" i="14"/>
  <c r="L21" i="14"/>
  <c r="K21" i="14"/>
  <c r="J21" i="14"/>
  <c r="I21" i="14"/>
  <c r="H21" i="14"/>
  <c r="G21" i="14"/>
  <c r="F21" i="14"/>
  <c r="F5" i="14"/>
  <c r="D22" i="12"/>
  <c r="L20" i="8"/>
  <c r="M20" i="8"/>
  <c r="N20" i="8"/>
  <c r="O20" i="8"/>
  <c r="P20" i="8"/>
  <c r="Q20" i="8"/>
  <c r="R20" i="8"/>
  <c r="S20" i="8"/>
  <c r="K20" i="8"/>
  <c r="G72" i="14"/>
  <c r="D57" i="14"/>
  <c r="D58" i="14"/>
  <c r="D59" i="14"/>
  <c r="D60" i="14"/>
  <c r="D61" i="14"/>
  <c r="D62" i="14"/>
  <c r="D63" i="14"/>
  <c r="D64" i="14"/>
  <c r="D65" i="14"/>
  <c r="D66" i="14"/>
  <c r="D67" i="14"/>
  <c r="G41" i="14"/>
  <c r="D61" i="12"/>
  <c r="D60" i="12"/>
  <c r="D59" i="12"/>
  <c r="D58" i="12"/>
  <c r="D57" i="12"/>
  <c r="D56" i="12"/>
  <c r="D55" i="12"/>
  <c r="D54" i="12"/>
  <c r="D53" i="12"/>
  <c r="D52" i="12"/>
  <c r="D51" i="12"/>
  <c r="M49" i="12"/>
  <c r="F92" i="12"/>
  <c r="F91" i="12"/>
  <c r="F90" i="12"/>
  <c r="F84" i="12"/>
  <c r="F83" i="12"/>
  <c r="F85" i="12"/>
  <c r="F86" i="12"/>
  <c r="F87" i="12"/>
  <c r="F88" i="12"/>
  <c r="F89" i="12"/>
  <c r="F82" i="12"/>
  <c r="G179" i="12"/>
  <c r="H179" i="12"/>
  <c r="I179" i="12"/>
  <c r="J179" i="12"/>
  <c r="K179" i="12"/>
  <c r="L179" i="12"/>
  <c r="M179" i="12"/>
  <c r="N179" i="12"/>
  <c r="O179" i="12"/>
  <c r="F179" i="12"/>
  <c r="G164" i="12"/>
  <c r="H164" i="12"/>
  <c r="I164" i="12"/>
  <c r="J164" i="12"/>
  <c r="K164" i="12"/>
  <c r="L164" i="12"/>
  <c r="M164" i="12"/>
  <c r="N164" i="12"/>
  <c r="O164" i="12"/>
  <c r="F164" i="12"/>
  <c r="G145" i="12"/>
  <c r="H145" i="12"/>
  <c r="I145" i="12"/>
  <c r="J145" i="12"/>
  <c r="K145" i="12"/>
  <c r="L145" i="12"/>
  <c r="M145" i="12"/>
  <c r="N145" i="12"/>
  <c r="O145" i="12"/>
  <c r="F145" i="12"/>
  <c r="G127" i="12"/>
  <c r="H127" i="12"/>
  <c r="I127" i="12"/>
  <c r="J127" i="12"/>
  <c r="K127" i="12"/>
  <c r="L127" i="12"/>
  <c r="M127" i="12"/>
  <c r="N127" i="12"/>
  <c r="O127" i="12"/>
  <c r="F127" i="12"/>
  <c r="G110" i="12"/>
  <c r="H110" i="12"/>
  <c r="I110" i="12"/>
  <c r="J110" i="12"/>
  <c r="K110" i="12"/>
  <c r="L110" i="12"/>
  <c r="M110" i="12"/>
  <c r="N110" i="12"/>
  <c r="O110" i="12"/>
  <c r="F110" i="12"/>
  <c r="G94" i="12"/>
  <c r="H94" i="12"/>
  <c r="I94" i="12"/>
  <c r="J94" i="12"/>
  <c r="K94" i="12"/>
  <c r="L94" i="12"/>
  <c r="M94" i="12"/>
  <c r="N94" i="12"/>
  <c r="O94" i="12"/>
  <c r="F94" i="12"/>
  <c r="G79" i="12"/>
  <c r="H79" i="12"/>
  <c r="I79" i="12"/>
  <c r="J79" i="12"/>
  <c r="K79" i="12"/>
  <c r="L79" i="12"/>
  <c r="M79" i="12"/>
  <c r="N79" i="12"/>
  <c r="O79" i="12"/>
  <c r="F79" i="12"/>
  <c r="G63" i="12"/>
  <c r="H63" i="12"/>
  <c r="I63" i="12"/>
  <c r="J63" i="12"/>
  <c r="K63" i="12"/>
  <c r="L63" i="12"/>
  <c r="M63" i="12"/>
  <c r="N63" i="12"/>
  <c r="O63" i="12"/>
  <c r="F63" i="12"/>
  <c r="F35" i="12"/>
  <c r="G34" i="12"/>
  <c r="G49" i="12" s="1"/>
  <c r="H34" i="12"/>
  <c r="H49" i="12" s="1"/>
  <c r="I34" i="12"/>
  <c r="I49" i="12" s="1"/>
  <c r="J34" i="12"/>
  <c r="J49" i="12" s="1"/>
  <c r="K34" i="12"/>
  <c r="K49" i="12" s="1"/>
  <c r="L34" i="12"/>
  <c r="L49" i="12" s="1"/>
  <c r="M34" i="12"/>
  <c r="N34" i="12"/>
  <c r="N49" i="12" s="1"/>
  <c r="O34" i="12"/>
  <c r="O49" i="12" s="1"/>
  <c r="F34" i="12"/>
  <c r="F49" i="12" s="1"/>
  <c r="F18" i="12"/>
  <c r="F20" i="12" s="1"/>
  <c r="F66" i="12"/>
  <c r="F69" i="12"/>
  <c r="F70" i="12"/>
  <c r="F71" i="12"/>
  <c r="F72" i="12"/>
  <c r="F73" i="12"/>
  <c r="F74" i="12"/>
  <c r="F75" i="12"/>
  <c r="F57" i="12" l="1"/>
  <c r="F56" i="12"/>
  <c r="F51" i="12"/>
  <c r="F55" i="12"/>
  <c r="F54" i="12"/>
  <c r="F53" i="12"/>
  <c r="F52" i="12"/>
  <c r="F97" i="12"/>
  <c r="F41" i="14"/>
  <c r="J41" i="14"/>
  <c r="H41" i="14"/>
  <c r="E151" i="6"/>
  <c r="E148" i="6"/>
  <c r="E149" i="6"/>
  <c r="E147" i="6"/>
  <c r="E150" i="6"/>
  <c r="G63" i="14"/>
  <c r="H63" i="14"/>
  <c r="I63" i="14"/>
  <c r="J63" i="14"/>
  <c r="K63" i="14"/>
  <c r="L63" i="14"/>
  <c r="M63" i="14"/>
  <c r="N63" i="14"/>
  <c r="O63" i="14"/>
  <c r="P63" i="14"/>
  <c r="G62" i="14"/>
  <c r="H62" i="14"/>
  <c r="I62" i="14"/>
  <c r="J62" i="14"/>
  <c r="K62" i="14"/>
  <c r="L62" i="14"/>
  <c r="M62" i="14"/>
  <c r="N62" i="14"/>
  <c r="O62" i="14"/>
  <c r="P62" i="14"/>
  <c r="G61" i="14"/>
  <c r="H61" i="14"/>
  <c r="I61" i="14"/>
  <c r="J61" i="14"/>
  <c r="K61" i="14"/>
  <c r="L61" i="14"/>
  <c r="M61" i="14"/>
  <c r="N61" i="14"/>
  <c r="O61" i="14"/>
  <c r="P61" i="14"/>
  <c r="G60" i="14"/>
  <c r="H60" i="14"/>
  <c r="I60" i="14"/>
  <c r="J60" i="14"/>
  <c r="K60" i="14"/>
  <c r="L60" i="14"/>
  <c r="M60" i="14"/>
  <c r="N60" i="14"/>
  <c r="O60" i="14"/>
  <c r="P60" i="14"/>
  <c r="G59" i="14"/>
  <c r="H59" i="14"/>
  <c r="I59" i="14"/>
  <c r="J59" i="14"/>
  <c r="K59" i="14"/>
  <c r="L59" i="14"/>
  <c r="M59" i="14"/>
  <c r="N59" i="14"/>
  <c r="O59" i="14"/>
  <c r="P59" i="14"/>
  <c r="G58" i="14"/>
  <c r="H58" i="14"/>
  <c r="I58" i="14"/>
  <c r="J58" i="14"/>
  <c r="K58" i="14"/>
  <c r="L58" i="14"/>
  <c r="M58" i="14"/>
  <c r="N58" i="14"/>
  <c r="O58" i="14"/>
  <c r="P58" i="14"/>
  <c r="G57" i="14"/>
  <c r="H57" i="14"/>
  <c r="I57" i="14"/>
  <c r="J57" i="14"/>
  <c r="K57" i="14"/>
  <c r="L57" i="14"/>
  <c r="M57" i="14"/>
  <c r="N57" i="14"/>
  <c r="O57" i="14"/>
  <c r="P57" i="14"/>
  <c r="F58" i="14"/>
  <c r="F59" i="14"/>
  <c r="F60" i="14"/>
  <c r="F61" i="14"/>
  <c r="F62" i="14"/>
  <c r="F63" i="14"/>
  <c r="F57" i="14"/>
  <c r="E17" i="6"/>
  <c r="AS16" i="17"/>
  <c r="AS17" i="17"/>
  <c r="BC17" i="17"/>
  <c r="CY17" i="17"/>
  <c r="EI17" i="17"/>
  <c r="D16" i="17"/>
  <c r="D17" i="17" s="1"/>
  <c r="E16" i="17"/>
  <c r="E17" i="17" s="1"/>
  <c r="F16" i="17"/>
  <c r="F17" i="17" s="1"/>
  <c r="G16" i="17"/>
  <c r="G17" i="17" s="1"/>
  <c r="H16" i="17"/>
  <c r="H17" i="17" s="1"/>
  <c r="I16" i="17"/>
  <c r="I17" i="17" s="1"/>
  <c r="J16" i="17"/>
  <c r="J17" i="17" s="1"/>
  <c r="K16" i="17"/>
  <c r="K17" i="17" s="1"/>
  <c r="L16" i="17"/>
  <c r="L17" i="17" s="1"/>
  <c r="M16" i="17"/>
  <c r="M17" i="17" s="1"/>
  <c r="N16" i="17"/>
  <c r="N17" i="17" s="1"/>
  <c r="O16" i="17"/>
  <c r="O17" i="17" s="1"/>
  <c r="P16" i="17"/>
  <c r="P17" i="17" s="1"/>
  <c r="Q16" i="17"/>
  <c r="Q17" i="17" s="1"/>
  <c r="R16" i="17"/>
  <c r="R17" i="17" s="1"/>
  <c r="S16" i="17"/>
  <c r="S17" i="17" s="1"/>
  <c r="T16" i="17"/>
  <c r="T17" i="17" s="1"/>
  <c r="U16" i="17"/>
  <c r="U17" i="17" s="1"/>
  <c r="V16" i="17"/>
  <c r="V17" i="17" s="1"/>
  <c r="W16" i="17"/>
  <c r="W17" i="17" s="1"/>
  <c r="X16" i="17"/>
  <c r="X17" i="17" s="1"/>
  <c r="Y16" i="17"/>
  <c r="Y17" i="17" s="1"/>
  <c r="Z16" i="17"/>
  <c r="Z17" i="17" s="1"/>
  <c r="AA16" i="17"/>
  <c r="AA17" i="17" s="1"/>
  <c r="AB16" i="17"/>
  <c r="AB17" i="17" s="1"/>
  <c r="AC16" i="17"/>
  <c r="AC17" i="17" s="1"/>
  <c r="AD16" i="17"/>
  <c r="AD17" i="17" s="1"/>
  <c r="AE16" i="17"/>
  <c r="AE17" i="17" s="1"/>
  <c r="AF16" i="17"/>
  <c r="AF17" i="17" s="1"/>
  <c r="AG16" i="17"/>
  <c r="AG17" i="17" s="1"/>
  <c r="AH16" i="17"/>
  <c r="AH17" i="17" s="1"/>
  <c r="AI16" i="17"/>
  <c r="AI17" i="17" s="1"/>
  <c r="AJ16" i="17"/>
  <c r="AJ17" i="17" s="1"/>
  <c r="AK16" i="17"/>
  <c r="AK17" i="17" s="1"/>
  <c r="AL16" i="17"/>
  <c r="AL17" i="17" s="1"/>
  <c r="AM16" i="17"/>
  <c r="AM17" i="17" s="1"/>
  <c r="AN16" i="17"/>
  <c r="AN17" i="17" s="1"/>
  <c r="AO16" i="17"/>
  <c r="AO17" i="17" s="1"/>
  <c r="AP16" i="17"/>
  <c r="AP17" i="17" s="1"/>
  <c r="AQ16" i="17"/>
  <c r="AQ17" i="17" s="1"/>
  <c r="AR16" i="17"/>
  <c r="AR17" i="17" s="1"/>
  <c r="AT16" i="17"/>
  <c r="AT17" i="17" s="1"/>
  <c r="AU16" i="17"/>
  <c r="AU17" i="17" s="1"/>
  <c r="AV16" i="17"/>
  <c r="AV17" i="17" s="1"/>
  <c r="AW16" i="17"/>
  <c r="AW17" i="17" s="1"/>
  <c r="AX16" i="17"/>
  <c r="AX17" i="17" s="1"/>
  <c r="AY16" i="17"/>
  <c r="AY17" i="17" s="1"/>
  <c r="AZ16" i="17"/>
  <c r="AZ17" i="17" s="1"/>
  <c r="BA16" i="17"/>
  <c r="BA17" i="17" s="1"/>
  <c r="BB16" i="17"/>
  <c r="BB17" i="17" s="1"/>
  <c r="BC16" i="17"/>
  <c r="BD16" i="17"/>
  <c r="BD17" i="17" s="1"/>
  <c r="BE16" i="17"/>
  <c r="BE17" i="17" s="1"/>
  <c r="BF16" i="17"/>
  <c r="BF17" i="17" s="1"/>
  <c r="BG16" i="17"/>
  <c r="BG17" i="17" s="1"/>
  <c r="BH16" i="17"/>
  <c r="BH17" i="17" s="1"/>
  <c r="BI16" i="17"/>
  <c r="BI17" i="17" s="1"/>
  <c r="BJ16" i="17"/>
  <c r="BJ17" i="17" s="1"/>
  <c r="BK16" i="17"/>
  <c r="BK17" i="17" s="1"/>
  <c r="BL16" i="17"/>
  <c r="BL17" i="17" s="1"/>
  <c r="BM16" i="17"/>
  <c r="BM17" i="17" s="1"/>
  <c r="BN16" i="17"/>
  <c r="BN17" i="17" s="1"/>
  <c r="BO16" i="17"/>
  <c r="BO17" i="17" s="1"/>
  <c r="BP16" i="17"/>
  <c r="BP17" i="17" s="1"/>
  <c r="BQ16" i="17"/>
  <c r="BQ17" i="17" s="1"/>
  <c r="BR16" i="17"/>
  <c r="BR17" i="17" s="1"/>
  <c r="BS16" i="17"/>
  <c r="BS17" i="17" s="1"/>
  <c r="BT16" i="17"/>
  <c r="BT17" i="17" s="1"/>
  <c r="BU16" i="17"/>
  <c r="BU17" i="17" s="1"/>
  <c r="BV16" i="17"/>
  <c r="BV17" i="17" s="1"/>
  <c r="BW16" i="17"/>
  <c r="BW17" i="17" s="1"/>
  <c r="BX16" i="17"/>
  <c r="BX17" i="17" s="1"/>
  <c r="BY16" i="17"/>
  <c r="BY17" i="17" s="1"/>
  <c r="BZ16" i="17"/>
  <c r="BZ17" i="17" s="1"/>
  <c r="CA16" i="17"/>
  <c r="CA17" i="17" s="1"/>
  <c r="CB16" i="17"/>
  <c r="CB17" i="17" s="1"/>
  <c r="CC16" i="17"/>
  <c r="CC17" i="17" s="1"/>
  <c r="CD16" i="17"/>
  <c r="CD17" i="17" s="1"/>
  <c r="CE16" i="17"/>
  <c r="CE17" i="17" s="1"/>
  <c r="CF16" i="17"/>
  <c r="CF17" i="17" s="1"/>
  <c r="CG16" i="17"/>
  <c r="CG17" i="17" s="1"/>
  <c r="CH16" i="17"/>
  <c r="CH17" i="17" s="1"/>
  <c r="CI16" i="17"/>
  <c r="CI17" i="17" s="1"/>
  <c r="CJ16" i="17"/>
  <c r="CJ17" i="17" s="1"/>
  <c r="CK16" i="17"/>
  <c r="CK17" i="17" s="1"/>
  <c r="CL16" i="17"/>
  <c r="CL17" i="17" s="1"/>
  <c r="CM16" i="17"/>
  <c r="CM17" i="17" s="1"/>
  <c r="CN16" i="17"/>
  <c r="CN17" i="17" s="1"/>
  <c r="CO16" i="17"/>
  <c r="CO17" i="17" s="1"/>
  <c r="CP16" i="17"/>
  <c r="CP17" i="17" s="1"/>
  <c r="CQ16" i="17"/>
  <c r="CQ17" i="17" s="1"/>
  <c r="CR16" i="17"/>
  <c r="CR17" i="17" s="1"/>
  <c r="CS16" i="17"/>
  <c r="CS17" i="17" s="1"/>
  <c r="CT16" i="17"/>
  <c r="CT17" i="17" s="1"/>
  <c r="CU16" i="17"/>
  <c r="CU17" i="17" s="1"/>
  <c r="CV16" i="17"/>
  <c r="CV17" i="17" s="1"/>
  <c r="CW16" i="17"/>
  <c r="CW17" i="17" s="1"/>
  <c r="CX16" i="17"/>
  <c r="CX17" i="17" s="1"/>
  <c r="CY16" i="17"/>
  <c r="CZ16" i="17"/>
  <c r="CZ17" i="17" s="1"/>
  <c r="DA16" i="17"/>
  <c r="DA17" i="17" s="1"/>
  <c r="DB16" i="17"/>
  <c r="DB17" i="17" s="1"/>
  <c r="DC16" i="17"/>
  <c r="DC17" i="17" s="1"/>
  <c r="DD16" i="17"/>
  <c r="DD17" i="17" s="1"/>
  <c r="DE16" i="17"/>
  <c r="DE17" i="17" s="1"/>
  <c r="DF16" i="17"/>
  <c r="DF17" i="17" s="1"/>
  <c r="DG16" i="17"/>
  <c r="DG17" i="17" s="1"/>
  <c r="DH16" i="17"/>
  <c r="DH17" i="17" s="1"/>
  <c r="DI16" i="17"/>
  <c r="DI17" i="17" s="1"/>
  <c r="DJ16" i="17"/>
  <c r="DJ17" i="17" s="1"/>
  <c r="DK16" i="17"/>
  <c r="DK17" i="17" s="1"/>
  <c r="DL16" i="17"/>
  <c r="DL17" i="17" s="1"/>
  <c r="DM16" i="17"/>
  <c r="DM17" i="17" s="1"/>
  <c r="DN16" i="17"/>
  <c r="DN17" i="17" s="1"/>
  <c r="DO16" i="17"/>
  <c r="DO17" i="17" s="1"/>
  <c r="DP16" i="17"/>
  <c r="DP17" i="17" s="1"/>
  <c r="DQ16" i="17"/>
  <c r="DQ17" i="17" s="1"/>
  <c r="DR16" i="17"/>
  <c r="DR17" i="17" s="1"/>
  <c r="DS16" i="17"/>
  <c r="DS17" i="17" s="1"/>
  <c r="DT16" i="17"/>
  <c r="DT17" i="17" s="1"/>
  <c r="DU16" i="17"/>
  <c r="DU17" i="17" s="1"/>
  <c r="DV16" i="17"/>
  <c r="DV17" i="17" s="1"/>
  <c r="DW16" i="17"/>
  <c r="DW17" i="17" s="1"/>
  <c r="DX16" i="17"/>
  <c r="DX17" i="17" s="1"/>
  <c r="DY16" i="17"/>
  <c r="DY17" i="17" s="1"/>
  <c r="DZ16" i="17"/>
  <c r="DZ17" i="17" s="1"/>
  <c r="EA16" i="17"/>
  <c r="EA17" i="17" s="1"/>
  <c r="EB16" i="17"/>
  <c r="EB17" i="17" s="1"/>
  <c r="EC16" i="17"/>
  <c r="EC17" i="17" s="1"/>
  <c r="ED16" i="17"/>
  <c r="ED17" i="17" s="1"/>
  <c r="EE16" i="17"/>
  <c r="EE17" i="17" s="1"/>
  <c r="EF16" i="17"/>
  <c r="EF17" i="17" s="1"/>
  <c r="EG16" i="17"/>
  <c r="EG17" i="17" s="1"/>
  <c r="EH16" i="17"/>
  <c r="EH17" i="17" s="1"/>
  <c r="EI16" i="17"/>
  <c r="EJ16" i="17"/>
  <c r="EJ17" i="17" s="1"/>
  <c r="EK16" i="17"/>
  <c r="EK17" i="17" s="1"/>
  <c r="EL16" i="17"/>
  <c r="EL17" i="17" s="1"/>
  <c r="EM16" i="17"/>
  <c r="EM17" i="17" s="1"/>
  <c r="EN16" i="17"/>
  <c r="EN17" i="17" s="1"/>
  <c r="C16" i="17"/>
  <c r="C17" i="17" s="1"/>
  <c r="E40" i="6"/>
  <c r="Q12" i="22"/>
  <c r="R12" i="22"/>
  <c r="S12" i="22"/>
  <c r="AC12" i="22"/>
  <c r="AD12" i="22"/>
  <c r="AE12" i="22"/>
  <c r="AL12" i="22"/>
  <c r="H2" i="22"/>
  <c r="H12" i="22" s="1"/>
  <c r="I2" i="22"/>
  <c r="I12" i="22" s="1"/>
  <c r="J2" i="22"/>
  <c r="J12" i="22" s="1"/>
  <c r="K2" i="22"/>
  <c r="K12" i="22" s="1"/>
  <c r="L2" i="22"/>
  <c r="L12" i="22" s="1"/>
  <c r="M2" i="22"/>
  <c r="M12" i="22" s="1"/>
  <c r="N2" i="22"/>
  <c r="N12" i="22" s="1"/>
  <c r="O2" i="22"/>
  <c r="O12" i="22" s="1"/>
  <c r="P2" i="22"/>
  <c r="P12" i="22" s="1"/>
  <c r="Q2" i="22"/>
  <c r="R2" i="22"/>
  <c r="S2" i="22"/>
  <c r="T2" i="22"/>
  <c r="T12" i="22" s="1"/>
  <c r="U2" i="22"/>
  <c r="U12" i="22" s="1"/>
  <c r="V2" i="22"/>
  <c r="V12" i="22" s="1"/>
  <c r="W2" i="22"/>
  <c r="W12" i="22" s="1"/>
  <c r="X2" i="22"/>
  <c r="X12" i="22" s="1"/>
  <c r="Y2" i="22"/>
  <c r="Y12" i="22" s="1"/>
  <c r="Z2" i="22"/>
  <c r="Z12" i="22" s="1"/>
  <c r="AA2" i="22"/>
  <c r="AB2" i="22"/>
  <c r="AA12" i="22" s="1"/>
  <c r="AC2" i="22"/>
  <c r="AB12" i="22" s="1"/>
  <c r="AD2" i="22"/>
  <c r="AE2" i="22"/>
  <c r="AF2" i="22"/>
  <c r="AG2" i="22"/>
  <c r="AF12" i="22" s="1"/>
  <c r="AH2" i="22"/>
  <c r="AG12" i="22" s="1"/>
  <c r="AI2" i="22"/>
  <c r="AH12" i="22" s="1"/>
  <c r="AJ2" i="22"/>
  <c r="AI4" i="22" s="1"/>
  <c r="AK2" i="22"/>
  <c r="AJ12" i="22" s="1"/>
  <c r="AL2" i="22"/>
  <c r="AK4" i="22" s="1"/>
  <c r="C4" i="22"/>
  <c r="M4" i="22" s="1"/>
  <c r="D4" i="22"/>
  <c r="W4" i="22" s="1"/>
  <c r="C5" i="22"/>
  <c r="D5" i="22"/>
  <c r="C6" i="22"/>
  <c r="C18" i="22" s="1"/>
  <c r="D6" i="22"/>
  <c r="C7" i="22"/>
  <c r="H7" i="22" s="1"/>
  <c r="D7" i="22"/>
  <c r="E7" i="22" s="1"/>
  <c r="C8" i="22"/>
  <c r="D8" i="22"/>
  <c r="C9" i="22"/>
  <c r="D9" i="22"/>
  <c r="C10" i="22"/>
  <c r="D10" i="22"/>
  <c r="E10" i="22" s="1"/>
  <c r="C11" i="22"/>
  <c r="D11" i="22"/>
  <c r="B6" i="17"/>
  <c r="C4" i="17"/>
  <c r="P23" i="15"/>
  <c r="K23" i="15"/>
  <c r="M23" i="15" s="1"/>
  <c r="M22" i="15"/>
  <c r="M21" i="15"/>
  <c r="M20" i="15"/>
  <c r="M19" i="15"/>
  <c r="F83" i="14"/>
  <c r="E82" i="14"/>
  <c r="E81" i="14"/>
  <c r="E80" i="14"/>
  <c r="E79" i="14"/>
  <c r="E78" i="14"/>
  <c r="E77" i="14"/>
  <c r="E76" i="14"/>
  <c r="E75" i="14"/>
  <c r="E74" i="14"/>
  <c r="E73" i="14"/>
  <c r="E72" i="14"/>
  <c r="E67" i="14"/>
  <c r="E66" i="14"/>
  <c r="F66" i="14"/>
  <c r="E65" i="14"/>
  <c r="E64" i="14"/>
  <c r="E63" i="14"/>
  <c r="E62" i="14"/>
  <c r="E61" i="14"/>
  <c r="E60" i="14"/>
  <c r="E59" i="14"/>
  <c r="E58" i="14"/>
  <c r="E57" i="14"/>
  <c r="E51" i="14"/>
  <c r="E50" i="14"/>
  <c r="E49" i="14"/>
  <c r="E48" i="14"/>
  <c r="E47" i="14"/>
  <c r="E46" i="14"/>
  <c r="E45" i="14"/>
  <c r="E44" i="14"/>
  <c r="E43" i="14"/>
  <c r="E42" i="14"/>
  <c r="E41" i="14"/>
  <c r="D39" i="14"/>
  <c r="D38" i="14"/>
  <c r="D32" i="14"/>
  <c r="D31" i="14"/>
  <c r="D30" i="14"/>
  <c r="D29" i="14"/>
  <c r="D28" i="14"/>
  <c r="D27" i="14"/>
  <c r="D26" i="14"/>
  <c r="D25" i="14"/>
  <c r="D24" i="14"/>
  <c r="D23" i="14"/>
  <c r="D22" i="14"/>
  <c r="D15" i="14"/>
  <c r="D14" i="14"/>
  <c r="D13" i="14"/>
  <c r="D12" i="14"/>
  <c r="D11" i="14"/>
  <c r="D10" i="14"/>
  <c r="D9" i="14"/>
  <c r="D8" i="14"/>
  <c r="D7" i="14"/>
  <c r="D6" i="14"/>
  <c r="D5" i="14"/>
  <c r="G86" i="13"/>
  <c r="H85" i="13"/>
  <c r="I85" i="13" s="1"/>
  <c r="J85" i="13" s="1"/>
  <c r="K85" i="13" s="1"/>
  <c r="L85" i="13" s="1"/>
  <c r="M85" i="13" s="1"/>
  <c r="N85" i="13" s="1"/>
  <c r="O85" i="13" s="1"/>
  <c r="P85" i="13" s="1"/>
  <c r="Q85" i="13" s="1"/>
  <c r="H84" i="13"/>
  <c r="I84" i="13" s="1"/>
  <c r="J84" i="13" s="1"/>
  <c r="K84" i="13" s="1"/>
  <c r="L84" i="13" s="1"/>
  <c r="M84" i="13" s="1"/>
  <c r="N84" i="13" s="1"/>
  <c r="O84" i="13" s="1"/>
  <c r="P84" i="13" s="1"/>
  <c r="Q84" i="13" s="1"/>
  <c r="H83" i="13"/>
  <c r="I83" i="13" s="1"/>
  <c r="J83" i="13" s="1"/>
  <c r="K83" i="13" s="1"/>
  <c r="L83" i="13" s="1"/>
  <c r="M83" i="13" s="1"/>
  <c r="N83" i="13" s="1"/>
  <c r="O83" i="13" s="1"/>
  <c r="P83" i="13" s="1"/>
  <c r="Q83" i="13" s="1"/>
  <c r="H82" i="13"/>
  <c r="I82" i="13" s="1"/>
  <c r="J82" i="13" s="1"/>
  <c r="K82" i="13" s="1"/>
  <c r="L82" i="13" s="1"/>
  <c r="M82" i="13" s="1"/>
  <c r="N82" i="13" s="1"/>
  <c r="O82" i="13" s="1"/>
  <c r="P82" i="13" s="1"/>
  <c r="Q82" i="13" s="1"/>
  <c r="H81" i="13"/>
  <c r="I81" i="13" s="1"/>
  <c r="J81" i="13" s="1"/>
  <c r="K81" i="13" s="1"/>
  <c r="L81" i="13" s="1"/>
  <c r="M81" i="13" s="1"/>
  <c r="N81" i="13" s="1"/>
  <c r="O81" i="13" s="1"/>
  <c r="P81" i="13" s="1"/>
  <c r="Q81" i="13" s="1"/>
  <c r="H80" i="13"/>
  <c r="I80" i="13" s="1"/>
  <c r="J80" i="13" s="1"/>
  <c r="K80" i="13" s="1"/>
  <c r="L80" i="13" s="1"/>
  <c r="M80" i="13" s="1"/>
  <c r="N80" i="13" s="1"/>
  <c r="O80" i="13" s="1"/>
  <c r="P80" i="13" s="1"/>
  <c r="Q80" i="13" s="1"/>
  <c r="H79" i="13"/>
  <c r="I79" i="13" s="1"/>
  <c r="J79" i="13" s="1"/>
  <c r="K79" i="13" s="1"/>
  <c r="L79" i="13" s="1"/>
  <c r="M79" i="13" s="1"/>
  <c r="N79" i="13" s="1"/>
  <c r="O79" i="13" s="1"/>
  <c r="P79" i="13" s="1"/>
  <c r="Q79" i="13" s="1"/>
  <c r="H78" i="13"/>
  <c r="I78" i="13" s="1"/>
  <c r="J78" i="13" s="1"/>
  <c r="K78" i="13" s="1"/>
  <c r="L78" i="13" s="1"/>
  <c r="M78" i="13" s="1"/>
  <c r="N78" i="13" s="1"/>
  <c r="O78" i="13" s="1"/>
  <c r="P78" i="13" s="1"/>
  <c r="Q78" i="13" s="1"/>
  <c r="H77" i="13"/>
  <c r="H73" i="13"/>
  <c r="I73" i="13" s="1"/>
  <c r="J73" i="13" s="1"/>
  <c r="K73" i="13" s="1"/>
  <c r="L73" i="13" s="1"/>
  <c r="M73" i="13" s="1"/>
  <c r="N73" i="13" s="1"/>
  <c r="O73" i="13" s="1"/>
  <c r="P73" i="13" s="1"/>
  <c r="Q73" i="13" s="1"/>
  <c r="F73" i="13"/>
  <c r="Q72" i="13"/>
  <c r="F72" i="13"/>
  <c r="Q71" i="13"/>
  <c r="F71" i="13"/>
  <c r="Q70" i="13"/>
  <c r="F70" i="13"/>
  <c r="Q64" i="13"/>
  <c r="P64" i="13"/>
  <c r="O64" i="13"/>
  <c r="N64" i="13"/>
  <c r="M64" i="13"/>
  <c r="L64" i="13"/>
  <c r="K64" i="13"/>
  <c r="J64" i="13"/>
  <c r="I64" i="13"/>
  <c r="H64" i="13"/>
  <c r="G64" i="13"/>
  <c r="F64" i="13"/>
  <c r="H16" i="13"/>
  <c r="F50" i="13" s="1"/>
  <c r="G16" i="13"/>
  <c r="J16" i="13" s="1"/>
  <c r="F16" i="13"/>
  <c r="H15" i="13"/>
  <c r="F49" i="13" s="1"/>
  <c r="G15" i="13"/>
  <c r="J15" i="13" s="1"/>
  <c r="F15" i="13"/>
  <c r="H14" i="13"/>
  <c r="F48" i="13" s="1"/>
  <c r="G14" i="13"/>
  <c r="F14" i="13"/>
  <c r="H13" i="13"/>
  <c r="F47" i="13" s="1"/>
  <c r="G13" i="13"/>
  <c r="J13" i="13" s="1"/>
  <c r="F13" i="13"/>
  <c r="H12" i="13"/>
  <c r="F46" i="13" s="1"/>
  <c r="G12" i="13"/>
  <c r="J12" i="13" s="1"/>
  <c r="F12" i="13"/>
  <c r="H11" i="13"/>
  <c r="F45" i="13" s="1"/>
  <c r="G11" i="13"/>
  <c r="J11" i="13" s="1"/>
  <c r="F11" i="13"/>
  <c r="H10" i="13"/>
  <c r="F44" i="13" s="1"/>
  <c r="G10" i="13"/>
  <c r="J10" i="13" s="1"/>
  <c r="F10" i="13"/>
  <c r="H9" i="13"/>
  <c r="F43" i="13" s="1"/>
  <c r="G9" i="13"/>
  <c r="J9" i="13" s="1"/>
  <c r="F9" i="13"/>
  <c r="H8" i="13"/>
  <c r="F42" i="13" s="1"/>
  <c r="G8" i="13"/>
  <c r="J8" i="13" s="1"/>
  <c r="F8" i="13"/>
  <c r="H7" i="13"/>
  <c r="F41" i="13" s="1"/>
  <c r="G7" i="13"/>
  <c r="J7" i="13" s="1"/>
  <c r="F7" i="13"/>
  <c r="H6" i="13"/>
  <c r="F40" i="13" s="1"/>
  <c r="G6" i="13"/>
  <c r="F6" i="13"/>
  <c r="H5" i="13"/>
  <c r="F39" i="13" s="1"/>
  <c r="F51" i="13" s="1"/>
  <c r="G5" i="13"/>
  <c r="J5" i="13" s="1"/>
  <c r="F5" i="13"/>
  <c r="F182" i="12"/>
  <c r="D182" i="12"/>
  <c r="G182" i="12" s="1"/>
  <c r="H182" i="12" s="1"/>
  <c r="I182" i="12" s="1"/>
  <c r="J182" i="12" s="1"/>
  <c r="K182" i="12" s="1"/>
  <c r="L182" i="12" s="1"/>
  <c r="M182" i="12" s="1"/>
  <c r="N182" i="12" s="1"/>
  <c r="O182" i="12" s="1"/>
  <c r="D181" i="12"/>
  <c r="D174" i="12"/>
  <c r="D173" i="12"/>
  <c r="D172" i="12"/>
  <c r="D171" i="12"/>
  <c r="D170" i="12"/>
  <c r="D169" i="12"/>
  <c r="D168" i="12"/>
  <c r="D167" i="12"/>
  <c r="D140" i="12"/>
  <c r="D139" i="12"/>
  <c r="D138" i="12"/>
  <c r="D137" i="12"/>
  <c r="D136" i="12"/>
  <c r="D135" i="12"/>
  <c r="D134" i="12"/>
  <c r="D133" i="12"/>
  <c r="D132" i="12"/>
  <c r="D131" i="12"/>
  <c r="D130" i="12"/>
  <c r="D123" i="12"/>
  <c r="D122" i="12"/>
  <c r="D121" i="12"/>
  <c r="D120" i="12"/>
  <c r="D119" i="12"/>
  <c r="D118" i="12"/>
  <c r="D117" i="12"/>
  <c r="D116" i="12"/>
  <c r="D115" i="12"/>
  <c r="D114" i="12"/>
  <c r="D113" i="12"/>
  <c r="O111" i="12"/>
  <c r="O128" i="12" s="1"/>
  <c r="O146" i="12" s="1"/>
  <c r="O165" i="12" s="1"/>
  <c r="N111" i="12"/>
  <c r="N128" i="12" s="1"/>
  <c r="N146" i="12" s="1"/>
  <c r="N165" i="12" s="1"/>
  <c r="M111" i="12"/>
  <c r="M128" i="12" s="1"/>
  <c r="M146" i="12" s="1"/>
  <c r="M165" i="12" s="1"/>
  <c r="L111" i="12"/>
  <c r="L128" i="12" s="1"/>
  <c r="L146" i="12" s="1"/>
  <c r="L165" i="12" s="1"/>
  <c r="K111" i="12"/>
  <c r="K128" i="12" s="1"/>
  <c r="K146" i="12" s="1"/>
  <c r="K165" i="12" s="1"/>
  <c r="J111" i="12"/>
  <c r="J128" i="12" s="1"/>
  <c r="J146" i="12" s="1"/>
  <c r="J165" i="12" s="1"/>
  <c r="I111" i="12"/>
  <c r="I128" i="12" s="1"/>
  <c r="I146" i="12" s="1"/>
  <c r="I165" i="12" s="1"/>
  <c r="H111" i="12"/>
  <c r="H128" i="12" s="1"/>
  <c r="H146" i="12" s="1"/>
  <c r="H165" i="12" s="1"/>
  <c r="G111" i="12"/>
  <c r="G128" i="12" s="1"/>
  <c r="G146" i="12" s="1"/>
  <c r="G165" i="12" s="1"/>
  <c r="D107" i="12"/>
  <c r="D106" i="12"/>
  <c r="D105" i="12"/>
  <c r="D104" i="12"/>
  <c r="D103" i="12"/>
  <c r="D102" i="12"/>
  <c r="D101" i="12"/>
  <c r="D100" i="12"/>
  <c r="D99" i="12"/>
  <c r="D98" i="12"/>
  <c r="D97" i="12"/>
  <c r="O80" i="12"/>
  <c r="N80" i="12"/>
  <c r="M80" i="12"/>
  <c r="L80" i="12"/>
  <c r="K80" i="12"/>
  <c r="J80" i="12"/>
  <c r="I80" i="12"/>
  <c r="H80" i="12"/>
  <c r="G80" i="12"/>
  <c r="F76" i="12"/>
  <c r="D47" i="12"/>
  <c r="D46" i="12"/>
  <c r="D45" i="12"/>
  <c r="D44" i="12"/>
  <c r="D43" i="12"/>
  <c r="D42" i="12"/>
  <c r="D41" i="12"/>
  <c r="D40" i="12"/>
  <c r="D39" i="12"/>
  <c r="D38" i="12"/>
  <c r="D37" i="12"/>
  <c r="D66" i="12" s="1"/>
  <c r="F64" i="12"/>
  <c r="F80" i="12" s="1"/>
  <c r="F95" i="12" s="1"/>
  <c r="F32" i="12"/>
  <c r="F61" i="12" s="1"/>
  <c r="D32" i="12"/>
  <c r="F31" i="12"/>
  <c r="F60" i="12" s="1"/>
  <c r="D31" i="12"/>
  <c r="F30" i="12"/>
  <c r="F59" i="12" s="1"/>
  <c r="D30" i="12"/>
  <c r="F29" i="12"/>
  <c r="F58" i="12" s="1"/>
  <c r="D29" i="12"/>
  <c r="D28" i="12"/>
  <c r="D27" i="12"/>
  <c r="D26" i="12"/>
  <c r="D25" i="12"/>
  <c r="D24" i="12"/>
  <c r="D23" i="12"/>
  <c r="G19" i="12"/>
  <c r="D15" i="12"/>
  <c r="D14" i="12"/>
  <c r="D13" i="12"/>
  <c r="C83" i="2" s="1"/>
  <c r="D12" i="12"/>
  <c r="C82" i="2" s="1"/>
  <c r="D11" i="12"/>
  <c r="D10" i="12"/>
  <c r="D9" i="12"/>
  <c r="C81" i="2" s="1"/>
  <c r="D8" i="12"/>
  <c r="C80" i="2" s="1"/>
  <c r="D7" i="12"/>
  <c r="C79" i="2" s="1"/>
  <c r="D6" i="12"/>
  <c r="C78" i="2" s="1"/>
  <c r="D5" i="12"/>
  <c r="C77" i="2" s="1"/>
  <c r="D9" i="11"/>
  <c r="B9" i="11"/>
  <c r="D8" i="11"/>
  <c r="C8" i="11"/>
  <c r="B8" i="11"/>
  <c r="D7" i="11"/>
  <c r="C7" i="11"/>
  <c r="C11" i="3" s="1"/>
  <c r="C38" i="3" s="1"/>
  <c r="B7" i="11"/>
  <c r="D6" i="11"/>
  <c r="C70" i="2" s="1"/>
  <c r="C6" i="11"/>
  <c r="B6" i="11"/>
  <c r="O19" i="10"/>
  <c r="N19" i="10"/>
  <c r="M19" i="10"/>
  <c r="L19" i="10"/>
  <c r="K19" i="10"/>
  <c r="J19" i="10"/>
  <c r="I19" i="10"/>
  <c r="H19" i="10"/>
  <c r="G19" i="10"/>
  <c r="F19" i="10"/>
  <c r="E19" i="10"/>
  <c r="D19" i="10"/>
  <c r="C37" i="9"/>
  <c r="C33" i="9"/>
  <c r="F11" i="9"/>
  <c r="G11" i="9" s="1"/>
  <c r="H11" i="9" s="1"/>
  <c r="S97" i="8"/>
  <c r="R97" i="8"/>
  <c r="Q97" i="8"/>
  <c r="P97" i="8"/>
  <c r="O97" i="8"/>
  <c r="N97" i="8"/>
  <c r="M97" i="8"/>
  <c r="L97" i="8"/>
  <c r="K97" i="8"/>
  <c r="J97" i="8"/>
  <c r="I97" i="8"/>
  <c r="H97" i="8"/>
  <c r="C60" i="8"/>
  <c r="S59" i="8"/>
  <c r="R59" i="8"/>
  <c r="Q59" i="8"/>
  <c r="P59" i="8"/>
  <c r="O59" i="8"/>
  <c r="N59" i="8"/>
  <c r="M59" i="8"/>
  <c r="L59" i="8"/>
  <c r="K59" i="8"/>
  <c r="J59" i="8"/>
  <c r="I59" i="8"/>
  <c r="H59" i="8"/>
  <c r="S35" i="8"/>
  <c r="R35" i="8"/>
  <c r="Q35" i="8"/>
  <c r="P35" i="8"/>
  <c r="O35" i="8"/>
  <c r="N35" i="8"/>
  <c r="M35" i="8"/>
  <c r="L35" i="8"/>
  <c r="K35" i="8"/>
  <c r="J35" i="8"/>
  <c r="I35" i="8"/>
  <c r="H35" i="8"/>
  <c r="C26" i="8"/>
  <c r="C21" i="8"/>
  <c r="D10" i="8"/>
  <c r="C10" i="8"/>
  <c r="D9" i="8"/>
  <c r="D8" i="8"/>
  <c r="H4" i="8"/>
  <c r="D154" i="7" s="1"/>
  <c r="D165" i="7"/>
  <c r="D176" i="7" s="1"/>
  <c r="D177" i="7" s="1"/>
  <c r="C150" i="7"/>
  <c r="A149" i="7"/>
  <c r="A159" i="7" s="1"/>
  <c r="C148" i="7"/>
  <c r="A148" i="7"/>
  <c r="A158" i="7" s="1"/>
  <c r="C147" i="7"/>
  <c r="C145" i="7"/>
  <c r="C144" i="7"/>
  <c r="C143" i="7"/>
  <c r="W132" i="7"/>
  <c r="G125" i="7"/>
  <c r="V124" i="7"/>
  <c r="V123" i="7"/>
  <c r="V122" i="7"/>
  <c r="V118" i="7"/>
  <c r="U118" i="7"/>
  <c r="T118" i="7"/>
  <c r="S118" i="7"/>
  <c r="R118" i="7"/>
  <c r="Q118" i="7"/>
  <c r="P118" i="7"/>
  <c r="O118" i="7"/>
  <c r="N118" i="7"/>
  <c r="M118" i="7"/>
  <c r="L118" i="7"/>
  <c r="K118" i="7"/>
  <c r="J118" i="7"/>
  <c r="I118" i="7"/>
  <c r="G118" i="7"/>
  <c r="W117" i="7"/>
  <c r="W116" i="7"/>
  <c r="W115" i="7"/>
  <c r="W112" i="7"/>
  <c r="V112" i="7"/>
  <c r="U112" i="7"/>
  <c r="T112" i="7"/>
  <c r="S112" i="7"/>
  <c r="R112" i="7"/>
  <c r="Q112" i="7"/>
  <c r="P112" i="7"/>
  <c r="O112" i="7"/>
  <c r="N112" i="7"/>
  <c r="M112" i="7"/>
  <c r="L112" i="7"/>
  <c r="K112" i="7"/>
  <c r="J112" i="7"/>
  <c r="I112" i="7"/>
  <c r="W111" i="7"/>
  <c r="W110" i="7"/>
  <c r="W109" i="7"/>
  <c r="W108" i="7"/>
  <c r="W107" i="7"/>
  <c r="W106" i="7"/>
  <c r="W105" i="7"/>
  <c r="W104" i="7"/>
  <c r="W103" i="7"/>
  <c r="W102" i="7"/>
  <c r="V99" i="7"/>
  <c r="U99" i="7"/>
  <c r="T99" i="7"/>
  <c r="S99" i="7"/>
  <c r="R99" i="7"/>
  <c r="Q99" i="7"/>
  <c r="P99" i="7"/>
  <c r="O99" i="7"/>
  <c r="N99" i="7"/>
  <c r="M99" i="7"/>
  <c r="L99" i="7"/>
  <c r="K99" i="7"/>
  <c r="J99" i="7"/>
  <c r="I99" i="7"/>
  <c r="G99" i="7"/>
  <c r="W99" i="7" s="1"/>
  <c r="W98" i="7"/>
  <c r="W97" i="7"/>
  <c r="W96" i="7"/>
  <c r="W95" i="7"/>
  <c r="W94" i="7"/>
  <c r="W93" i="7"/>
  <c r="W92" i="7"/>
  <c r="W91" i="7"/>
  <c r="W90" i="7"/>
  <c r="W89" i="7"/>
  <c r="W88" i="7"/>
  <c r="W87" i="7"/>
  <c r="W86" i="7"/>
  <c r="W85" i="7"/>
  <c r="W84" i="7"/>
  <c r="W83" i="7"/>
  <c r="W82" i="7"/>
  <c r="W81" i="7"/>
  <c r="W80" i="7"/>
  <c r="W79" i="7"/>
  <c r="W78" i="7"/>
  <c r="W77" i="7"/>
  <c r="W76" i="7"/>
  <c r="W75" i="7"/>
  <c r="W74" i="7"/>
  <c r="W73" i="7"/>
  <c r="W72" i="7"/>
  <c r="W71" i="7"/>
  <c r="W69" i="7"/>
  <c r="V68" i="7"/>
  <c r="U68" i="7"/>
  <c r="T68" i="7"/>
  <c r="S68" i="7"/>
  <c r="R68" i="7"/>
  <c r="Q68" i="7"/>
  <c r="P68" i="7"/>
  <c r="O68" i="7"/>
  <c r="N68" i="7"/>
  <c r="M68" i="7"/>
  <c r="L68" i="7"/>
  <c r="K68" i="7"/>
  <c r="J68" i="7"/>
  <c r="I68" i="7"/>
  <c r="G68" i="7"/>
  <c r="W67" i="7"/>
  <c r="W66" i="7"/>
  <c r="W65" i="7"/>
  <c r="W64" i="7"/>
  <c r="W63" i="7"/>
  <c r="W62" i="7"/>
  <c r="W61" i="7"/>
  <c r="W60" i="7"/>
  <c r="W59" i="7"/>
  <c r="W58" i="7"/>
  <c r="W56" i="7"/>
  <c r="V55" i="7"/>
  <c r="U55" i="7"/>
  <c r="T55" i="7"/>
  <c r="S55" i="7"/>
  <c r="R55" i="7"/>
  <c r="Q55" i="7"/>
  <c r="P55" i="7"/>
  <c r="O55" i="7"/>
  <c r="N55" i="7"/>
  <c r="M55" i="7"/>
  <c r="L55" i="7"/>
  <c r="K55" i="7"/>
  <c r="J55" i="7"/>
  <c r="I55" i="7"/>
  <c r="G55" i="7"/>
  <c r="W54" i="7"/>
  <c r="W53" i="7"/>
  <c r="W52" i="7"/>
  <c r="W51" i="7"/>
  <c r="W50" i="7"/>
  <c r="W49" i="7"/>
  <c r="W48" i="7"/>
  <c r="V45" i="7"/>
  <c r="U45" i="7"/>
  <c r="T45" i="7"/>
  <c r="S45" i="7"/>
  <c r="R45" i="7"/>
  <c r="Q45" i="7"/>
  <c r="P45" i="7"/>
  <c r="O45" i="7"/>
  <c r="N45" i="7"/>
  <c r="M45" i="7"/>
  <c r="L45" i="7"/>
  <c r="K45" i="7"/>
  <c r="J45" i="7"/>
  <c r="I45" i="7"/>
  <c r="G45" i="7"/>
  <c r="W44" i="7"/>
  <c r="W43" i="7"/>
  <c r="W42" i="7"/>
  <c r="W41" i="7"/>
  <c r="W40" i="7"/>
  <c r="W39" i="7"/>
  <c r="W38" i="7"/>
  <c r="W37" i="7"/>
  <c r="W36" i="7"/>
  <c r="V33" i="7"/>
  <c r="U33" i="7"/>
  <c r="T33" i="7"/>
  <c r="S33" i="7"/>
  <c r="R33" i="7"/>
  <c r="Q33" i="7"/>
  <c r="P33" i="7"/>
  <c r="O33" i="7"/>
  <c r="N33" i="7"/>
  <c r="M33" i="7"/>
  <c r="L33" i="7"/>
  <c r="K33" i="7"/>
  <c r="J33" i="7"/>
  <c r="I33" i="7"/>
  <c r="G33" i="7"/>
  <c r="W32" i="7"/>
  <c r="W31" i="7"/>
  <c r="W30" i="7"/>
  <c r="W29" i="7"/>
  <c r="W28" i="7"/>
  <c r="W27" i="7"/>
  <c r="W26" i="7"/>
  <c r="W25" i="7"/>
  <c r="W24" i="7"/>
  <c r="W23" i="7"/>
  <c r="G17" i="7"/>
  <c r="G14" i="7"/>
  <c r="E553" i="6"/>
  <c r="L509" i="6"/>
  <c r="K509" i="6"/>
  <c r="J509" i="6"/>
  <c r="I509" i="6"/>
  <c r="H509" i="6"/>
  <c r="G509" i="6"/>
  <c r="F509" i="6"/>
  <c r="E509" i="6"/>
  <c r="G507" i="6"/>
  <c r="G508" i="6" s="1"/>
  <c r="F507" i="6"/>
  <c r="F508" i="6" s="1"/>
  <c r="E507" i="6"/>
  <c r="E508" i="6" s="1"/>
  <c r="P509" i="6"/>
  <c r="O509" i="6"/>
  <c r="N509" i="6"/>
  <c r="M509" i="6"/>
  <c r="E415" i="6"/>
  <c r="E414" i="6"/>
  <c r="E413" i="6"/>
  <c r="E412" i="6"/>
  <c r="E411" i="6"/>
  <c r="E410" i="6"/>
  <c r="E409" i="6"/>
  <c r="E408" i="6"/>
  <c r="E407" i="6"/>
  <c r="E406" i="6"/>
  <c r="E405" i="6"/>
  <c r="E400" i="6"/>
  <c r="E379" i="6"/>
  <c r="E377" i="6"/>
  <c r="E348" i="6"/>
  <c r="E347" i="6"/>
  <c r="E315" i="6"/>
  <c r="E314" i="6"/>
  <c r="E313" i="6"/>
  <c r="E312" i="6"/>
  <c r="E310" i="6"/>
  <c r="E309" i="6"/>
  <c r="E306" i="6"/>
  <c r="E293" i="6"/>
  <c r="E291" i="6"/>
  <c r="C151" i="7" s="1"/>
  <c r="E186" i="7" s="1"/>
  <c r="E270" i="6"/>
  <c r="E193" i="6"/>
  <c r="E180" i="6"/>
  <c r="E111" i="6"/>
  <c r="E76" i="6"/>
  <c r="E37" i="6"/>
  <c r="G33" i="6"/>
  <c r="C149" i="7"/>
  <c r="B33" i="5"/>
  <c r="B32" i="5"/>
  <c r="B31" i="5"/>
  <c r="B29" i="5"/>
  <c r="B28" i="5"/>
  <c r="B27" i="5"/>
  <c r="K24" i="5"/>
  <c r="B24" i="5"/>
  <c r="K23" i="5"/>
  <c r="F23" i="5"/>
  <c r="E23" i="5"/>
  <c r="K22" i="5"/>
  <c r="K21" i="5"/>
  <c r="K20" i="5"/>
  <c r="K19" i="5"/>
  <c r="K18" i="5"/>
  <c r="M119" i="3"/>
  <c r="L119" i="3"/>
  <c r="K119" i="3"/>
  <c r="J119" i="3"/>
  <c r="I119" i="3"/>
  <c r="H119" i="3"/>
  <c r="G119" i="3"/>
  <c r="F119" i="3"/>
  <c r="E119" i="3"/>
  <c r="D119" i="3"/>
  <c r="C119" i="3"/>
  <c r="N118" i="3"/>
  <c r="C96" i="3"/>
  <c r="C95" i="3"/>
  <c r="M81" i="3"/>
  <c r="L81" i="3"/>
  <c r="K81" i="3"/>
  <c r="J81" i="3"/>
  <c r="I81" i="3"/>
  <c r="H81" i="3"/>
  <c r="G81" i="3"/>
  <c r="F81" i="3"/>
  <c r="E81" i="3"/>
  <c r="D81" i="3"/>
  <c r="C81" i="3"/>
  <c r="N65" i="3"/>
  <c r="C33" i="3"/>
  <c r="C32" i="3"/>
  <c r="C31" i="3"/>
  <c r="C16" i="3"/>
  <c r="C15" i="3"/>
  <c r="C73" i="3" s="1"/>
  <c r="C164" i="3" s="1"/>
  <c r="C14" i="3"/>
  <c r="C13" i="3"/>
  <c r="C71" i="3" s="1"/>
  <c r="C12" i="3"/>
  <c r="C35" i="3" s="1"/>
  <c r="C10" i="3"/>
  <c r="C9" i="3"/>
  <c r="C7" i="3"/>
  <c r="C5" i="3"/>
  <c r="C95" i="2"/>
  <c r="C93" i="2"/>
  <c r="C92" i="2"/>
  <c r="C91" i="2"/>
  <c r="C90" i="2"/>
  <c r="C89" i="2"/>
  <c r="C88" i="2"/>
  <c r="B20" i="21" s="1"/>
  <c r="C20" i="21" s="1"/>
  <c r="C72" i="2"/>
  <c r="C69" i="2"/>
  <c r="C42" i="2"/>
  <c r="C41" i="2"/>
  <c r="C35" i="2"/>
  <c r="C34" i="2"/>
  <c r="C33" i="2"/>
  <c r="C32" i="2"/>
  <c r="Q16" i="2"/>
  <c r="Q2" i="2"/>
  <c r="F67" i="12" l="1"/>
  <c r="F68" i="12"/>
  <c r="AH7" i="22"/>
  <c r="AF7" i="22"/>
  <c r="V7" i="22"/>
  <c r="AL11" i="22"/>
  <c r="J14" i="13"/>
  <c r="C39" i="3"/>
  <c r="I9" i="22"/>
  <c r="O8" i="22"/>
  <c r="N8" i="22"/>
  <c r="AK12" i="22"/>
  <c r="Y4" i="22"/>
  <c r="AI12" i="22"/>
  <c r="E11" i="22"/>
  <c r="E5" i="22"/>
  <c r="AJ11" i="22"/>
  <c r="G28" i="13"/>
  <c r="G32" i="13"/>
  <c r="F67" i="14"/>
  <c r="K11" i="22"/>
  <c r="Q5" i="22"/>
  <c r="AE7" i="22"/>
  <c r="Z11" i="22"/>
  <c r="C71" i="2"/>
  <c r="P10" i="22"/>
  <c r="J4" i="22"/>
  <c r="AK6" i="22"/>
  <c r="T7" i="22"/>
  <c r="L11" i="22"/>
  <c r="E9" i="22"/>
  <c r="AJ6" i="22"/>
  <c r="S7" i="22"/>
  <c r="X11" i="22"/>
  <c r="AA6" i="22"/>
  <c r="J7" i="22"/>
  <c r="Y6" i="22"/>
  <c r="X6" i="22"/>
  <c r="AE10" i="22"/>
  <c r="O6" i="22"/>
  <c r="AC10" i="22"/>
  <c r="I7" i="22"/>
  <c r="M6" i="22"/>
  <c r="S10" i="22"/>
  <c r="G23" i="13"/>
  <c r="G27" i="13"/>
  <c r="G31" i="13"/>
  <c r="G47" i="13" s="1"/>
  <c r="E6" i="22"/>
  <c r="L6" i="22"/>
  <c r="Q10" i="22"/>
  <c r="K4" i="22"/>
  <c r="AD5" i="22"/>
  <c r="R5" i="22"/>
  <c r="AG4" i="22"/>
  <c r="U4" i="22"/>
  <c r="I4" i="22"/>
  <c r="AB5" i="22"/>
  <c r="P5" i="22"/>
  <c r="AI6" i="22"/>
  <c r="W6" i="22"/>
  <c r="K6" i="22"/>
  <c r="AD7" i="22"/>
  <c r="R7" i="22"/>
  <c r="AK8" i="22"/>
  <c r="Y8" i="22"/>
  <c r="M8" i="22"/>
  <c r="AF9" i="22"/>
  <c r="T9" i="22"/>
  <c r="H9" i="22"/>
  <c r="AA10" i="22"/>
  <c r="O10" i="22"/>
  <c r="AH11" i="22"/>
  <c r="V11" i="22"/>
  <c r="J11" i="22"/>
  <c r="G24" i="13"/>
  <c r="G40" i="13" s="1"/>
  <c r="AF4" i="22"/>
  <c r="T4" i="22"/>
  <c r="H4" i="22"/>
  <c r="AA5" i="22"/>
  <c r="O5" i="22"/>
  <c r="AH6" i="22"/>
  <c r="V6" i="22"/>
  <c r="J6" i="22"/>
  <c r="AC7" i="22"/>
  <c r="Q7" i="22"/>
  <c r="AJ8" i="22"/>
  <c r="X8" i="22"/>
  <c r="L8" i="22"/>
  <c r="AE9" i="22"/>
  <c r="S9" i="22"/>
  <c r="AL10" i="22"/>
  <c r="Z10" i="22"/>
  <c r="N10" i="22"/>
  <c r="AG11" i="22"/>
  <c r="U11" i="22"/>
  <c r="I11" i="22"/>
  <c r="J6" i="13"/>
  <c r="J17" i="13" s="1"/>
  <c r="AE4" i="22"/>
  <c r="S4" i="22"/>
  <c r="AL5" i="22"/>
  <c r="Z5" i="22"/>
  <c r="N5" i="22"/>
  <c r="AG6" i="22"/>
  <c r="U6" i="22"/>
  <c r="I6" i="22"/>
  <c r="AB7" i="22"/>
  <c r="P7" i="22"/>
  <c r="AI8" i="22"/>
  <c r="W8" i="22"/>
  <c r="K8" i="22"/>
  <c r="AD9" i="22"/>
  <c r="R9" i="22"/>
  <c r="AK10" i="22"/>
  <c r="Y10" i="22"/>
  <c r="M10" i="22"/>
  <c r="AF11" i="22"/>
  <c r="T11" i="22"/>
  <c r="H11" i="22"/>
  <c r="C94" i="2"/>
  <c r="AD4" i="22"/>
  <c r="R4" i="22"/>
  <c r="AK5" i="22"/>
  <c r="Y5" i="22"/>
  <c r="M5" i="22"/>
  <c r="AF6" i="22"/>
  <c r="T6" i="22"/>
  <c r="H6" i="22"/>
  <c r="AA7" i="22"/>
  <c r="O7" i="22"/>
  <c r="AH8" i="22"/>
  <c r="V8" i="22"/>
  <c r="J8" i="22"/>
  <c r="AC9" i="22"/>
  <c r="Q9" i="22"/>
  <c r="AJ10" i="22"/>
  <c r="X10" i="22"/>
  <c r="L10" i="22"/>
  <c r="AE11" i="22"/>
  <c r="S11" i="22"/>
  <c r="G25" i="13"/>
  <c r="G29" i="13"/>
  <c r="G33" i="13"/>
  <c r="AC4" i="22"/>
  <c r="Q4" i="22"/>
  <c r="AJ5" i="22"/>
  <c r="X5" i="22"/>
  <c r="L5" i="22"/>
  <c r="AE6" i="22"/>
  <c r="S6" i="22"/>
  <c r="AL7" i="22"/>
  <c r="Z7" i="22"/>
  <c r="N7" i="22"/>
  <c r="AG8" i="22"/>
  <c r="U8" i="22"/>
  <c r="I8" i="22"/>
  <c r="AB9" i="22"/>
  <c r="P9" i="22"/>
  <c r="AI10" i="22"/>
  <c r="W10" i="22"/>
  <c r="K10" i="22"/>
  <c r="AD11" i="22"/>
  <c r="R11" i="22"/>
  <c r="AB4" i="22"/>
  <c r="P4" i="22"/>
  <c r="AI5" i="22"/>
  <c r="W5" i="22"/>
  <c r="K5" i="22"/>
  <c r="AD6" i="22"/>
  <c r="R6" i="22"/>
  <c r="AK7" i="22"/>
  <c r="Y7" i="22"/>
  <c r="M7" i="22"/>
  <c r="AF8" i="22"/>
  <c r="T8" i="22"/>
  <c r="H8" i="22"/>
  <c r="AA9" i="22"/>
  <c r="O9" i="22"/>
  <c r="AH10" i="22"/>
  <c r="V10" i="22"/>
  <c r="J10" i="22"/>
  <c r="AC11" i="22"/>
  <c r="Q11" i="22"/>
  <c r="C84" i="2"/>
  <c r="AA4" i="22"/>
  <c r="O4" i="22"/>
  <c r="AH5" i="22"/>
  <c r="V5" i="22"/>
  <c r="J5" i="22"/>
  <c r="AC6" i="22"/>
  <c r="Q6" i="22"/>
  <c r="AJ7" i="22"/>
  <c r="X7" i="22"/>
  <c r="L7" i="22"/>
  <c r="AE8" i="22"/>
  <c r="S8" i="22"/>
  <c r="AL9" i="22"/>
  <c r="Z9" i="22"/>
  <c r="N9" i="22"/>
  <c r="AG10" i="22"/>
  <c r="U10" i="22"/>
  <c r="I10" i="22"/>
  <c r="AB11" i="22"/>
  <c r="P11" i="22"/>
  <c r="G26" i="13"/>
  <c r="G42" i="13" s="1"/>
  <c r="G30" i="13"/>
  <c r="H30" i="13" s="1"/>
  <c r="G34" i="13"/>
  <c r="H34" i="13" s="1"/>
  <c r="F64" i="14"/>
  <c r="AL4" i="22"/>
  <c r="Z4" i="22"/>
  <c r="N4" i="22"/>
  <c r="AG5" i="22"/>
  <c r="U5" i="22"/>
  <c r="I5" i="22"/>
  <c r="AB6" i="22"/>
  <c r="P6" i="22"/>
  <c r="AI7" i="22"/>
  <c r="W7" i="22"/>
  <c r="K7" i="22"/>
  <c r="AD8" i="22"/>
  <c r="R8" i="22"/>
  <c r="AK9" i="22"/>
  <c r="Y9" i="22"/>
  <c r="M9" i="22"/>
  <c r="AF10" i="22"/>
  <c r="T10" i="22"/>
  <c r="H10" i="22"/>
  <c r="AA11" i="22"/>
  <c r="O11" i="22"/>
  <c r="AF5" i="22"/>
  <c r="T5" i="22"/>
  <c r="H5" i="22"/>
  <c r="Q8" i="22"/>
  <c r="AJ9" i="22"/>
  <c r="X9" i="22"/>
  <c r="L9" i="22"/>
  <c r="N11" i="22"/>
  <c r="AC8" i="22"/>
  <c r="F65" i="14"/>
  <c r="E8" i="22"/>
  <c r="E4" i="22"/>
  <c r="AJ4" i="22"/>
  <c r="X4" i="22"/>
  <c r="L4" i="22"/>
  <c r="AE5" i="22"/>
  <c r="S5" i="22"/>
  <c r="AL6" i="22"/>
  <c r="Z6" i="22"/>
  <c r="N6" i="22"/>
  <c r="AG7" i="22"/>
  <c r="U7" i="22"/>
  <c r="AB8" i="22"/>
  <c r="P8" i="22"/>
  <c r="AI9" i="22"/>
  <c r="W9" i="22"/>
  <c r="K9" i="22"/>
  <c r="AD10" i="22"/>
  <c r="R10" i="22"/>
  <c r="AK11" i="22"/>
  <c r="Y11" i="22"/>
  <c r="M11" i="22"/>
  <c r="AA8" i="22"/>
  <c r="AH9" i="22"/>
  <c r="V9" i="22"/>
  <c r="J9" i="22"/>
  <c r="F18" i="22"/>
  <c r="AH4" i="22"/>
  <c r="V4" i="22"/>
  <c r="AC5" i="22"/>
  <c r="AL8" i="22"/>
  <c r="Z8" i="22"/>
  <c r="AG9" i="22"/>
  <c r="U9" i="22"/>
  <c r="AB10" i="22"/>
  <c r="AI11" i="22"/>
  <c r="W11" i="22"/>
  <c r="B21" i="21"/>
  <c r="C21" i="21" s="1"/>
  <c r="C45" i="3"/>
  <c r="C47" i="3" s="1"/>
  <c r="C166" i="3" s="1"/>
  <c r="G113" i="6"/>
  <c r="E113" i="6"/>
  <c r="E73" i="6" s="1"/>
  <c r="E278" i="6"/>
  <c r="B9" i="5" s="1"/>
  <c r="E277" i="6"/>
  <c r="B8" i="5" s="1"/>
  <c r="E276" i="6"/>
  <c r="B12" i="5" s="1"/>
  <c r="E275" i="6"/>
  <c r="B11" i="5" s="1"/>
  <c r="E274" i="6"/>
  <c r="E273" i="6"/>
  <c r="B7" i="5" s="1"/>
  <c r="E272" i="6"/>
  <c r="B6" i="5" s="1"/>
  <c r="E530" i="6"/>
  <c r="L528" i="6"/>
  <c r="K528" i="6"/>
  <c r="J528" i="6"/>
  <c r="I528" i="6"/>
  <c r="H528" i="6"/>
  <c r="G528" i="6"/>
  <c r="F528" i="6"/>
  <c r="E528" i="6"/>
  <c r="M528" i="6"/>
  <c r="D72" i="14"/>
  <c r="D41" i="14"/>
  <c r="D73" i="14"/>
  <c r="D42" i="14"/>
  <c r="F42" i="14" s="1"/>
  <c r="D74" i="14"/>
  <c r="D43" i="14"/>
  <c r="F43" i="14" s="1"/>
  <c r="D75" i="14"/>
  <c r="D44" i="14"/>
  <c r="F44" i="14" s="1"/>
  <c r="D76" i="14"/>
  <c r="D45" i="14"/>
  <c r="F45" i="14" s="1"/>
  <c r="D77" i="14"/>
  <c r="D46" i="14"/>
  <c r="F46" i="14" s="1"/>
  <c r="D78" i="14"/>
  <c r="D47" i="14"/>
  <c r="F47" i="14" s="1"/>
  <c r="D79" i="14"/>
  <c r="D48" i="14"/>
  <c r="F48" i="14" s="1"/>
  <c r="D80" i="14"/>
  <c r="D49" i="14"/>
  <c r="F49" i="14" s="1"/>
  <c r="D81" i="14"/>
  <c r="D50" i="14"/>
  <c r="F50" i="14" s="1"/>
  <c r="D82" i="14"/>
  <c r="D51" i="14"/>
  <c r="F51" i="14" s="1"/>
  <c r="E510" i="6"/>
  <c r="F510" i="6"/>
  <c r="G510" i="6"/>
  <c r="W33" i="7"/>
  <c r="W45" i="7"/>
  <c r="W55" i="7"/>
  <c r="W68" i="7"/>
  <c r="W118" i="7"/>
  <c r="D159" i="7"/>
  <c r="D158" i="7"/>
  <c r="D163" i="7" s="1"/>
  <c r="D157" i="7"/>
  <c r="D180" i="7" s="1"/>
  <c r="F20" i="9"/>
  <c r="E175" i="7"/>
  <c r="H12" i="11"/>
  <c r="H32" i="11" s="1"/>
  <c r="D5" i="10"/>
  <c r="D43" i="10" s="1"/>
  <c r="F4" i="9"/>
  <c r="H5" i="8"/>
  <c r="G35" i="12"/>
  <c r="H19" i="12"/>
  <c r="G22" i="12"/>
  <c r="G23" i="12"/>
  <c r="G24" i="12"/>
  <c r="G25" i="12"/>
  <c r="G26" i="12"/>
  <c r="G27" i="12"/>
  <c r="G28" i="12"/>
  <c r="G29" i="12"/>
  <c r="G30" i="12"/>
  <c r="G31" i="12"/>
  <c r="G32" i="12"/>
  <c r="F111" i="12"/>
  <c r="F128" i="12" s="1"/>
  <c r="F146" i="12" s="1"/>
  <c r="F165" i="12" s="1"/>
  <c r="G66" i="12"/>
  <c r="G82" i="12" s="1"/>
  <c r="G69" i="12"/>
  <c r="G70" i="12"/>
  <c r="G71" i="12"/>
  <c r="G72" i="12"/>
  <c r="G73" i="12"/>
  <c r="G74" i="12"/>
  <c r="G75" i="12"/>
  <c r="G76" i="12"/>
  <c r="D148" i="12"/>
  <c r="D149" i="12"/>
  <c r="D150" i="12"/>
  <c r="D151" i="12"/>
  <c r="D152" i="12"/>
  <c r="D153" i="12"/>
  <c r="D154" i="12"/>
  <c r="D175" i="12"/>
  <c r="G167" i="12"/>
  <c r="F167" i="12"/>
  <c r="G168" i="12"/>
  <c r="H168" i="12" s="1"/>
  <c r="I168" i="12" s="1"/>
  <c r="J168" i="12" s="1"/>
  <c r="K168" i="12" s="1"/>
  <c r="L168" i="12" s="1"/>
  <c r="M168" i="12" s="1"/>
  <c r="N168" i="12" s="1"/>
  <c r="O168" i="12" s="1"/>
  <c r="F168" i="12"/>
  <c r="G169" i="12"/>
  <c r="H169" i="12" s="1"/>
  <c r="I169" i="12" s="1"/>
  <c r="J169" i="12" s="1"/>
  <c r="K169" i="12" s="1"/>
  <c r="L169" i="12" s="1"/>
  <c r="M169" i="12" s="1"/>
  <c r="N169" i="12" s="1"/>
  <c r="O169" i="12" s="1"/>
  <c r="F169" i="12"/>
  <c r="G170" i="12"/>
  <c r="H170" i="12" s="1"/>
  <c r="I170" i="12" s="1"/>
  <c r="J170" i="12" s="1"/>
  <c r="K170" i="12" s="1"/>
  <c r="L170" i="12" s="1"/>
  <c r="M170" i="12" s="1"/>
  <c r="N170" i="12" s="1"/>
  <c r="O170" i="12" s="1"/>
  <c r="F170" i="12"/>
  <c r="P170" i="12" s="1"/>
  <c r="G171" i="12"/>
  <c r="H171" i="12" s="1"/>
  <c r="I171" i="12" s="1"/>
  <c r="J171" i="12" s="1"/>
  <c r="K171" i="12" s="1"/>
  <c r="L171" i="12" s="1"/>
  <c r="M171" i="12" s="1"/>
  <c r="N171" i="12" s="1"/>
  <c r="O171" i="12" s="1"/>
  <c r="F171" i="12"/>
  <c r="G172" i="12"/>
  <c r="H172" i="12" s="1"/>
  <c r="I172" i="12" s="1"/>
  <c r="J172" i="12" s="1"/>
  <c r="K172" i="12" s="1"/>
  <c r="L172" i="12" s="1"/>
  <c r="M172" i="12" s="1"/>
  <c r="N172" i="12" s="1"/>
  <c r="O172" i="12" s="1"/>
  <c r="F172" i="12"/>
  <c r="P172" i="12" s="1"/>
  <c r="G173" i="12"/>
  <c r="H173" i="12" s="1"/>
  <c r="I173" i="12" s="1"/>
  <c r="J173" i="12" s="1"/>
  <c r="K173" i="12" s="1"/>
  <c r="L173" i="12" s="1"/>
  <c r="M173" i="12" s="1"/>
  <c r="N173" i="12" s="1"/>
  <c r="O173" i="12" s="1"/>
  <c r="F173" i="12"/>
  <c r="G174" i="12"/>
  <c r="H174" i="12" s="1"/>
  <c r="I174" i="12" s="1"/>
  <c r="J174" i="12" s="1"/>
  <c r="K174" i="12" s="1"/>
  <c r="L174" i="12" s="1"/>
  <c r="M174" i="12" s="1"/>
  <c r="N174" i="12" s="1"/>
  <c r="O174" i="12" s="1"/>
  <c r="F174" i="12"/>
  <c r="D183" i="12"/>
  <c r="G181" i="12"/>
  <c r="F181" i="12"/>
  <c r="F183" i="12" s="1"/>
  <c r="G39" i="13"/>
  <c r="H23" i="13"/>
  <c r="G41" i="13"/>
  <c r="H25" i="13"/>
  <c r="G43" i="13"/>
  <c r="H27" i="13"/>
  <c r="G44" i="13"/>
  <c r="H28" i="13"/>
  <c r="G45" i="13"/>
  <c r="H29" i="13"/>
  <c r="G48" i="13"/>
  <c r="H32" i="13"/>
  <c r="G49" i="13"/>
  <c r="H33" i="13"/>
  <c r="H86" i="13"/>
  <c r="I77" i="13"/>
  <c r="O24" i="15"/>
  <c r="C15" i="17"/>
  <c r="C14" i="17"/>
  <c r="C13" i="17"/>
  <c r="C12" i="17"/>
  <c r="C11" i="17"/>
  <c r="C10" i="17"/>
  <c r="C9" i="17"/>
  <c r="C8" i="17"/>
  <c r="C7" i="17"/>
  <c r="C6" i="17"/>
  <c r="C5" i="17"/>
  <c r="D4" i="17"/>
  <c r="P171" i="12" l="1"/>
  <c r="G50" i="13"/>
  <c r="P173" i="12"/>
  <c r="H31" i="13"/>
  <c r="H24" i="13"/>
  <c r="P169" i="12"/>
  <c r="G46" i="13"/>
  <c r="G35" i="13"/>
  <c r="H26" i="13"/>
  <c r="H42" i="13" s="1"/>
  <c r="P174" i="12"/>
  <c r="P168" i="12"/>
  <c r="D15" i="17"/>
  <c r="D14" i="17"/>
  <c r="D13" i="17"/>
  <c r="D12" i="17"/>
  <c r="D11" i="17"/>
  <c r="D10" i="17"/>
  <c r="D9" i="17"/>
  <c r="D8" i="17"/>
  <c r="D7" i="17"/>
  <c r="D6" i="17"/>
  <c r="D5" i="17"/>
  <c r="E4" i="17"/>
  <c r="I86" i="13"/>
  <c r="J77" i="13"/>
  <c r="H50" i="13"/>
  <c r="I34" i="13"/>
  <c r="H49" i="13"/>
  <c r="I33" i="13"/>
  <c r="H48" i="13"/>
  <c r="I32" i="13"/>
  <c r="H47" i="13"/>
  <c r="I31" i="13"/>
  <c r="H46" i="13"/>
  <c r="I30" i="13"/>
  <c r="H45" i="13"/>
  <c r="I29" i="13"/>
  <c r="H44" i="13"/>
  <c r="I28" i="13"/>
  <c r="H43" i="13"/>
  <c r="I27" i="13"/>
  <c r="I26" i="13"/>
  <c r="H41" i="13"/>
  <c r="I25" i="13"/>
  <c r="H40" i="13"/>
  <c r="I24" i="13"/>
  <c r="H39" i="13"/>
  <c r="I23" i="13"/>
  <c r="G51" i="13"/>
  <c r="G183" i="12"/>
  <c r="H181" i="12"/>
  <c r="F175" i="12"/>
  <c r="G175" i="12"/>
  <c r="H167" i="12"/>
  <c r="H76" i="12"/>
  <c r="H75" i="12"/>
  <c r="H74" i="12"/>
  <c r="H73" i="12"/>
  <c r="H72" i="12"/>
  <c r="H71" i="12"/>
  <c r="H70" i="12"/>
  <c r="H69" i="12"/>
  <c r="H66" i="12"/>
  <c r="G67" i="12"/>
  <c r="G68" i="12"/>
  <c r="H32" i="12"/>
  <c r="H31" i="12"/>
  <c r="H30" i="12"/>
  <c r="H29" i="12"/>
  <c r="H28" i="12"/>
  <c r="H27" i="12"/>
  <c r="H26" i="12"/>
  <c r="H25" i="12"/>
  <c r="H24" i="12"/>
  <c r="H23" i="12"/>
  <c r="H22" i="12"/>
  <c r="H35" i="12"/>
  <c r="I19" i="12"/>
  <c r="H13" i="11"/>
  <c r="H33" i="11" s="1"/>
  <c r="D6" i="10"/>
  <c r="F5" i="9"/>
  <c r="H8" i="8"/>
  <c r="H6" i="8"/>
  <c r="I4" i="8"/>
  <c r="D155" i="7"/>
  <c r="D169" i="7" s="1"/>
  <c r="D172" i="7" s="1"/>
  <c r="C54" i="3"/>
  <c r="H81" i="8"/>
  <c r="D181" i="7"/>
  <c r="D156" i="7"/>
  <c r="D164" i="7" s="1"/>
  <c r="G514" i="6"/>
  <c r="G512" i="6"/>
  <c r="G511" i="6"/>
  <c r="F514" i="6"/>
  <c r="F512" i="6"/>
  <c r="F511" i="6"/>
  <c r="E514" i="6"/>
  <c r="E512" i="6"/>
  <c r="E511" i="6"/>
  <c r="B30" i="5"/>
  <c r="B10" i="5"/>
  <c r="P32" i="14"/>
  <c r="O32" i="14"/>
  <c r="N32" i="14"/>
  <c r="M32" i="14"/>
  <c r="L32" i="14"/>
  <c r="K32" i="14"/>
  <c r="F32" i="14"/>
  <c r="P31" i="14"/>
  <c r="O31" i="14"/>
  <c r="N31" i="14"/>
  <c r="M31" i="14"/>
  <c r="L31" i="14"/>
  <c r="K31" i="14"/>
  <c r="F31" i="14"/>
  <c r="P30" i="14"/>
  <c r="O30" i="14"/>
  <c r="N30" i="14"/>
  <c r="M30" i="14"/>
  <c r="L30" i="14"/>
  <c r="K30" i="14"/>
  <c r="F30" i="14"/>
  <c r="P29" i="14"/>
  <c r="O29" i="14"/>
  <c r="N29" i="14"/>
  <c r="M29" i="14"/>
  <c r="L29" i="14"/>
  <c r="K29" i="14"/>
  <c r="F29" i="14"/>
  <c r="P28" i="14"/>
  <c r="O28" i="14"/>
  <c r="N28" i="14"/>
  <c r="M28" i="14"/>
  <c r="L28" i="14"/>
  <c r="K28" i="14"/>
  <c r="F28" i="14"/>
  <c r="P27" i="14"/>
  <c r="O27" i="14"/>
  <c r="N27" i="14"/>
  <c r="M27" i="14"/>
  <c r="L27" i="14"/>
  <c r="K27" i="14"/>
  <c r="F27" i="14"/>
  <c r="P26" i="14"/>
  <c r="O26" i="14"/>
  <c r="N26" i="14"/>
  <c r="M26" i="14"/>
  <c r="L26" i="14"/>
  <c r="K26" i="14"/>
  <c r="F26" i="14"/>
  <c r="P25" i="14"/>
  <c r="O25" i="14"/>
  <c r="N25" i="14"/>
  <c r="M25" i="14"/>
  <c r="L25" i="14"/>
  <c r="K25" i="14"/>
  <c r="F25" i="14"/>
  <c r="P24" i="14"/>
  <c r="O24" i="14"/>
  <c r="N24" i="14"/>
  <c r="M24" i="14"/>
  <c r="L24" i="14"/>
  <c r="K24" i="14"/>
  <c r="F24" i="14"/>
  <c r="P23" i="14"/>
  <c r="O23" i="14"/>
  <c r="N23" i="14"/>
  <c r="M23" i="14"/>
  <c r="L23" i="14"/>
  <c r="K23" i="14"/>
  <c r="F23" i="14"/>
  <c r="P22" i="14"/>
  <c r="O22" i="14"/>
  <c r="N22" i="14"/>
  <c r="M22" i="14"/>
  <c r="L22" i="14"/>
  <c r="K22" i="14"/>
  <c r="F22" i="14"/>
  <c r="P15" i="14"/>
  <c r="O15" i="14"/>
  <c r="N15" i="14"/>
  <c r="M15" i="14"/>
  <c r="L15" i="14"/>
  <c r="K15" i="14"/>
  <c r="J15" i="14"/>
  <c r="I15" i="14"/>
  <c r="H15" i="14"/>
  <c r="G15" i="14"/>
  <c r="F15" i="14"/>
  <c r="P14" i="14"/>
  <c r="O14" i="14"/>
  <c r="N14" i="14"/>
  <c r="M14" i="14"/>
  <c r="L14" i="14"/>
  <c r="K14" i="14"/>
  <c r="J14" i="14"/>
  <c r="I14" i="14"/>
  <c r="H14" i="14"/>
  <c r="G14" i="14"/>
  <c r="F14" i="14"/>
  <c r="P13" i="14"/>
  <c r="O13" i="14"/>
  <c r="N13" i="14"/>
  <c r="M13" i="14"/>
  <c r="L13" i="14"/>
  <c r="K13" i="14"/>
  <c r="J13" i="14"/>
  <c r="I13" i="14"/>
  <c r="H13" i="14"/>
  <c r="G13" i="14"/>
  <c r="F13" i="14"/>
  <c r="P12" i="14"/>
  <c r="O12" i="14"/>
  <c r="N12" i="14"/>
  <c r="M12" i="14"/>
  <c r="L12" i="14"/>
  <c r="K12" i="14"/>
  <c r="J12" i="14"/>
  <c r="I12" i="14"/>
  <c r="H12" i="14"/>
  <c r="G12" i="14"/>
  <c r="F12" i="14"/>
  <c r="P11" i="14"/>
  <c r="O11" i="14"/>
  <c r="N11" i="14"/>
  <c r="M11" i="14"/>
  <c r="L11" i="14"/>
  <c r="K11" i="14"/>
  <c r="J11" i="14"/>
  <c r="I11" i="14"/>
  <c r="H11" i="14"/>
  <c r="G11" i="14"/>
  <c r="F11" i="14"/>
  <c r="P10" i="14"/>
  <c r="O10" i="14"/>
  <c r="N10" i="14"/>
  <c r="M10" i="14"/>
  <c r="L10" i="14"/>
  <c r="K10" i="14"/>
  <c r="J10" i="14"/>
  <c r="I10" i="14"/>
  <c r="H10" i="14"/>
  <c r="G10" i="14"/>
  <c r="F10" i="14"/>
  <c r="P9" i="14"/>
  <c r="O9" i="14"/>
  <c r="N9" i="14"/>
  <c r="M9" i="14"/>
  <c r="L9" i="14"/>
  <c r="K9" i="14"/>
  <c r="J9" i="14"/>
  <c r="I9" i="14"/>
  <c r="H9" i="14"/>
  <c r="G9" i="14"/>
  <c r="F9" i="14"/>
  <c r="P8" i="14"/>
  <c r="O8" i="14"/>
  <c r="N8" i="14"/>
  <c r="M8" i="14"/>
  <c r="L8" i="14"/>
  <c r="K8" i="14"/>
  <c r="J8" i="14"/>
  <c r="I8" i="14"/>
  <c r="H8" i="14"/>
  <c r="G8" i="14"/>
  <c r="F8" i="14"/>
  <c r="P7" i="14"/>
  <c r="O7" i="14"/>
  <c r="N7" i="14"/>
  <c r="M7" i="14"/>
  <c r="L7" i="14"/>
  <c r="K7" i="14"/>
  <c r="J7" i="14"/>
  <c r="I7" i="14"/>
  <c r="H7" i="14"/>
  <c r="G7" i="14"/>
  <c r="F7" i="14"/>
  <c r="P6" i="14"/>
  <c r="O6" i="14"/>
  <c r="N6" i="14"/>
  <c r="M6" i="14"/>
  <c r="L6" i="14"/>
  <c r="K6" i="14"/>
  <c r="J6" i="14"/>
  <c r="I6" i="14"/>
  <c r="H6" i="14"/>
  <c r="G6" i="14"/>
  <c r="F6" i="14"/>
  <c r="P5" i="14"/>
  <c r="O5" i="14"/>
  <c r="N5" i="14"/>
  <c r="M5" i="14"/>
  <c r="L5" i="14"/>
  <c r="K5" i="14"/>
  <c r="J5" i="14"/>
  <c r="I5" i="14"/>
  <c r="H5" i="14"/>
  <c r="G5" i="14"/>
  <c r="E532" i="6"/>
  <c r="C146" i="7"/>
  <c r="D187" i="7" s="1"/>
  <c r="E546" i="6"/>
  <c r="E78" i="6"/>
  <c r="C31" i="2"/>
  <c r="E69" i="6"/>
  <c r="E75" i="6" s="1"/>
  <c r="E63" i="6"/>
  <c r="D5" i="11" s="1"/>
  <c r="C68" i="2" s="1"/>
  <c r="E54" i="6"/>
  <c r="C21" i="5"/>
  <c r="B21" i="5"/>
  <c r="F66" i="2"/>
  <c r="F29" i="2"/>
  <c r="G513" i="6" l="1"/>
  <c r="G515" i="6" s="1"/>
  <c r="H35" i="13"/>
  <c r="F513" i="6"/>
  <c r="F515" i="6" s="1"/>
  <c r="M33" i="14"/>
  <c r="K33" i="14"/>
  <c r="O33" i="14"/>
  <c r="L33" i="14"/>
  <c r="P33" i="14"/>
  <c r="E513" i="6"/>
  <c r="E515" i="6" s="1"/>
  <c r="E516" i="6" s="1"/>
  <c r="H73" i="8" s="1"/>
  <c r="H51" i="13"/>
  <c r="N33" i="14"/>
  <c r="D21" i="5"/>
  <c r="E21" i="5" s="1"/>
  <c r="F21" i="5" s="1"/>
  <c r="C5" i="11"/>
  <c r="E544" i="6"/>
  <c r="E46" i="6"/>
  <c r="C36" i="2"/>
  <c r="F31" i="2"/>
  <c r="C30" i="2"/>
  <c r="C29" i="2"/>
  <c r="E543" i="6"/>
  <c r="E47" i="6"/>
  <c r="F32" i="2"/>
  <c r="F30" i="2"/>
  <c r="F16" i="14"/>
  <c r="H507" i="6" s="1"/>
  <c r="F148" i="12"/>
  <c r="G16" i="14"/>
  <c r="F113" i="12"/>
  <c r="F130" i="12"/>
  <c r="G148" i="12"/>
  <c r="H16" i="14"/>
  <c r="H72" i="14"/>
  <c r="G113" i="12"/>
  <c r="G130" i="12"/>
  <c r="H148" i="12"/>
  <c r="I16" i="14"/>
  <c r="I72" i="14"/>
  <c r="I41" i="14"/>
  <c r="H130" i="12" s="1"/>
  <c r="I148" i="12"/>
  <c r="J16" i="14"/>
  <c r="J72" i="14"/>
  <c r="I130" i="12"/>
  <c r="K16" i="14"/>
  <c r="K72" i="14"/>
  <c r="K41" i="14"/>
  <c r="L16" i="14"/>
  <c r="L72" i="14"/>
  <c r="L41" i="14"/>
  <c r="M16" i="14"/>
  <c r="M72" i="14"/>
  <c r="M41" i="14"/>
  <c r="N16" i="14"/>
  <c r="F99" i="2"/>
  <c r="N72" i="14"/>
  <c r="N41" i="14"/>
  <c r="O16" i="14"/>
  <c r="O36" i="14" s="1"/>
  <c r="O72" i="14"/>
  <c r="O41" i="14"/>
  <c r="P16" i="14"/>
  <c r="P36" i="14" s="1"/>
  <c r="P72" i="14"/>
  <c r="P41" i="14"/>
  <c r="F149" i="12"/>
  <c r="F114" i="12"/>
  <c r="G73" i="14"/>
  <c r="G42" i="14"/>
  <c r="F131" i="12" s="1"/>
  <c r="G149" i="12"/>
  <c r="H73" i="14"/>
  <c r="G114" i="12"/>
  <c r="H42" i="14"/>
  <c r="G131" i="12" s="1"/>
  <c r="H149" i="12"/>
  <c r="I73" i="14"/>
  <c r="I42" i="14"/>
  <c r="H131" i="12" s="1"/>
  <c r="I149" i="12"/>
  <c r="J149" i="12" s="1"/>
  <c r="K149" i="12" s="1"/>
  <c r="L149" i="12" s="1"/>
  <c r="M149" i="12" s="1"/>
  <c r="N149" i="12" s="1"/>
  <c r="O149" i="12" s="1"/>
  <c r="J73" i="14"/>
  <c r="J42" i="14"/>
  <c r="I131" i="12" s="1"/>
  <c r="J131" i="12" s="1"/>
  <c r="K131" i="12" s="1"/>
  <c r="L131" i="12" s="1"/>
  <c r="M131" i="12" s="1"/>
  <c r="N131" i="12" s="1"/>
  <c r="O131" i="12" s="1"/>
  <c r="K73" i="14"/>
  <c r="K42" i="14"/>
  <c r="L73" i="14"/>
  <c r="L42" i="14"/>
  <c r="M73" i="14"/>
  <c r="M42" i="14"/>
  <c r="N73" i="14"/>
  <c r="N42" i="14"/>
  <c r="O73" i="14"/>
  <c r="O42" i="14"/>
  <c r="P73" i="14"/>
  <c r="P42" i="14"/>
  <c r="F150" i="12"/>
  <c r="F115" i="12"/>
  <c r="G74" i="14"/>
  <c r="G43" i="14"/>
  <c r="F132" i="12" s="1"/>
  <c r="G150" i="12"/>
  <c r="H74" i="14"/>
  <c r="G115" i="12"/>
  <c r="H43" i="14"/>
  <c r="G132" i="12" s="1"/>
  <c r="H150" i="12"/>
  <c r="I74" i="14"/>
  <c r="I43" i="14"/>
  <c r="H132" i="12" s="1"/>
  <c r="I150" i="12"/>
  <c r="J150" i="12" s="1"/>
  <c r="K150" i="12" s="1"/>
  <c r="L150" i="12" s="1"/>
  <c r="M150" i="12" s="1"/>
  <c r="N150" i="12" s="1"/>
  <c r="O150" i="12" s="1"/>
  <c r="J74" i="14"/>
  <c r="J43" i="14"/>
  <c r="I132" i="12" s="1"/>
  <c r="J132" i="12" s="1"/>
  <c r="K132" i="12" s="1"/>
  <c r="L132" i="12" s="1"/>
  <c r="M132" i="12" s="1"/>
  <c r="N132" i="12" s="1"/>
  <c r="O132" i="12" s="1"/>
  <c r="K74" i="14"/>
  <c r="K43" i="14"/>
  <c r="L74" i="14"/>
  <c r="L43" i="14"/>
  <c r="M74" i="14"/>
  <c r="M43" i="14"/>
  <c r="N74" i="14"/>
  <c r="N43" i="14"/>
  <c r="O74" i="14"/>
  <c r="O43" i="14"/>
  <c r="P74" i="14"/>
  <c r="P43" i="14"/>
  <c r="F151" i="12"/>
  <c r="F116" i="12"/>
  <c r="G75" i="14"/>
  <c r="G44" i="14"/>
  <c r="F133" i="12" s="1"/>
  <c r="G151" i="12"/>
  <c r="H75" i="14"/>
  <c r="G85" i="12"/>
  <c r="G116" i="12"/>
  <c r="H44" i="14"/>
  <c r="G133" i="12" s="1"/>
  <c r="H151" i="12"/>
  <c r="I75" i="14"/>
  <c r="I44" i="14"/>
  <c r="H133" i="12" s="1"/>
  <c r="I133" i="12" s="1"/>
  <c r="J133" i="12" s="1"/>
  <c r="K133" i="12" s="1"/>
  <c r="L133" i="12" s="1"/>
  <c r="M133" i="12" s="1"/>
  <c r="N133" i="12" s="1"/>
  <c r="O133" i="12" s="1"/>
  <c r="I151" i="12"/>
  <c r="J151" i="12" s="1"/>
  <c r="K151" i="12" s="1"/>
  <c r="L151" i="12" s="1"/>
  <c r="M151" i="12" s="1"/>
  <c r="N151" i="12" s="1"/>
  <c r="O151" i="12" s="1"/>
  <c r="J75" i="14"/>
  <c r="J44" i="14"/>
  <c r="K75" i="14"/>
  <c r="K44" i="14"/>
  <c r="L75" i="14"/>
  <c r="L44" i="14"/>
  <c r="M75" i="14"/>
  <c r="M44" i="14"/>
  <c r="F100" i="2"/>
  <c r="N75" i="14"/>
  <c r="N44" i="14"/>
  <c r="O75" i="14"/>
  <c r="O44" i="14"/>
  <c r="P75" i="14"/>
  <c r="P44" i="14"/>
  <c r="F152" i="12"/>
  <c r="F117" i="12"/>
  <c r="G76" i="14"/>
  <c r="G45" i="14"/>
  <c r="F134" i="12" s="1"/>
  <c r="G152" i="12"/>
  <c r="H76" i="14"/>
  <c r="G86" i="12"/>
  <c r="G117" i="12"/>
  <c r="H45" i="14"/>
  <c r="G134" i="12" s="1"/>
  <c r="H152" i="12"/>
  <c r="I76" i="14"/>
  <c r="I45" i="14"/>
  <c r="H134" i="12" s="1"/>
  <c r="I134" i="12" s="1"/>
  <c r="J134" i="12" s="1"/>
  <c r="K134" i="12" s="1"/>
  <c r="L134" i="12" s="1"/>
  <c r="M134" i="12" s="1"/>
  <c r="N134" i="12" s="1"/>
  <c r="O134" i="12" s="1"/>
  <c r="I152" i="12"/>
  <c r="J152" i="12" s="1"/>
  <c r="K152" i="12" s="1"/>
  <c r="L152" i="12" s="1"/>
  <c r="M152" i="12" s="1"/>
  <c r="N152" i="12" s="1"/>
  <c r="O152" i="12" s="1"/>
  <c r="J76" i="14"/>
  <c r="J45" i="14"/>
  <c r="K76" i="14"/>
  <c r="K45" i="14"/>
  <c r="L76" i="14"/>
  <c r="L45" i="14"/>
  <c r="M76" i="14"/>
  <c r="M45" i="14"/>
  <c r="F101" i="2"/>
  <c r="N76" i="14"/>
  <c r="N45" i="14"/>
  <c r="O76" i="14"/>
  <c r="O45" i="14"/>
  <c r="P76" i="14"/>
  <c r="P45" i="14"/>
  <c r="F153" i="12"/>
  <c r="F118" i="12"/>
  <c r="G77" i="14"/>
  <c r="G46" i="14"/>
  <c r="F135" i="12" s="1"/>
  <c r="G153" i="12"/>
  <c r="H77" i="14"/>
  <c r="G87" i="12"/>
  <c r="G118" i="12"/>
  <c r="H46" i="14"/>
  <c r="G135" i="12" s="1"/>
  <c r="H153" i="12"/>
  <c r="I77" i="14"/>
  <c r="I46" i="14"/>
  <c r="H135" i="12" s="1"/>
  <c r="I135" i="12" s="1"/>
  <c r="J135" i="12" s="1"/>
  <c r="K135" i="12" s="1"/>
  <c r="L135" i="12" s="1"/>
  <c r="M135" i="12" s="1"/>
  <c r="N135" i="12" s="1"/>
  <c r="O135" i="12" s="1"/>
  <c r="I153" i="12"/>
  <c r="J153" i="12" s="1"/>
  <c r="K153" i="12" s="1"/>
  <c r="L153" i="12" s="1"/>
  <c r="M153" i="12" s="1"/>
  <c r="N153" i="12" s="1"/>
  <c r="O153" i="12" s="1"/>
  <c r="J77" i="14"/>
  <c r="J46" i="14"/>
  <c r="K77" i="14"/>
  <c r="K46" i="14"/>
  <c r="L77" i="14"/>
  <c r="L46" i="14"/>
  <c r="M77" i="14"/>
  <c r="M46" i="14"/>
  <c r="F102" i="2"/>
  <c r="N77" i="14"/>
  <c r="N46" i="14"/>
  <c r="O77" i="14"/>
  <c r="O46" i="14"/>
  <c r="P77" i="14"/>
  <c r="P46" i="14"/>
  <c r="F154" i="12"/>
  <c r="F119" i="12"/>
  <c r="G78" i="14"/>
  <c r="G47" i="14"/>
  <c r="F136" i="12" s="1"/>
  <c r="G154" i="12"/>
  <c r="H78" i="14"/>
  <c r="G88" i="12"/>
  <c r="G119" i="12"/>
  <c r="H47" i="14"/>
  <c r="G136" i="12" s="1"/>
  <c r="H154" i="12"/>
  <c r="I78" i="14"/>
  <c r="I47" i="14"/>
  <c r="H136" i="12" s="1"/>
  <c r="I136" i="12" s="1"/>
  <c r="J136" i="12" s="1"/>
  <c r="K136" i="12" s="1"/>
  <c r="L136" i="12" s="1"/>
  <c r="M136" i="12" s="1"/>
  <c r="N136" i="12" s="1"/>
  <c r="O136" i="12" s="1"/>
  <c r="I154" i="12"/>
  <c r="J154" i="12" s="1"/>
  <c r="K154" i="12" s="1"/>
  <c r="L154" i="12" s="1"/>
  <c r="M154" i="12" s="1"/>
  <c r="N154" i="12" s="1"/>
  <c r="O154" i="12" s="1"/>
  <c r="J78" i="14"/>
  <c r="J47" i="14"/>
  <c r="K78" i="14"/>
  <c r="K47" i="14"/>
  <c r="L78" i="14"/>
  <c r="L47" i="14"/>
  <c r="M78" i="14"/>
  <c r="M47" i="14"/>
  <c r="F103" i="2"/>
  <c r="N78" i="14"/>
  <c r="N47" i="14"/>
  <c r="O78" i="14"/>
  <c r="O47" i="14"/>
  <c r="P78" i="14"/>
  <c r="P47" i="14"/>
  <c r="G64" i="14"/>
  <c r="F155" i="12" s="1"/>
  <c r="F120" i="12"/>
  <c r="G79" i="14"/>
  <c r="G48" i="14"/>
  <c r="F137" i="12" s="1"/>
  <c r="H64" i="14"/>
  <c r="G155" i="12" s="1"/>
  <c r="H79" i="14"/>
  <c r="G89" i="12"/>
  <c r="G120" i="12"/>
  <c r="H48" i="14"/>
  <c r="G137" i="12" s="1"/>
  <c r="I64" i="14"/>
  <c r="H155" i="12" s="1"/>
  <c r="I79" i="14"/>
  <c r="I48" i="14"/>
  <c r="H137" i="12" s="1"/>
  <c r="I137" i="12" s="1"/>
  <c r="J137" i="12" s="1"/>
  <c r="K137" i="12" s="1"/>
  <c r="L137" i="12" s="1"/>
  <c r="M137" i="12" s="1"/>
  <c r="N137" i="12" s="1"/>
  <c r="O137" i="12" s="1"/>
  <c r="J64" i="14"/>
  <c r="I155" i="12" s="1"/>
  <c r="J155" i="12" s="1"/>
  <c r="K155" i="12" s="1"/>
  <c r="L155" i="12" s="1"/>
  <c r="M155" i="12" s="1"/>
  <c r="N155" i="12" s="1"/>
  <c r="O155" i="12" s="1"/>
  <c r="J79" i="14"/>
  <c r="J48" i="14"/>
  <c r="K64" i="14"/>
  <c r="K79" i="14"/>
  <c r="K48" i="14"/>
  <c r="L64" i="14"/>
  <c r="L79" i="14"/>
  <c r="L48" i="14"/>
  <c r="M64" i="14"/>
  <c r="M79" i="14"/>
  <c r="M48" i="14"/>
  <c r="N64" i="14"/>
  <c r="F104" i="2"/>
  <c r="N79" i="14"/>
  <c r="N48" i="14"/>
  <c r="O64" i="14"/>
  <c r="O79" i="14"/>
  <c r="O48" i="14"/>
  <c r="P64" i="14"/>
  <c r="P79" i="14"/>
  <c r="P48" i="14"/>
  <c r="G65" i="14"/>
  <c r="F156" i="12" s="1"/>
  <c r="F121" i="12"/>
  <c r="G80" i="14"/>
  <c r="G49" i="14"/>
  <c r="F138" i="12" s="1"/>
  <c r="H65" i="14"/>
  <c r="G156" i="12" s="1"/>
  <c r="H80" i="14"/>
  <c r="G90" i="12"/>
  <c r="G121" i="12"/>
  <c r="H49" i="14"/>
  <c r="G138" i="12" s="1"/>
  <c r="I65" i="14"/>
  <c r="H156" i="12" s="1"/>
  <c r="I80" i="14"/>
  <c r="I49" i="14"/>
  <c r="H138" i="12" s="1"/>
  <c r="I138" i="12" s="1"/>
  <c r="J138" i="12" s="1"/>
  <c r="K138" i="12" s="1"/>
  <c r="L138" i="12" s="1"/>
  <c r="M138" i="12" s="1"/>
  <c r="N138" i="12" s="1"/>
  <c r="O138" i="12" s="1"/>
  <c r="J65" i="14"/>
  <c r="I156" i="12" s="1"/>
  <c r="J156" i="12" s="1"/>
  <c r="K156" i="12" s="1"/>
  <c r="L156" i="12" s="1"/>
  <c r="M156" i="12" s="1"/>
  <c r="N156" i="12" s="1"/>
  <c r="O156" i="12" s="1"/>
  <c r="J80" i="14"/>
  <c r="J49" i="14"/>
  <c r="K65" i="14"/>
  <c r="K80" i="14"/>
  <c r="K49" i="14"/>
  <c r="L65" i="14"/>
  <c r="L80" i="14"/>
  <c r="L49" i="14"/>
  <c r="M65" i="14"/>
  <c r="M80" i="14"/>
  <c r="M49" i="14"/>
  <c r="N65" i="14"/>
  <c r="F105" i="2"/>
  <c r="N80" i="14"/>
  <c r="N49" i="14"/>
  <c r="O65" i="14"/>
  <c r="O80" i="14"/>
  <c r="O49" i="14"/>
  <c r="P65" i="14"/>
  <c r="P80" i="14"/>
  <c r="P49" i="14"/>
  <c r="G66" i="14"/>
  <c r="F157" i="12" s="1"/>
  <c r="F122" i="12"/>
  <c r="G81" i="14"/>
  <c r="G50" i="14"/>
  <c r="F139" i="12" s="1"/>
  <c r="H66" i="14"/>
  <c r="G157" i="12" s="1"/>
  <c r="H81" i="14"/>
  <c r="G91" i="12"/>
  <c r="G122" i="12"/>
  <c r="H50" i="14"/>
  <c r="G139" i="12" s="1"/>
  <c r="I66" i="14"/>
  <c r="H157" i="12" s="1"/>
  <c r="I81" i="14"/>
  <c r="I50" i="14"/>
  <c r="H139" i="12" s="1"/>
  <c r="I139" i="12" s="1"/>
  <c r="J139" i="12" s="1"/>
  <c r="K139" i="12" s="1"/>
  <c r="L139" i="12" s="1"/>
  <c r="M139" i="12" s="1"/>
  <c r="N139" i="12" s="1"/>
  <c r="O139" i="12" s="1"/>
  <c r="J66" i="14"/>
  <c r="I157" i="12" s="1"/>
  <c r="J157" i="12" s="1"/>
  <c r="K157" i="12" s="1"/>
  <c r="L157" i="12" s="1"/>
  <c r="M157" i="12" s="1"/>
  <c r="N157" i="12" s="1"/>
  <c r="O157" i="12" s="1"/>
  <c r="J81" i="14"/>
  <c r="J50" i="14"/>
  <c r="K66" i="14"/>
  <c r="K81" i="14"/>
  <c r="K50" i="14"/>
  <c r="L66" i="14"/>
  <c r="L81" i="14"/>
  <c r="L50" i="14"/>
  <c r="M66" i="14"/>
  <c r="M81" i="14"/>
  <c r="M50" i="14"/>
  <c r="N66" i="14"/>
  <c r="F106" i="2"/>
  <c r="N81" i="14"/>
  <c r="N50" i="14"/>
  <c r="O66" i="14"/>
  <c r="O81" i="14"/>
  <c r="O50" i="14"/>
  <c r="P66" i="14"/>
  <c r="P81" i="14"/>
  <c r="P50" i="14"/>
  <c r="G67" i="14"/>
  <c r="F158" i="12" s="1"/>
  <c r="F123" i="12"/>
  <c r="G82" i="14"/>
  <c r="G51" i="14"/>
  <c r="F140" i="12" s="1"/>
  <c r="H67" i="14"/>
  <c r="G158" i="12" s="1"/>
  <c r="H82" i="14"/>
  <c r="G92" i="12"/>
  <c r="G123" i="12"/>
  <c r="H51" i="14"/>
  <c r="G140" i="12" s="1"/>
  <c r="I67" i="14"/>
  <c r="H158" i="12" s="1"/>
  <c r="I82" i="14"/>
  <c r="I51" i="14"/>
  <c r="H140" i="12" s="1"/>
  <c r="I140" i="12" s="1"/>
  <c r="J140" i="12" s="1"/>
  <c r="K140" i="12" s="1"/>
  <c r="L140" i="12" s="1"/>
  <c r="M140" i="12" s="1"/>
  <c r="N140" i="12" s="1"/>
  <c r="O140" i="12" s="1"/>
  <c r="J67" i="14"/>
  <c r="I158" i="12" s="1"/>
  <c r="J158" i="12" s="1"/>
  <c r="K158" i="12" s="1"/>
  <c r="L158" i="12" s="1"/>
  <c r="M158" i="12" s="1"/>
  <c r="N158" i="12" s="1"/>
  <c r="O158" i="12" s="1"/>
  <c r="J82" i="14"/>
  <c r="J51" i="14"/>
  <c r="K67" i="14"/>
  <c r="K82" i="14"/>
  <c r="K51" i="14"/>
  <c r="L67" i="14"/>
  <c r="L82" i="14"/>
  <c r="L51" i="14"/>
  <c r="M67" i="14"/>
  <c r="M82" i="14"/>
  <c r="M51" i="14"/>
  <c r="N67" i="14"/>
  <c r="N82" i="14"/>
  <c r="N51" i="14"/>
  <c r="O67" i="14"/>
  <c r="O82" i="14"/>
  <c r="O51" i="14"/>
  <c r="P67" i="14"/>
  <c r="P82" i="14"/>
  <c r="P51" i="14"/>
  <c r="F33" i="14"/>
  <c r="H22" i="14"/>
  <c r="G22" i="14"/>
  <c r="H23" i="14"/>
  <c r="I23" i="14" s="1"/>
  <c r="J23" i="14" s="1"/>
  <c r="G23" i="14"/>
  <c r="H24" i="14"/>
  <c r="I24" i="14" s="1"/>
  <c r="J24" i="14" s="1"/>
  <c r="G24" i="14"/>
  <c r="H25" i="14"/>
  <c r="I25" i="14" s="1"/>
  <c r="J25" i="14" s="1"/>
  <c r="G25" i="14"/>
  <c r="H26" i="14"/>
  <c r="I26" i="14" s="1"/>
  <c r="J26" i="14" s="1"/>
  <c r="G26" i="14"/>
  <c r="H27" i="14"/>
  <c r="I27" i="14" s="1"/>
  <c r="J27" i="14" s="1"/>
  <c r="G27" i="14"/>
  <c r="H28" i="14"/>
  <c r="I28" i="14" s="1"/>
  <c r="J28" i="14" s="1"/>
  <c r="G28" i="14"/>
  <c r="H29" i="14"/>
  <c r="I29" i="14" s="1"/>
  <c r="J29" i="14" s="1"/>
  <c r="G29" i="14"/>
  <c r="H30" i="14"/>
  <c r="I30" i="14" s="1"/>
  <c r="J30" i="14" s="1"/>
  <c r="G30" i="14"/>
  <c r="H31" i="14"/>
  <c r="I31" i="14" s="1"/>
  <c r="J31" i="14" s="1"/>
  <c r="G31" i="14"/>
  <c r="H32" i="14"/>
  <c r="I32" i="14" s="1"/>
  <c r="J32" i="14" s="1"/>
  <c r="G32" i="14"/>
  <c r="D166" i="7"/>
  <c r="D26" i="10"/>
  <c r="F21" i="9"/>
  <c r="E179" i="7"/>
  <c r="D183" i="7"/>
  <c r="F22" i="9" s="1"/>
  <c r="F54" i="9" s="1"/>
  <c r="C63" i="3"/>
  <c r="C59" i="3"/>
  <c r="C106" i="3"/>
  <c r="C116" i="3" s="1"/>
  <c r="C55" i="3"/>
  <c r="C78" i="3" s="1"/>
  <c r="C79" i="3" s="1"/>
  <c r="D170" i="7"/>
  <c r="I12" i="11"/>
  <c r="I32" i="11" s="1"/>
  <c r="E5" i="10"/>
  <c r="E43" i="10" s="1"/>
  <c r="G4" i="9"/>
  <c r="I5" i="8"/>
  <c r="E154" i="7"/>
  <c r="H14" i="11"/>
  <c r="D7" i="10"/>
  <c r="F6" i="9"/>
  <c r="D153" i="7"/>
  <c r="C53" i="3"/>
  <c r="H108" i="8"/>
  <c r="H98" i="8"/>
  <c r="H100" i="8" s="1"/>
  <c r="D33" i="10" s="1"/>
  <c r="H85" i="8"/>
  <c r="H71" i="8"/>
  <c r="H70" i="8"/>
  <c r="H69" i="8"/>
  <c r="H66" i="8"/>
  <c r="H65" i="8"/>
  <c r="H64" i="8"/>
  <c r="H63" i="8"/>
  <c r="H62" i="8"/>
  <c r="H61" i="8"/>
  <c r="H60" i="8"/>
  <c r="H58" i="8"/>
  <c r="H57" i="8"/>
  <c r="H56" i="8"/>
  <c r="H55" i="8"/>
  <c r="H54" i="8"/>
  <c r="H53" i="8"/>
  <c r="H52" i="8"/>
  <c r="H51" i="8"/>
  <c r="H50" i="8"/>
  <c r="H49" i="8"/>
  <c r="H48" i="8"/>
  <c r="H47" i="8"/>
  <c r="H46" i="8"/>
  <c r="H45" i="8"/>
  <c r="H25" i="8"/>
  <c r="H24" i="8"/>
  <c r="H20" i="8"/>
  <c r="H19" i="8"/>
  <c r="H18" i="8"/>
  <c r="H17" i="8"/>
  <c r="H32" i="8" s="1"/>
  <c r="H16" i="8"/>
  <c r="H15" i="8"/>
  <c r="H14" i="8"/>
  <c r="H9" i="8"/>
  <c r="D66" i="10"/>
  <c r="D44" i="10"/>
  <c r="I35" i="12"/>
  <c r="J19" i="12"/>
  <c r="H113" i="12"/>
  <c r="I22" i="12"/>
  <c r="H114" i="12"/>
  <c r="I23" i="12"/>
  <c r="H115" i="12"/>
  <c r="I24" i="12"/>
  <c r="H116" i="12"/>
  <c r="I25" i="12"/>
  <c r="H117" i="12"/>
  <c r="I26" i="12"/>
  <c r="H118" i="12"/>
  <c r="I27" i="12"/>
  <c r="H119" i="12"/>
  <c r="I28" i="12"/>
  <c r="H120" i="12"/>
  <c r="I29" i="12"/>
  <c r="H121" i="12"/>
  <c r="I30" i="12"/>
  <c r="H122" i="12"/>
  <c r="I31" i="12"/>
  <c r="H123" i="12"/>
  <c r="I32" i="12"/>
  <c r="G84" i="12"/>
  <c r="H68" i="12"/>
  <c r="G83" i="12"/>
  <c r="H67" i="12"/>
  <c r="H82" i="12"/>
  <c r="I66" i="12"/>
  <c r="H85" i="12"/>
  <c r="I69" i="12"/>
  <c r="H86" i="12"/>
  <c r="I70" i="12"/>
  <c r="H87" i="12"/>
  <c r="I71" i="12"/>
  <c r="H88" i="12"/>
  <c r="I72" i="12"/>
  <c r="H89" i="12"/>
  <c r="I73" i="12"/>
  <c r="H90" i="12"/>
  <c r="I74" i="12"/>
  <c r="H91" i="12"/>
  <c r="I75" i="12"/>
  <c r="H92" i="12"/>
  <c r="I76" i="12"/>
  <c r="H175" i="12"/>
  <c r="I167" i="12"/>
  <c r="P167" i="12"/>
  <c r="H183" i="12"/>
  <c r="I181" i="12"/>
  <c r="I39" i="13"/>
  <c r="I35" i="13"/>
  <c r="J23" i="13"/>
  <c r="I40" i="13"/>
  <c r="J24" i="13"/>
  <c r="I41" i="13"/>
  <c r="J25" i="13"/>
  <c r="I42" i="13"/>
  <c r="J26" i="13"/>
  <c r="I43" i="13"/>
  <c r="J27" i="13"/>
  <c r="I44" i="13"/>
  <c r="J28" i="13"/>
  <c r="I45" i="13"/>
  <c r="J29" i="13"/>
  <c r="I46" i="13"/>
  <c r="J30" i="13"/>
  <c r="I47" i="13"/>
  <c r="J31" i="13"/>
  <c r="I48" i="13"/>
  <c r="J32" i="13"/>
  <c r="I49" i="13"/>
  <c r="J33" i="13"/>
  <c r="I50" i="13"/>
  <c r="J34" i="13"/>
  <c r="J86" i="13"/>
  <c r="K77" i="13"/>
  <c r="E15" i="17"/>
  <c r="E14" i="17"/>
  <c r="E13" i="17"/>
  <c r="E12" i="17"/>
  <c r="E11" i="17"/>
  <c r="E10" i="17"/>
  <c r="E9" i="17"/>
  <c r="E8" i="17"/>
  <c r="E7" i="17"/>
  <c r="E6" i="17"/>
  <c r="E5" i="17"/>
  <c r="F4" i="17"/>
  <c r="F104" i="12" l="1"/>
  <c r="G516" i="6"/>
  <c r="J73" i="8" s="1"/>
  <c r="D29" i="10"/>
  <c r="E14" i="14"/>
  <c r="E545" i="6"/>
  <c r="E556" i="6" s="1"/>
  <c r="H26" i="8"/>
  <c r="F103" i="12"/>
  <c r="E32" i="14"/>
  <c r="E26" i="14"/>
  <c r="F102" i="12"/>
  <c r="E9" i="14"/>
  <c r="F516" i="6"/>
  <c r="I73" i="8" s="1"/>
  <c r="E27" i="14"/>
  <c r="E15" i="14"/>
  <c r="E8" i="14"/>
  <c r="E7" i="14"/>
  <c r="E6" i="14"/>
  <c r="F105" i="12"/>
  <c r="E13" i="14"/>
  <c r="E31" i="14"/>
  <c r="E25" i="14"/>
  <c r="E12" i="14"/>
  <c r="E11" i="14"/>
  <c r="E30" i="14"/>
  <c r="E24" i="14"/>
  <c r="E23" i="14"/>
  <c r="E10" i="14"/>
  <c r="F101" i="12"/>
  <c r="E29" i="14"/>
  <c r="H68" i="8"/>
  <c r="H75" i="8" s="1"/>
  <c r="F107" i="12"/>
  <c r="F99" i="12"/>
  <c r="F98" i="12"/>
  <c r="F100" i="12"/>
  <c r="E28" i="14"/>
  <c r="F106" i="12"/>
  <c r="F15" i="17"/>
  <c r="F14" i="17"/>
  <c r="F13" i="17"/>
  <c r="F12" i="17"/>
  <c r="F11" i="17"/>
  <c r="F10" i="17"/>
  <c r="F9" i="17"/>
  <c r="F8" i="17"/>
  <c r="F7" i="17"/>
  <c r="F6" i="17"/>
  <c r="F5" i="17"/>
  <c r="G4" i="17"/>
  <c r="K86" i="13"/>
  <c r="L77" i="13"/>
  <c r="J50" i="13"/>
  <c r="K34" i="13"/>
  <c r="J49" i="13"/>
  <c r="K33" i="13"/>
  <c r="J48" i="13"/>
  <c r="K32" i="13"/>
  <c r="J47" i="13"/>
  <c r="K31" i="13"/>
  <c r="J46" i="13"/>
  <c r="K30" i="13"/>
  <c r="J45" i="13"/>
  <c r="K29" i="13"/>
  <c r="J44" i="13"/>
  <c r="K28" i="13"/>
  <c r="J43" i="13"/>
  <c r="K27" i="13"/>
  <c r="J42" i="13"/>
  <c r="K26" i="13"/>
  <c r="J41" i="13"/>
  <c r="K25" i="13"/>
  <c r="J40" i="13"/>
  <c r="K24" i="13"/>
  <c r="J39" i="13"/>
  <c r="J35" i="13"/>
  <c r="K23" i="13"/>
  <c r="I51" i="13"/>
  <c r="I183" i="12"/>
  <c r="J181" i="12"/>
  <c r="I175" i="12"/>
  <c r="J167" i="12"/>
  <c r="I92" i="12"/>
  <c r="J76" i="12"/>
  <c r="I91" i="12"/>
  <c r="J75" i="12"/>
  <c r="I90" i="12"/>
  <c r="J74" i="12"/>
  <c r="I89" i="12"/>
  <c r="J73" i="12"/>
  <c r="I88" i="12"/>
  <c r="J72" i="12"/>
  <c r="I87" i="12"/>
  <c r="J71" i="12"/>
  <c r="I86" i="12"/>
  <c r="J70" i="12"/>
  <c r="I85" i="12"/>
  <c r="J69" i="12"/>
  <c r="I82" i="12"/>
  <c r="J66" i="12"/>
  <c r="H83" i="12"/>
  <c r="I67" i="12"/>
  <c r="H84" i="12"/>
  <c r="I68" i="12"/>
  <c r="I123" i="12"/>
  <c r="J32" i="12"/>
  <c r="I122" i="12"/>
  <c r="J31" i="12"/>
  <c r="I121" i="12"/>
  <c r="J30" i="12"/>
  <c r="I120" i="12"/>
  <c r="J29" i="12"/>
  <c r="I119" i="12"/>
  <c r="J28" i="12"/>
  <c r="I118" i="12"/>
  <c r="J27" i="12"/>
  <c r="I117" i="12"/>
  <c r="J26" i="12"/>
  <c r="I116" i="12"/>
  <c r="J25" i="12"/>
  <c r="I115" i="12"/>
  <c r="J24" i="12"/>
  <c r="I114" i="12"/>
  <c r="J23" i="12"/>
  <c r="I113" i="12"/>
  <c r="J22" i="12"/>
  <c r="H124" i="12"/>
  <c r="J35" i="12"/>
  <c r="K19" i="12"/>
  <c r="H21" i="8"/>
  <c r="E506" i="6"/>
  <c r="H34" i="8"/>
  <c r="H33" i="8"/>
  <c r="C115" i="3"/>
  <c r="C105" i="3"/>
  <c r="C77" i="3"/>
  <c r="D87" i="10"/>
  <c r="D42" i="10"/>
  <c r="D27" i="10"/>
  <c r="H79" i="8" s="1"/>
  <c r="D23" i="10"/>
  <c r="D20" i="10"/>
  <c r="F32" i="9" s="1"/>
  <c r="D15" i="10"/>
  <c r="D92" i="10" s="1"/>
  <c r="D14" i="10"/>
  <c r="D91" i="10" s="1"/>
  <c r="D13" i="10"/>
  <c r="C6" i="2"/>
  <c r="H34" i="11"/>
  <c r="E159" i="7"/>
  <c r="E158" i="7"/>
  <c r="E163" i="7" s="1"/>
  <c r="E157" i="7"/>
  <c r="I13" i="11"/>
  <c r="I33" i="11" s="1"/>
  <c r="E6" i="10"/>
  <c r="G5" i="9"/>
  <c r="I8" i="8"/>
  <c r="I6" i="8"/>
  <c r="J4" i="8"/>
  <c r="E155" i="7"/>
  <c r="E169" i="7" s="1"/>
  <c r="E170" i="7" s="1"/>
  <c r="D54" i="3"/>
  <c r="F18" i="9"/>
  <c r="C83" i="3"/>
  <c r="C64" i="3"/>
  <c r="F19" i="9"/>
  <c r="E162" i="7"/>
  <c r="G33" i="14"/>
  <c r="G36" i="14" s="1"/>
  <c r="H33" i="14"/>
  <c r="H36" i="14" s="1"/>
  <c r="I22" i="14"/>
  <c r="P83" i="14"/>
  <c r="O83" i="14"/>
  <c r="N83" i="14"/>
  <c r="N36" i="14"/>
  <c r="P507" i="6"/>
  <c r="F110" i="2"/>
  <c r="M83" i="14"/>
  <c r="M36" i="14"/>
  <c r="O507" i="6"/>
  <c r="L83" i="14"/>
  <c r="L36" i="14"/>
  <c r="N507" i="6"/>
  <c r="K83" i="14"/>
  <c r="K36" i="14"/>
  <c r="M507" i="6"/>
  <c r="I141" i="12"/>
  <c r="N18" i="8" s="1"/>
  <c r="J130" i="12"/>
  <c r="J83" i="14"/>
  <c r="L507" i="6"/>
  <c r="I159" i="12"/>
  <c r="J148" i="12"/>
  <c r="H141" i="12"/>
  <c r="M18" i="8" s="1"/>
  <c r="I83" i="14"/>
  <c r="K507" i="6"/>
  <c r="H159" i="12"/>
  <c r="G141" i="12"/>
  <c r="L18" i="8" s="1"/>
  <c r="G124" i="12"/>
  <c r="H83" i="14"/>
  <c r="J507" i="6"/>
  <c r="E5" i="14"/>
  <c r="G159" i="12"/>
  <c r="F141" i="12"/>
  <c r="K18" i="8" s="1"/>
  <c r="G83" i="14"/>
  <c r="F124" i="12"/>
  <c r="I507" i="6"/>
  <c r="F159" i="12"/>
  <c r="E48" i="6"/>
  <c r="F47" i="6" s="1"/>
  <c r="F68" i="2"/>
  <c r="C67" i="2"/>
  <c r="C66" i="2"/>
  <c r="C74" i="2" s="1"/>
  <c r="H28" i="8" l="1"/>
  <c r="D21" i="10" s="1"/>
  <c r="H71" i="13"/>
  <c r="L17" i="8"/>
  <c r="G71" i="13"/>
  <c r="K17" i="8"/>
  <c r="J71" i="13"/>
  <c r="N17" i="8"/>
  <c r="I71" i="13"/>
  <c r="M17" i="8"/>
  <c r="H36" i="8"/>
  <c r="D48" i="10" s="1"/>
  <c r="D53" i="10" s="1"/>
  <c r="F108" i="12"/>
  <c r="F46" i="6"/>
  <c r="I124" i="12"/>
  <c r="D28" i="10"/>
  <c r="D49" i="10"/>
  <c r="J51" i="13"/>
  <c r="G72" i="13"/>
  <c r="G70" i="13"/>
  <c r="H72" i="13"/>
  <c r="H70" i="13"/>
  <c r="I72" i="13"/>
  <c r="I70" i="13"/>
  <c r="J159" i="12"/>
  <c r="K148" i="12"/>
  <c r="J141" i="12"/>
  <c r="O18" i="8" s="1"/>
  <c r="K130" i="12"/>
  <c r="J72" i="13"/>
  <c r="J70" i="13"/>
  <c r="I33" i="14"/>
  <c r="I36" i="14" s="1"/>
  <c r="J22" i="14"/>
  <c r="J33" i="14" s="1"/>
  <c r="J36" i="14" s="1"/>
  <c r="G18" i="9"/>
  <c r="F23" i="9"/>
  <c r="D106" i="3"/>
  <c r="D116" i="3" s="1"/>
  <c r="D55" i="3"/>
  <c r="D78" i="3" s="1"/>
  <c r="D79" i="3" s="1"/>
  <c r="J12" i="11"/>
  <c r="J32" i="11" s="1"/>
  <c r="F5" i="10"/>
  <c r="F43" i="10" s="1"/>
  <c r="H4" i="9"/>
  <c r="J5" i="8"/>
  <c r="F154" i="7"/>
  <c r="F40" i="14"/>
  <c r="F56" i="14" s="1"/>
  <c r="F71" i="14" s="1"/>
  <c r="I14" i="11"/>
  <c r="E7" i="10"/>
  <c r="G6" i="9"/>
  <c r="E153" i="7"/>
  <c r="D53" i="3"/>
  <c r="I108" i="8"/>
  <c r="I98" i="8"/>
  <c r="I100" i="8" s="1"/>
  <c r="E33" i="10" s="1"/>
  <c r="I85" i="8"/>
  <c r="I71" i="8"/>
  <c r="I70" i="8"/>
  <c r="I69" i="8"/>
  <c r="I66" i="8"/>
  <c r="I65" i="8"/>
  <c r="I64" i="8"/>
  <c r="I63" i="8"/>
  <c r="I62" i="8"/>
  <c r="I61" i="8"/>
  <c r="I60" i="8"/>
  <c r="I58" i="8"/>
  <c r="I57" i="8"/>
  <c r="I56" i="8"/>
  <c r="I55" i="8"/>
  <c r="I54" i="8"/>
  <c r="I53" i="8"/>
  <c r="I52" i="8"/>
  <c r="I51" i="8"/>
  <c r="I50" i="8"/>
  <c r="I49" i="8"/>
  <c r="I48" i="8"/>
  <c r="I47" i="8"/>
  <c r="I46" i="8"/>
  <c r="I45" i="8"/>
  <c r="I25" i="8"/>
  <c r="I24" i="8"/>
  <c r="I26" i="8" s="1"/>
  <c r="I20" i="8"/>
  <c r="I19" i="8"/>
  <c r="I18" i="8"/>
  <c r="I17" i="8"/>
  <c r="I32" i="8" s="1"/>
  <c r="I16" i="8"/>
  <c r="I15" i="8"/>
  <c r="I14" i="8"/>
  <c r="I9" i="8"/>
  <c r="E66" i="10"/>
  <c r="E44" i="10"/>
  <c r="E180" i="7"/>
  <c r="E165" i="7"/>
  <c r="E176" i="7" s="1"/>
  <c r="E177" i="7" s="1"/>
  <c r="E172" i="7"/>
  <c r="E156" i="7"/>
  <c r="E164" i="7" s="1"/>
  <c r="D90" i="10"/>
  <c r="D93" i="10" s="1"/>
  <c r="D95" i="10" s="1"/>
  <c r="D16" i="10"/>
  <c r="Z2" i="10"/>
  <c r="C57" i="3"/>
  <c r="K35" i="12"/>
  <c r="L19" i="12"/>
  <c r="J113" i="12"/>
  <c r="K22" i="12"/>
  <c r="J114" i="12"/>
  <c r="K23" i="12"/>
  <c r="J115" i="12"/>
  <c r="K24" i="12"/>
  <c r="J116" i="12"/>
  <c r="K25" i="12"/>
  <c r="J117" i="12"/>
  <c r="K26" i="12"/>
  <c r="J118" i="12"/>
  <c r="K27" i="12"/>
  <c r="J119" i="12"/>
  <c r="K28" i="12"/>
  <c r="J120" i="12"/>
  <c r="K29" i="12"/>
  <c r="J121" i="12"/>
  <c r="K30" i="12"/>
  <c r="J122" i="12"/>
  <c r="K31" i="12"/>
  <c r="J123" i="12"/>
  <c r="K32" i="12"/>
  <c r="I84" i="12"/>
  <c r="J68" i="12"/>
  <c r="I83" i="12"/>
  <c r="J67" i="12"/>
  <c r="J82" i="12"/>
  <c r="K66" i="12"/>
  <c r="J85" i="12"/>
  <c r="K69" i="12"/>
  <c r="J86" i="12"/>
  <c r="K70" i="12"/>
  <c r="J87" i="12"/>
  <c r="K71" i="12"/>
  <c r="J88" i="12"/>
  <c r="K72" i="12"/>
  <c r="J89" i="12"/>
  <c r="K73" i="12"/>
  <c r="J90" i="12"/>
  <c r="K74" i="12"/>
  <c r="J91" i="12"/>
  <c r="K75" i="12"/>
  <c r="J92" i="12"/>
  <c r="K76" i="12"/>
  <c r="J175" i="12"/>
  <c r="K167" i="12"/>
  <c r="J183" i="12"/>
  <c r="K181" i="12"/>
  <c r="K39" i="13"/>
  <c r="K35" i="13"/>
  <c r="L23" i="13"/>
  <c r="K40" i="13"/>
  <c r="L24" i="13"/>
  <c r="K41" i="13"/>
  <c r="L25" i="13"/>
  <c r="K42" i="13"/>
  <c r="L26" i="13"/>
  <c r="K43" i="13"/>
  <c r="L27" i="13"/>
  <c r="K44" i="13"/>
  <c r="L28" i="13"/>
  <c r="K45" i="13"/>
  <c r="L29" i="13"/>
  <c r="K46" i="13"/>
  <c r="L30" i="13"/>
  <c r="K47" i="13"/>
  <c r="L31" i="13"/>
  <c r="K48" i="13"/>
  <c r="L32" i="13"/>
  <c r="K49" i="13"/>
  <c r="L33" i="13"/>
  <c r="K50" i="13"/>
  <c r="L34" i="13"/>
  <c r="L86" i="13"/>
  <c r="M77" i="13"/>
  <c r="G15" i="17"/>
  <c r="G14" i="17"/>
  <c r="G13" i="17"/>
  <c r="G12" i="17"/>
  <c r="G11" i="17"/>
  <c r="G10" i="17"/>
  <c r="G9" i="17"/>
  <c r="G8" i="17"/>
  <c r="G7" i="17"/>
  <c r="G6" i="17"/>
  <c r="G5" i="17"/>
  <c r="H4" i="17"/>
  <c r="H38" i="8" l="1"/>
  <c r="H42" i="8"/>
  <c r="H78" i="8"/>
  <c r="D47" i="10"/>
  <c r="D52" i="10" s="1"/>
  <c r="K71" i="13"/>
  <c r="O17" i="8"/>
  <c r="H41" i="8"/>
  <c r="H77" i="8" s="1"/>
  <c r="C58" i="3" s="1"/>
  <c r="C60" i="3" s="1"/>
  <c r="D54" i="10"/>
  <c r="D59" i="10" s="1"/>
  <c r="E29" i="10"/>
  <c r="E22" i="14"/>
  <c r="I68" i="8"/>
  <c r="I75" i="8" s="1"/>
  <c r="H15" i="17"/>
  <c r="H14" i="17"/>
  <c r="H13" i="17"/>
  <c r="H12" i="17"/>
  <c r="H11" i="17"/>
  <c r="H10" i="17"/>
  <c r="H9" i="17"/>
  <c r="H8" i="17"/>
  <c r="H7" i="17"/>
  <c r="H6" i="17"/>
  <c r="H5" i="17"/>
  <c r="I4" i="17"/>
  <c r="M86" i="13"/>
  <c r="N77" i="13"/>
  <c r="L50" i="13"/>
  <c r="M34" i="13"/>
  <c r="L49" i="13"/>
  <c r="M33" i="13"/>
  <c r="L48" i="13"/>
  <c r="M32" i="13"/>
  <c r="L47" i="13"/>
  <c r="M31" i="13"/>
  <c r="L46" i="13"/>
  <c r="M30" i="13"/>
  <c r="L45" i="13"/>
  <c r="M29" i="13"/>
  <c r="L44" i="13"/>
  <c r="M28" i="13"/>
  <c r="L43" i="13"/>
  <c r="M27" i="13"/>
  <c r="L42" i="13"/>
  <c r="M26" i="13"/>
  <c r="L41" i="13"/>
  <c r="M25" i="13"/>
  <c r="L40" i="13"/>
  <c r="M24" i="13"/>
  <c r="L39" i="13"/>
  <c r="L35" i="13"/>
  <c r="M23" i="13"/>
  <c r="K51" i="13"/>
  <c r="K183" i="12"/>
  <c r="L181" i="12"/>
  <c r="K175" i="12"/>
  <c r="L167" i="12"/>
  <c r="K92" i="12"/>
  <c r="L76" i="12"/>
  <c r="K91" i="12"/>
  <c r="L75" i="12"/>
  <c r="K90" i="12"/>
  <c r="L74" i="12"/>
  <c r="K89" i="12"/>
  <c r="L73" i="12"/>
  <c r="K88" i="12"/>
  <c r="L72" i="12"/>
  <c r="K87" i="12"/>
  <c r="L71" i="12"/>
  <c r="K86" i="12"/>
  <c r="L70" i="12"/>
  <c r="K85" i="12"/>
  <c r="L69" i="12"/>
  <c r="K82" i="12"/>
  <c r="L66" i="12"/>
  <c r="J83" i="12"/>
  <c r="K67" i="12"/>
  <c r="J84" i="12"/>
  <c r="K68" i="12"/>
  <c r="K123" i="12"/>
  <c r="L32" i="12"/>
  <c r="K122" i="12"/>
  <c r="L31" i="12"/>
  <c r="K121" i="12"/>
  <c r="L30" i="12"/>
  <c r="K120" i="12"/>
  <c r="L29" i="12"/>
  <c r="K119" i="12"/>
  <c r="L28" i="12"/>
  <c r="K118" i="12"/>
  <c r="L27" i="12"/>
  <c r="K117" i="12"/>
  <c r="L26" i="12"/>
  <c r="K116" i="12"/>
  <c r="L25" i="12"/>
  <c r="K115" i="12"/>
  <c r="L24" i="12"/>
  <c r="K114" i="12"/>
  <c r="L23" i="12"/>
  <c r="K113" i="12"/>
  <c r="L22" i="12"/>
  <c r="J124" i="12"/>
  <c r="L35" i="12"/>
  <c r="M19" i="12"/>
  <c r="D58" i="10"/>
  <c r="F13" i="9"/>
  <c r="D80" i="10"/>
  <c r="C117" i="3"/>
  <c r="D97" i="10"/>
  <c r="E89" i="10"/>
  <c r="F41" i="9"/>
  <c r="E166" i="7"/>
  <c r="E26" i="10"/>
  <c r="G20" i="9"/>
  <c r="F175" i="7"/>
  <c r="I81" i="8"/>
  <c r="E181" i="7"/>
  <c r="I21" i="8"/>
  <c r="I28" i="8" s="1"/>
  <c r="F506" i="6"/>
  <c r="I34" i="8"/>
  <c r="I33" i="8"/>
  <c r="D115" i="3"/>
  <c r="D105" i="3"/>
  <c r="D77" i="3"/>
  <c r="E87" i="10"/>
  <c r="E42" i="10"/>
  <c r="E27" i="10"/>
  <c r="I79" i="8" s="1"/>
  <c r="E23" i="10"/>
  <c r="E20" i="10"/>
  <c r="G32" i="9" s="1"/>
  <c r="E15" i="10"/>
  <c r="E92" i="10" s="1"/>
  <c r="E14" i="10"/>
  <c r="E91" i="10" s="1"/>
  <c r="E13" i="10"/>
  <c r="D6" i="2"/>
  <c r="I34" i="11"/>
  <c r="F159" i="7"/>
  <c r="F158" i="7"/>
  <c r="F163" i="7" s="1"/>
  <c r="F157" i="7"/>
  <c r="J13" i="11"/>
  <c r="J33" i="11" s="1"/>
  <c r="F6" i="10"/>
  <c r="H5" i="9"/>
  <c r="J8" i="8"/>
  <c r="J6" i="8"/>
  <c r="K4" i="8"/>
  <c r="F155" i="7"/>
  <c r="F169" i="7" s="1"/>
  <c r="E54" i="3"/>
  <c r="D83" i="3"/>
  <c r="K141" i="12"/>
  <c r="P18" i="8" s="1"/>
  <c r="L130" i="12"/>
  <c r="K72" i="13"/>
  <c r="K70" i="13"/>
  <c r="K159" i="12"/>
  <c r="L148" i="12"/>
  <c r="C7" i="2" l="1"/>
  <c r="L71" i="13"/>
  <c r="P17" i="8"/>
  <c r="I36" i="8"/>
  <c r="E48" i="10" s="1"/>
  <c r="H83" i="8"/>
  <c r="H87" i="8" s="1"/>
  <c r="H89" i="8" s="1"/>
  <c r="H107" i="8"/>
  <c r="D63" i="10"/>
  <c r="C8" i="2" s="1"/>
  <c r="K124" i="12"/>
  <c r="E49" i="10"/>
  <c r="E54" i="10" s="1"/>
  <c r="E59" i="10" s="1"/>
  <c r="E28" i="10"/>
  <c r="L51" i="13"/>
  <c r="L159" i="12"/>
  <c r="M148" i="12"/>
  <c r="L141" i="12"/>
  <c r="Q18" i="8" s="1"/>
  <c r="M130" i="12"/>
  <c r="L72" i="13"/>
  <c r="L70" i="13"/>
  <c r="E106" i="3"/>
  <c r="E116" i="3" s="1"/>
  <c r="E55" i="3"/>
  <c r="E78" i="3" s="1"/>
  <c r="E79" i="3" s="1"/>
  <c r="F170" i="7"/>
  <c r="K12" i="11"/>
  <c r="K32" i="11" s="1"/>
  <c r="G5" i="10"/>
  <c r="G43" i="10" s="1"/>
  <c r="I4" i="9"/>
  <c r="K5" i="8"/>
  <c r="G154" i="7"/>
  <c r="G40" i="14"/>
  <c r="G56" i="14" s="1"/>
  <c r="G71" i="14" s="1"/>
  <c r="J14" i="11"/>
  <c r="F7" i="10"/>
  <c r="H6" i="9"/>
  <c r="F153" i="7"/>
  <c r="E53" i="3"/>
  <c r="J108" i="8"/>
  <c r="J98" i="8"/>
  <c r="J100" i="8" s="1"/>
  <c r="F33" i="10" s="1"/>
  <c r="J85" i="8"/>
  <c r="J71" i="8"/>
  <c r="J70" i="8"/>
  <c r="J69" i="8"/>
  <c r="J66" i="8"/>
  <c r="J65" i="8"/>
  <c r="J64" i="8"/>
  <c r="J63" i="8"/>
  <c r="J62" i="8"/>
  <c r="J61" i="8"/>
  <c r="J60" i="8"/>
  <c r="J58" i="8"/>
  <c r="J57" i="8"/>
  <c r="J56" i="8"/>
  <c r="J55" i="8"/>
  <c r="J54" i="8"/>
  <c r="J53" i="8"/>
  <c r="J52" i="8"/>
  <c r="J51" i="8"/>
  <c r="J50" i="8"/>
  <c r="J49" i="8"/>
  <c r="J48" i="8"/>
  <c r="J47" i="8"/>
  <c r="J46" i="8"/>
  <c r="J45" i="8"/>
  <c r="J25" i="8"/>
  <c r="J24" i="8"/>
  <c r="J20" i="8"/>
  <c r="J19" i="8"/>
  <c r="J18" i="8"/>
  <c r="J17" i="8"/>
  <c r="J32" i="8" s="1"/>
  <c r="J16" i="8"/>
  <c r="J15" i="8"/>
  <c r="J14" i="8"/>
  <c r="J9" i="8"/>
  <c r="B22" i="21" s="1"/>
  <c r="C22" i="21" s="1"/>
  <c r="F66" i="10"/>
  <c r="F44" i="10"/>
  <c r="F180" i="7"/>
  <c r="F165" i="7"/>
  <c r="F176" i="7" s="1"/>
  <c r="F177" i="7" s="1"/>
  <c r="F172" i="7"/>
  <c r="F156" i="7"/>
  <c r="E90" i="10"/>
  <c r="E93" i="10" s="1"/>
  <c r="E95" i="10" s="1"/>
  <c r="E16" i="10"/>
  <c r="E53" i="10"/>
  <c r="E47" i="10"/>
  <c r="E21" i="10"/>
  <c r="I78" i="8"/>
  <c r="I42" i="8"/>
  <c r="I41" i="8"/>
  <c r="I77" i="8" s="1"/>
  <c r="I38" i="8"/>
  <c r="D57" i="3"/>
  <c r="C21" i="2"/>
  <c r="G21" i="9"/>
  <c r="F179" i="7"/>
  <c r="F181" i="7" s="1"/>
  <c r="E183" i="7"/>
  <c r="G22" i="9" s="1"/>
  <c r="G54" i="9" s="1"/>
  <c r="D63" i="3"/>
  <c r="D59" i="3"/>
  <c r="E549" i="6"/>
  <c r="D64" i="3"/>
  <c r="G19" i="9"/>
  <c r="F162" i="7"/>
  <c r="D57" i="10"/>
  <c r="F12" i="9"/>
  <c r="F26" i="9" s="1"/>
  <c r="D35" i="10" s="1"/>
  <c r="C65" i="3" s="1"/>
  <c r="C61" i="3"/>
  <c r="C62" i="3" s="1"/>
  <c r="M35" i="12"/>
  <c r="N19" i="12"/>
  <c r="L113" i="12"/>
  <c r="M22" i="12"/>
  <c r="L114" i="12"/>
  <c r="M23" i="12"/>
  <c r="L115" i="12"/>
  <c r="M24" i="12"/>
  <c r="L116" i="12"/>
  <c r="M25" i="12"/>
  <c r="L117" i="12"/>
  <c r="M26" i="12"/>
  <c r="L118" i="12"/>
  <c r="M27" i="12"/>
  <c r="L119" i="12"/>
  <c r="M28" i="12"/>
  <c r="L120" i="12"/>
  <c r="M29" i="12"/>
  <c r="L121" i="12"/>
  <c r="M30" i="12"/>
  <c r="L122" i="12"/>
  <c r="M31" i="12"/>
  <c r="L123" i="12"/>
  <c r="M32" i="12"/>
  <c r="K84" i="12"/>
  <c r="L68" i="12"/>
  <c r="K83" i="12"/>
  <c r="L67" i="12"/>
  <c r="L82" i="12"/>
  <c r="M66" i="12"/>
  <c r="L85" i="12"/>
  <c r="M69" i="12"/>
  <c r="L86" i="12"/>
  <c r="M70" i="12"/>
  <c r="L87" i="12"/>
  <c r="M71" i="12"/>
  <c r="L88" i="12"/>
  <c r="M72" i="12"/>
  <c r="L89" i="12"/>
  <c r="M73" i="12"/>
  <c r="L90" i="12"/>
  <c r="M74" i="12"/>
  <c r="L91" i="12"/>
  <c r="M75" i="12"/>
  <c r="L92" i="12"/>
  <c r="M76" i="12"/>
  <c r="L175" i="12"/>
  <c r="M167" i="12"/>
  <c r="L183" i="12"/>
  <c r="M181" i="12"/>
  <c r="M39" i="13"/>
  <c r="M35" i="13"/>
  <c r="N23" i="13"/>
  <c r="M40" i="13"/>
  <c r="N24" i="13"/>
  <c r="M41" i="13"/>
  <c r="N25" i="13"/>
  <c r="M42" i="13"/>
  <c r="N26" i="13"/>
  <c r="M43" i="13"/>
  <c r="N27" i="13"/>
  <c r="M44" i="13"/>
  <c r="N28" i="13"/>
  <c r="M45" i="13"/>
  <c r="N29" i="13"/>
  <c r="M46" i="13"/>
  <c r="N30" i="13"/>
  <c r="M47" i="13"/>
  <c r="N31" i="13"/>
  <c r="M48" i="13"/>
  <c r="N32" i="13"/>
  <c r="M49" i="13"/>
  <c r="N33" i="13"/>
  <c r="M50" i="13"/>
  <c r="N34" i="13"/>
  <c r="N86" i="13"/>
  <c r="O77" i="13"/>
  <c r="I15" i="17"/>
  <c r="I14" i="17"/>
  <c r="I13" i="17"/>
  <c r="I12" i="17"/>
  <c r="I11" i="17"/>
  <c r="I10" i="17"/>
  <c r="I9" i="17"/>
  <c r="I8" i="17"/>
  <c r="I7" i="17"/>
  <c r="I6" i="17"/>
  <c r="I5" i="17"/>
  <c r="J4" i="17"/>
  <c r="M71" i="13" l="1"/>
  <c r="Q17" i="8"/>
  <c r="C13" i="2"/>
  <c r="H90" i="8"/>
  <c r="C66" i="3"/>
  <c r="C80" i="3" s="1"/>
  <c r="C82" i="3" s="1"/>
  <c r="J68" i="8"/>
  <c r="J26" i="8"/>
  <c r="G23" i="9"/>
  <c r="J75" i="8"/>
  <c r="F49" i="10" s="1"/>
  <c r="D79" i="10"/>
  <c r="F29" i="10"/>
  <c r="J15" i="17"/>
  <c r="J14" i="17"/>
  <c r="J13" i="17"/>
  <c r="J12" i="17"/>
  <c r="J11" i="17"/>
  <c r="J10" i="17"/>
  <c r="J9" i="17"/>
  <c r="J8" i="17"/>
  <c r="J7" i="17"/>
  <c r="J6" i="17"/>
  <c r="J5" i="17"/>
  <c r="K4" i="17"/>
  <c r="O86" i="13"/>
  <c r="P77" i="13"/>
  <c r="N50" i="13"/>
  <c r="O34" i="13"/>
  <c r="N49" i="13"/>
  <c r="O33" i="13"/>
  <c r="N48" i="13"/>
  <c r="O32" i="13"/>
  <c r="N47" i="13"/>
  <c r="O31" i="13"/>
  <c r="N46" i="13"/>
  <c r="O30" i="13"/>
  <c r="N45" i="13"/>
  <c r="O29" i="13"/>
  <c r="N44" i="13"/>
  <c r="O28" i="13"/>
  <c r="N43" i="13"/>
  <c r="O27" i="13"/>
  <c r="N42" i="13"/>
  <c r="O26" i="13"/>
  <c r="N41" i="13"/>
  <c r="O25" i="13"/>
  <c r="N40" i="13"/>
  <c r="O24" i="13"/>
  <c r="N39" i="13"/>
  <c r="N35" i="13"/>
  <c r="O23" i="13"/>
  <c r="M51" i="13"/>
  <c r="M183" i="12"/>
  <c r="N181" i="12"/>
  <c r="M175" i="12"/>
  <c r="N167" i="12"/>
  <c r="M92" i="12"/>
  <c r="N76" i="12"/>
  <c r="M91" i="12"/>
  <c r="N75" i="12"/>
  <c r="M90" i="12"/>
  <c r="N74" i="12"/>
  <c r="M89" i="12"/>
  <c r="N73" i="12"/>
  <c r="M88" i="12"/>
  <c r="N72" i="12"/>
  <c r="M87" i="12"/>
  <c r="N71" i="12"/>
  <c r="M86" i="12"/>
  <c r="N70" i="12"/>
  <c r="M85" i="12"/>
  <c r="N69" i="12"/>
  <c r="M82" i="12"/>
  <c r="N66" i="12"/>
  <c r="L83" i="12"/>
  <c r="M67" i="12"/>
  <c r="L84" i="12"/>
  <c r="M68" i="12"/>
  <c r="M123" i="12"/>
  <c r="N32" i="12"/>
  <c r="M122" i="12"/>
  <c r="N31" i="12"/>
  <c r="M121" i="12"/>
  <c r="N30" i="12"/>
  <c r="M120" i="12"/>
  <c r="N29" i="12"/>
  <c r="M119" i="12"/>
  <c r="N28" i="12"/>
  <c r="M118" i="12"/>
  <c r="N27" i="12"/>
  <c r="M117" i="12"/>
  <c r="N26" i="12"/>
  <c r="M116" i="12"/>
  <c r="N25" i="12"/>
  <c r="M115" i="12"/>
  <c r="N24" i="12"/>
  <c r="M114" i="12"/>
  <c r="N23" i="12"/>
  <c r="M113" i="12"/>
  <c r="N22" i="12"/>
  <c r="L124" i="12"/>
  <c r="N35" i="12"/>
  <c r="O19" i="12"/>
  <c r="O35" i="12" s="1"/>
  <c r="D31" i="10"/>
  <c r="H93" i="8"/>
  <c r="E97" i="10"/>
  <c r="F89" i="10"/>
  <c r="G41" i="9"/>
  <c r="H20" i="9"/>
  <c r="F183" i="7"/>
  <c r="H22" i="9" s="1"/>
  <c r="H54" i="9" s="1"/>
  <c r="G175" i="7"/>
  <c r="H21" i="9"/>
  <c r="G179" i="7"/>
  <c r="E63" i="10"/>
  <c r="I107" i="8"/>
  <c r="I83" i="8"/>
  <c r="I87" i="8" s="1"/>
  <c r="D58" i="3"/>
  <c r="D60" i="3" s="1"/>
  <c r="C22" i="2"/>
  <c r="E52" i="10"/>
  <c r="D7" i="2"/>
  <c r="E58" i="10"/>
  <c r="G13" i="9"/>
  <c r="E80" i="10"/>
  <c r="D117" i="3"/>
  <c r="F164" i="7"/>
  <c r="F26" i="10"/>
  <c r="J81" i="8"/>
  <c r="J21" i="8"/>
  <c r="G506" i="6"/>
  <c r="J34" i="8"/>
  <c r="J33" i="8"/>
  <c r="E115" i="3"/>
  <c r="E105" i="3"/>
  <c r="E77" i="3"/>
  <c r="F87" i="10"/>
  <c r="F42" i="10"/>
  <c r="F27" i="10"/>
  <c r="J79" i="8" s="1"/>
  <c r="F23" i="10"/>
  <c r="F20" i="10"/>
  <c r="H32" i="9" s="1"/>
  <c r="F15" i="10"/>
  <c r="F92" i="10" s="1"/>
  <c r="F14" i="10"/>
  <c r="F91" i="10" s="1"/>
  <c r="F13" i="10"/>
  <c r="E6" i="2"/>
  <c r="J34" i="11"/>
  <c r="S15" i="11"/>
  <c r="R15" i="11"/>
  <c r="Q15" i="11"/>
  <c r="P15" i="11"/>
  <c r="O15" i="11"/>
  <c r="N15" i="11"/>
  <c r="M15" i="11"/>
  <c r="L15" i="11"/>
  <c r="K15" i="11"/>
  <c r="J15" i="11"/>
  <c r="I15" i="11"/>
  <c r="H15" i="11"/>
  <c r="G159" i="7"/>
  <c r="G158" i="7"/>
  <c r="G163" i="7" s="1"/>
  <c r="G157" i="7"/>
  <c r="K13" i="11"/>
  <c r="K33" i="11" s="1"/>
  <c r="G6" i="10"/>
  <c r="I5" i="9"/>
  <c r="K8" i="8"/>
  <c r="K6" i="8"/>
  <c r="L4" i="8"/>
  <c r="G155" i="7"/>
  <c r="G169" i="7" s="1"/>
  <c r="G170" i="7" s="1"/>
  <c r="F54" i="3"/>
  <c r="H18" i="9"/>
  <c r="E83" i="3"/>
  <c r="M141" i="12"/>
  <c r="R18" i="8" s="1"/>
  <c r="N130" i="12"/>
  <c r="M72" i="13"/>
  <c r="M70" i="13"/>
  <c r="M159" i="12"/>
  <c r="N148" i="12"/>
  <c r="N71" i="13" l="1"/>
  <c r="R17" i="8"/>
  <c r="J28" i="8"/>
  <c r="D21" i="2" s="1"/>
  <c r="C107" i="3"/>
  <c r="J36" i="8"/>
  <c r="F48" i="10" s="1"/>
  <c r="F54" i="10" s="1"/>
  <c r="F59" i="10" s="1"/>
  <c r="F28" i="10"/>
  <c r="M124" i="12"/>
  <c r="N51" i="13"/>
  <c r="N159" i="12"/>
  <c r="O148" i="12"/>
  <c r="O159" i="12" s="1"/>
  <c r="P71" i="13" s="1"/>
  <c r="N141" i="12"/>
  <c r="S18" i="8" s="1"/>
  <c r="O130" i="12"/>
  <c r="O141" i="12" s="1"/>
  <c r="N72" i="13"/>
  <c r="N70" i="13"/>
  <c r="I18" i="9"/>
  <c r="F106" i="3"/>
  <c r="F116" i="3" s="1"/>
  <c r="F55" i="3"/>
  <c r="F78" i="3" s="1"/>
  <c r="F79" i="3" s="1"/>
  <c r="L12" i="11"/>
  <c r="L32" i="11" s="1"/>
  <c r="H5" i="10"/>
  <c r="H43" i="10" s="1"/>
  <c r="J4" i="9"/>
  <c r="L5" i="8"/>
  <c r="H154" i="7"/>
  <c r="H40" i="14"/>
  <c r="H56" i="14" s="1"/>
  <c r="H71" i="14" s="1"/>
  <c r="G18" i="12"/>
  <c r="G20" i="12" s="1"/>
  <c r="K14" i="11"/>
  <c r="K34" i="11" s="1"/>
  <c r="G7" i="10"/>
  <c r="I6" i="9"/>
  <c r="G153" i="7"/>
  <c r="F53" i="3"/>
  <c r="K79" i="8"/>
  <c r="K70" i="8"/>
  <c r="K69" i="8"/>
  <c r="K66" i="8"/>
  <c r="K65" i="8"/>
  <c r="K63" i="8"/>
  <c r="K62" i="8"/>
  <c r="K56" i="8"/>
  <c r="K55" i="8"/>
  <c r="K54" i="8"/>
  <c r="K53" i="8"/>
  <c r="K52" i="8"/>
  <c r="K51" i="8"/>
  <c r="K50" i="8"/>
  <c r="K49" i="8"/>
  <c r="K48" i="8"/>
  <c r="K47" i="8"/>
  <c r="K46" i="8"/>
  <c r="K45" i="8"/>
  <c r="K25" i="8"/>
  <c r="K24" i="8"/>
  <c r="K32" i="8"/>
  <c r="K16" i="8"/>
  <c r="K15" i="8"/>
  <c r="K9" i="8"/>
  <c r="G66" i="10"/>
  <c r="G44" i="10"/>
  <c r="G172" i="7"/>
  <c r="G156" i="7"/>
  <c r="H25" i="11"/>
  <c r="H24" i="11"/>
  <c r="H16" i="11" s="1"/>
  <c r="H22" i="11"/>
  <c r="H21" i="11"/>
  <c r="H20" i="11"/>
  <c r="H18" i="11"/>
  <c r="I25" i="11"/>
  <c r="I24" i="11"/>
  <c r="I22" i="11"/>
  <c r="I21" i="11"/>
  <c r="I20" i="11"/>
  <c r="I18" i="11"/>
  <c r="I16" i="11"/>
  <c r="J21" i="11"/>
  <c r="J20" i="11"/>
  <c r="J18" i="11"/>
  <c r="K21" i="11"/>
  <c r="K20" i="11"/>
  <c r="L21" i="11"/>
  <c r="L20" i="11"/>
  <c r="M21" i="11"/>
  <c r="M20" i="11"/>
  <c r="N21" i="11"/>
  <c r="N20" i="11"/>
  <c r="O21" i="11"/>
  <c r="O20" i="11"/>
  <c r="P21" i="11"/>
  <c r="P20" i="11"/>
  <c r="Q21" i="11"/>
  <c r="Q20" i="11"/>
  <c r="R21" i="11"/>
  <c r="R20" i="11"/>
  <c r="S21" i="11"/>
  <c r="S20" i="11"/>
  <c r="S37" i="11"/>
  <c r="R37" i="11"/>
  <c r="Q37" i="11"/>
  <c r="P37" i="11"/>
  <c r="O37" i="11"/>
  <c r="N37" i="11"/>
  <c r="M37" i="11"/>
  <c r="L37" i="11"/>
  <c r="K37" i="11"/>
  <c r="J37" i="11"/>
  <c r="I37" i="11"/>
  <c r="H37" i="11"/>
  <c r="F90" i="10"/>
  <c r="F93" i="10" s="1"/>
  <c r="F16" i="10"/>
  <c r="E63" i="3"/>
  <c r="E59" i="3"/>
  <c r="E550" i="6"/>
  <c r="E554" i="6" s="1"/>
  <c r="E64" i="3"/>
  <c r="F166" i="7"/>
  <c r="E57" i="10"/>
  <c r="G12" i="9"/>
  <c r="G26" i="9" s="1"/>
  <c r="E35" i="10" s="1"/>
  <c r="D65" i="3" s="1"/>
  <c r="D61" i="3"/>
  <c r="D62" i="3" s="1"/>
  <c r="I89" i="8"/>
  <c r="I90" i="8"/>
  <c r="D13" i="2"/>
  <c r="D8" i="2"/>
  <c r="F95" i="10"/>
  <c r="H102" i="8"/>
  <c r="D32" i="10" s="1"/>
  <c r="C118" i="3" s="1"/>
  <c r="N113" i="12"/>
  <c r="O22" i="12"/>
  <c r="N114" i="12"/>
  <c r="O23" i="12"/>
  <c r="N115" i="12"/>
  <c r="O24" i="12"/>
  <c r="N116" i="12"/>
  <c r="O25" i="12"/>
  <c r="N117" i="12"/>
  <c r="O26" i="12"/>
  <c r="N118" i="12"/>
  <c r="O27" i="12"/>
  <c r="N119" i="12"/>
  <c r="O28" i="12"/>
  <c r="N120" i="12"/>
  <c r="O29" i="12"/>
  <c r="N121" i="12"/>
  <c r="O30" i="12"/>
  <c r="N122" i="12"/>
  <c r="O31" i="12"/>
  <c r="N123" i="12"/>
  <c r="O32" i="12"/>
  <c r="M84" i="12"/>
  <c r="N68" i="12"/>
  <c r="M83" i="12"/>
  <c r="N67" i="12"/>
  <c r="N82" i="12"/>
  <c r="O66" i="12"/>
  <c r="O82" i="12" s="1"/>
  <c r="N85" i="12"/>
  <c r="O69" i="12"/>
  <c r="O85" i="12" s="1"/>
  <c r="N86" i="12"/>
  <c r="O70" i="12"/>
  <c r="O86" i="12" s="1"/>
  <c r="N87" i="12"/>
  <c r="O71" i="12"/>
  <c r="O87" i="12" s="1"/>
  <c r="N88" i="12"/>
  <c r="O72" i="12"/>
  <c r="O88" i="12" s="1"/>
  <c r="N89" i="12"/>
  <c r="O73" i="12"/>
  <c r="O89" i="12" s="1"/>
  <c r="N90" i="12"/>
  <c r="O74" i="12"/>
  <c r="O90" i="12" s="1"/>
  <c r="N91" i="12"/>
  <c r="O75" i="12"/>
  <c r="O91" i="12" s="1"/>
  <c r="N92" i="12"/>
  <c r="O76" i="12"/>
  <c r="O92" i="12" s="1"/>
  <c r="N175" i="12"/>
  <c r="O167" i="12"/>
  <c r="O175" i="12" s="1"/>
  <c r="P175" i="12" s="1"/>
  <c r="N183" i="12"/>
  <c r="O181" i="12"/>
  <c r="O183" i="12" s="1"/>
  <c r="P183" i="12" s="1"/>
  <c r="O39" i="13"/>
  <c r="O35" i="13"/>
  <c r="P23" i="13"/>
  <c r="O40" i="13"/>
  <c r="P24" i="13"/>
  <c r="O41" i="13"/>
  <c r="P25" i="13"/>
  <c r="O42" i="13"/>
  <c r="P26" i="13"/>
  <c r="O43" i="13"/>
  <c r="P27" i="13"/>
  <c r="O44" i="13"/>
  <c r="P28" i="13"/>
  <c r="O45" i="13"/>
  <c r="P29" i="13"/>
  <c r="O46" i="13"/>
  <c r="P30" i="13"/>
  <c r="O47" i="13"/>
  <c r="P31" i="13"/>
  <c r="O48" i="13"/>
  <c r="P32" i="13"/>
  <c r="O49" i="13"/>
  <c r="P33" i="13"/>
  <c r="O50" i="13"/>
  <c r="P34" i="13"/>
  <c r="P86" i="13"/>
  <c r="Q77" i="13"/>
  <c r="Q86" i="13" s="1"/>
  <c r="K15" i="17"/>
  <c r="K14" i="17"/>
  <c r="K13" i="17"/>
  <c r="K12" i="17"/>
  <c r="K11" i="17"/>
  <c r="K10" i="17"/>
  <c r="K9" i="17"/>
  <c r="K8" i="17"/>
  <c r="K7" i="17"/>
  <c r="K6" i="17"/>
  <c r="K5" i="17"/>
  <c r="L4" i="17"/>
  <c r="G52" i="12" l="1"/>
  <c r="G98" i="12" s="1"/>
  <c r="G51" i="12"/>
  <c r="G97" i="12" s="1"/>
  <c r="G61" i="12"/>
  <c r="G107" i="12" s="1"/>
  <c r="G60" i="12"/>
  <c r="G106" i="12" s="1"/>
  <c r="G54" i="12"/>
  <c r="G100" i="12" s="1"/>
  <c r="G59" i="12"/>
  <c r="G105" i="12" s="1"/>
  <c r="G56" i="12"/>
  <c r="G102" i="12" s="1"/>
  <c r="G58" i="12"/>
  <c r="G104" i="12" s="1"/>
  <c r="G57" i="12"/>
  <c r="G103" i="12" s="1"/>
  <c r="G55" i="12"/>
  <c r="G101" i="12" s="1"/>
  <c r="G53" i="12"/>
  <c r="G99" i="12" s="1"/>
  <c r="O71" i="13"/>
  <c r="S17" i="8"/>
  <c r="F53" i="10"/>
  <c r="F58" i="10" s="1"/>
  <c r="J38" i="8"/>
  <c r="E57" i="3"/>
  <c r="J42" i="8"/>
  <c r="J78" i="8"/>
  <c r="F47" i="10"/>
  <c r="F52" i="10" s="1"/>
  <c r="F21" i="10"/>
  <c r="J41" i="8"/>
  <c r="J77" i="8" s="1"/>
  <c r="F63" i="10" s="1"/>
  <c r="J37" i="8"/>
  <c r="F42" i="9"/>
  <c r="F44" i="9" s="1"/>
  <c r="E79" i="10"/>
  <c r="D66" i="3"/>
  <c r="D80" i="3" s="1"/>
  <c r="D107" i="3" s="1"/>
  <c r="L15" i="17"/>
  <c r="L14" i="17"/>
  <c r="L13" i="17"/>
  <c r="L12" i="17"/>
  <c r="L11" i="17"/>
  <c r="L10" i="17"/>
  <c r="L9" i="17"/>
  <c r="L8" i="17"/>
  <c r="L7" i="17"/>
  <c r="L6" i="17"/>
  <c r="L5" i="17"/>
  <c r="M4" i="17"/>
  <c r="P50" i="13"/>
  <c r="Q34" i="13"/>
  <c r="Q50" i="13" s="1"/>
  <c r="P49" i="13"/>
  <c r="Q33" i="13"/>
  <c r="Q49" i="13" s="1"/>
  <c r="P48" i="13"/>
  <c r="Q32" i="13"/>
  <c r="Q48" i="13" s="1"/>
  <c r="P47" i="13"/>
  <c r="Q31" i="13"/>
  <c r="Q47" i="13" s="1"/>
  <c r="P46" i="13"/>
  <c r="Q30" i="13"/>
  <c r="Q46" i="13" s="1"/>
  <c r="P45" i="13"/>
  <c r="Q29" i="13"/>
  <c r="Q45" i="13" s="1"/>
  <c r="P44" i="13"/>
  <c r="Q28" i="13"/>
  <c r="Q44" i="13" s="1"/>
  <c r="P43" i="13"/>
  <c r="Q27" i="13"/>
  <c r="Q43" i="13" s="1"/>
  <c r="P42" i="13"/>
  <c r="Q26" i="13"/>
  <c r="Q42" i="13" s="1"/>
  <c r="P41" i="13"/>
  <c r="Q25" i="13"/>
  <c r="Q41" i="13" s="1"/>
  <c r="P40" i="13"/>
  <c r="Q24" i="13"/>
  <c r="Q40" i="13" s="1"/>
  <c r="P39" i="13"/>
  <c r="P35" i="13"/>
  <c r="Q23" i="13"/>
  <c r="O51" i="13"/>
  <c r="N83" i="12"/>
  <c r="O67" i="12"/>
  <c r="O83" i="12" s="1"/>
  <c r="N84" i="12"/>
  <c r="O68" i="12"/>
  <c r="O84" i="12" s="1"/>
  <c r="O123" i="12"/>
  <c r="O122" i="12"/>
  <c r="O121" i="12"/>
  <c r="O120" i="12"/>
  <c r="O119" i="12"/>
  <c r="O118" i="12"/>
  <c r="O117" i="12"/>
  <c r="O116" i="12"/>
  <c r="O115" i="12"/>
  <c r="O114" i="12"/>
  <c r="O113" i="12"/>
  <c r="N124" i="12"/>
  <c r="C120" i="3"/>
  <c r="C121" i="3" s="1"/>
  <c r="F97" i="10"/>
  <c r="G89" i="10"/>
  <c r="H41" i="9"/>
  <c r="E31" i="10"/>
  <c r="I93" i="8"/>
  <c r="H19" i="9"/>
  <c r="H23" i="9" s="1"/>
  <c r="G162" i="7"/>
  <c r="G164" i="7" s="1"/>
  <c r="G165" i="7"/>
  <c r="G176" i="7" s="1"/>
  <c r="G177" i="7" s="1"/>
  <c r="F80" i="10"/>
  <c r="E117" i="3"/>
  <c r="H51" i="11"/>
  <c r="H49" i="11" s="1"/>
  <c r="H47" i="11"/>
  <c r="H38" i="11" s="1"/>
  <c r="H46" i="11"/>
  <c r="H45" i="11"/>
  <c r="H40" i="11" s="1"/>
  <c r="H44" i="11"/>
  <c r="H36" i="11" s="1"/>
  <c r="H42" i="11"/>
  <c r="I51" i="11"/>
  <c r="I49" i="11" s="1"/>
  <c r="I47" i="11"/>
  <c r="I38" i="11" s="1"/>
  <c r="I46" i="11"/>
  <c r="I57" i="11" s="1"/>
  <c r="I45" i="11"/>
  <c r="I40" i="11" s="1"/>
  <c r="I44" i="11"/>
  <c r="I36" i="11" s="1"/>
  <c r="I42" i="11"/>
  <c r="J45" i="11"/>
  <c r="J40" i="11" s="1"/>
  <c r="J44" i="11"/>
  <c r="J36" i="11" s="1"/>
  <c r="J42" i="11"/>
  <c r="K45" i="11"/>
  <c r="K40" i="11" s="1"/>
  <c r="K44" i="11"/>
  <c r="K36" i="11" s="1"/>
  <c r="L45" i="11"/>
  <c r="L40" i="11" s="1"/>
  <c r="L44" i="11"/>
  <c r="L36" i="11" s="1"/>
  <c r="M45" i="11"/>
  <c r="M40" i="11" s="1"/>
  <c r="M44" i="11"/>
  <c r="M36" i="11" s="1"/>
  <c r="N45" i="11"/>
  <c r="N40" i="11" s="1"/>
  <c r="N44" i="11"/>
  <c r="N36" i="11" s="1"/>
  <c r="O45" i="11"/>
  <c r="O40" i="11" s="1"/>
  <c r="O44" i="11"/>
  <c r="O36" i="11" s="1"/>
  <c r="P45" i="11"/>
  <c r="P40" i="11" s="1"/>
  <c r="P44" i="11"/>
  <c r="P36" i="11" s="1"/>
  <c r="Q45" i="11"/>
  <c r="Q40" i="11" s="1"/>
  <c r="Q44" i="11"/>
  <c r="Q36" i="11" s="1"/>
  <c r="R45" i="11"/>
  <c r="R40" i="11" s="1"/>
  <c r="R44" i="11"/>
  <c r="R36" i="11" s="1"/>
  <c r="S45" i="11"/>
  <c r="S40" i="11" s="1"/>
  <c r="S44" i="11"/>
  <c r="S36" i="11" s="1"/>
  <c r="O18" i="10"/>
  <c r="N18" i="10"/>
  <c r="Q55" i="11"/>
  <c r="M18" i="10"/>
  <c r="L18" i="10"/>
  <c r="K18" i="10"/>
  <c r="O56" i="11"/>
  <c r="N55" i="11"/>
  <c r="J18" i="10"/>
  <c r="N56" i="11"/>
  <c r="I18" i="10"/>
  <c r="H18" i="10"/>
  <c r="G18" i="10"/>
  <c r="J24" i="11"/>
  <c r="J22" i="11"/>
  <c r="J23" i="11" s="1"/>
  <c r="J55" i="11"/>
  <c r="F18" i="10"/>
  <c r="E18" i="10"/>
  <c r="E22" i="10" s="1"/>
  <c r="I23" i="11"/>
  <c r="I26" i="11"/>
  <c r="C24" i="2"/>
  <c r="H55" i="11"/>
  <c r="D18" i="10"/>
  <c r="H56" i="11"/>
  <c r="H23" i="11"/>
  <c r="H57" i="11"/>
  <c r="H48" i="11"/>
  <c r="H26" i="11"/>
  <c r="G26" i="10"/>
  <c r="K34" i="8"/>
  <c r="K33" i="8"/>
  <c r="K26" i="8"/>
  <c r="K58" i="8"/>
  <c r="K57" i="8"/>
  <c r="K71" i="8"/>
  <c r="K68" i="8" s="1"/>
  <c r="F115" i="3"/>
  <c r="F105" i="3"/>
  <c r="F77" i="3"/>
  <c r="G87" i="10"/>
  <c r="G42" i="10"/>
  <c r="G27" i="10"/>
  <c r="G23" i="10"/>
  <c r="G20" i="10"/>
  <c r="I32" i="9" s="1"/>
  <c r="G15" i="10"/>
  <c r="G92" i="10" s="1"/>
  <c r="G14" i="10"/>
  <c r="G91" i="10" s="1"/>
  <c r="G13" i="10"/>
  <c r="F6" i="2"/>
  <c r="H159" i="7"/>
  <c r="H158" i="7"/>
  <c r="H163" i="7" s="1"/>
  <c r="H157" i="7"/>
  <c r="L13" i="11"/>
  <c r="L33" i="11" s="1"/>
  <c r="H6" i="10"/>
  <c r="J5" i="9"/>
  <c r="L8" i="8"/>
  <c r="L6" i="8"/>
  <c r="M4" i="8"/>
  <c r="H155" i="7"/>
  <c r="H169" i="7" s="1"/>
  <c r="G54" i="3"/>
  <c r="F83" i="3"/>
  <c r="P72" i="13"/>
  <c r="P70" i="13"/>
  <c r="O72" i="13"/>
  <c r="O70" i="13"/>
  <c r="G108" i="12" l="1"/>
  <c r="K14" i="8" s="1"/>
  <c r="H506" i="6" s="1"/>
  <c r="H508" i="6" s="1"/>
  <c r="H510" i="6" s="1"/>
  <c r="H512" i="6" s="1"/>
  <c r="H13" i="9"/>
  <c r="E7" i="2"/>
  <c r="D22" i="2"/>
  <c r="E58" i="3"/>
  <c r="E60" i="3" s="1"/>
  <c r="E61" i="3" s="1"/>
  <c r="E62" i="3" s="1"/>
  <c r="J83" i="8"/>
  <c r="J87" i="8" s="1"/>
  <c r="J90" i="8" s="1"/>
  <c r="F22" i="10"/>
  <c r="J107" i="8"/>
  <c r="K36" i="8"/>
  <c r="G48" i="10" s="1"/>
  <c r="G53" i="10" s="1"/>
  <c r="J56" i="11"/>
  <c r="I48" i="11"/>
  <c r="Q56" i="11"/>
  <c r="L55" i="11"/>
  <c r="M56" i="11"/>
  <c r="I56" i="11"/>
  <c r="R55" i="11"/>
  <c r="M55" i="11"/>
  <c r="S55" i="11"/>
  <c r="P51" i="13"/>
  <c r="K56" i="11"/>
  <c r="K109" i="8" s="1"/>
  <c r="S56" i="11"/>
  <c r="R56" i="11"/>
  <c r="K55" i="11"/>
  <c r="O55" i="11"/>
  <c r="L56" i="11"/>
  <c r="P56" i="11"/>
  <c r="O124" i="12"/>
  <c r="D82" i="3"/>
  <c r="I55" i="11"/>
  <c r="P55" i="11"/>
  <c r="G106" i="3"/>
  <c r="G116" i="3" s="1"/>
  <c r="G55" i="3"/>
  <c r="G78" i="3" s="1"/>
  <c r="G79" i="3" s="1"/>
  <c r="H170" i="7"/>
  <c r="M12" i="11"/>
  <c r="M32" i="11" s="1"/>
  <c r="I5" i="10"/>
  <c r="I43" i="10" s="1"/>
  <c r="K4" i="9"/>
  <c r="M5" i="8"/>
  <c r="I154" i="7"/>
  <c r="I40" i="14"/>
  <c r="I56" i="14" s="1"/>
  <c r="I71" i="14" s="1"/>
  <c r="H18" i="12"/>
  <c r="H20" i="12" s="1"/>
  <c r="L14" i="11"/>
  <c r="L34" i="11" s="1"/>
  <c r="H7" i="10"/>
  <c r="J6" i="9"/>
  <c r="H153" i="7"/>
  <c r="G53" i="3"/>
  <c r="L79" i="8"/>
  <c r="L70" i="8"/>
  <c r="L69" i="8"/>
  <c r="L66" i="8"/>
  <c r="L65" i="8"/>
  <c r="L63" i="8"/>
  <c r="L62" i="8"/>
  <c r="L56" i="8"/>
  <c r="L55" i="8"/>
  <c r="L54" i="8"/>
  <c r="L53" i="8"/>
  <c r="L52" i="8"/>
  <c r="L51" i="8"/>
  <c r="L50" i="8"/>
  <c r="L49" i="8"/>
  <c r="L48" i="8"/>
  <c r="L47" i="8"/>
  <c r="L46" i="8"/>
  <c r="L45" i="8"/>
  <c r="L25" i="8"/>
  <c r="L24" i="8"/>
  <c r="L32" i="8"/>
  <c r="L16" i="8"/>
  <c r="L15" i="8"/>
  <c r="L9" i="8"/>
  <c r="H66" i="10"/>
  <c r="H44" i="10"/>
  <c r="H165" i="7"/>
  <c r="H176" i="7" s="1"/>
  <c r="H172" i="7"/>
  <c r="H156" i="7"/>
  <c r="H164" i="7" s="1"/>
  <c r="G90" i="10"/>
  <c r="G93" i="10" s="1"/>
  <c r="G95" i="10" s="1"/>
  <c r="G16" i="10"/>
  <c r="H514" i="6"/>
  <c r="H511" i="6"/>
  <c r="F64" i="3"/>
  <c r="D70" i="10"/>
  <c r="F31" i="9"/>
  <c r="H50" i="11"/>
  <c r="C10" i="2"/>
  <c r="C12" i="2"/>
  <c r="H110" i="8"/>
  <c r="H58" i="11"/>
  <c r="D30" i="10" s="1"/>
  <c r="H109" i="8"/>
  <c r="H106" i="8" s="1"/>
  <c r="C11" i="2" s="1"/>
  <c r="D22" i="10"/>
  <c r="B7" i="21"/>
  <c r="C7" i="21" s="1"/>
  <c r="E70" i="10"/>
  <c r="G31" i="9"/>
  <c r="I50" i="11"/>
  <c r="D10" i="2"/>
  <c r="D12" i="2"/>
  <c r="I110" i="8"/>
  <c r="I58" i="11"/>
  <c r="E30" i="10" s="1"/>
  <c r="I109" i="8"/>
  <c r="J109" i="8"/>
  <c r="C93" i="3"/>
  <c r="D24" i="2"/>
  <c r="J16" i="11"/>
  <c r="J25" i="11" s="1"/>
  <c r="K18" i="11"/>
  <c r="J47" i="11"/>
  <c r="J46" i="11"/>
  <c r="J57" i="11" s="1"/>
  <c r="F57" i="10"/>
  <c r="H12" i="9"/>
  <c r="H26" i="9" s="1"/>
  <c r="F35" i="10" s="1"/>
  <c r="E65" i="3" s="1"/>
  <c r="E13" i="2"/>
  <c r="E8" i="2"/>
  <c r="I20" i="9"/>
  <c r="H175" i="7"/>
  <c r="G180" i="7"/>
  <c r="G166" i="7"/>
  <c r="I102" i="8"/>
  <c r="E32" i="10" s="1"/>
  <c r="D118" i="3" s="1"/>
  <c r="Q39" i="13"/>
  <c r="Q51" i="13" s="1"/>
  <c r="Q35" i="13"/>
  <c r="M15" i="17"/>
  <c r="M14" i="17"/>
  <c r="M13" i="17"/>
  <c r="M12" i="17"/>
  <c r="M11" i="17"/>
  <c r="M10" i="17"/>
  <c r="M9" i="17"/>
  <c r="M8" i="17"/>
  <c r="M7" i="17"/>
  <c r="M6" i="17"/>
  <c r="M5" i="17"/>
  <c r="N4" i="17"/>
  <c r="H60" i="12" l="1"/>
  <c r="H106" i="12" s="1"/>
  <c r="H54" i="12"/>
  <c r="H100" i="12" s="1"/>
  <c r="H51" i="12"/>
  <c r="H97" i="12" s="1"/>
  <c r="H59" i="12"/>
  <c r="H105" i="12" s="1"/>
  <c r="H53" i="12"/>
  <c r="H99" i="12" s="1"/>
  <c r="H61" i="12"/>
  <c r="H107" i="12" s="1"/>
  <c r="H58" i="12"/>
  <c r="H104" i="12" s="1"/>
  <c r="H55" i="12"/>
  <c r="H101" i="12" s="1"/>
  <c r="H52" i="12"/>
  <c r="H98" i="12" s="1"/>
  <c r="H56" i="12"/>
  <c r="H102" i="12" s="1"/>
  <c r="H57" i="12"/>
  <c r="H103" i="12" s="1"/>
  <c r="J89" i="8"/>
  <c r="J93" i="8" s="1"/>
  <c r="H513" i="6"/>
  <c r="H515" i="6" s="1"/>
  <c r="H516" i="6" s="1"/>
  <c r="K73" i="8" s="1"/>
  <c r="G42" i="9"/>
  <c r="G44" i="9" s="1"/>
  <c r="H177" i="7"/>
  <c r="F79" i="10"/>
  <c r="I106" i="8"/>
  <c r="D11" i="2" s="1"/>
  <c r="L109" i="8"/>
  <c r="E66" i="3"/>
  <c r="E80" i="3" s="1"/>
  <c r="E107" i="3" s="1"/>
  <c r="C182" i="3" s="1"/>
  <c r="N15" i="17"/>
  <c r="N14" i="17"/>
  <c r="N13" i="17"/>
  <c r="N12" i="17"/>
  <c r="N11" i="17"/>
  <c r="N10" i="17"/>
  <c r="N9" i="17"/>
  <c r="N8" i="17"/>
  <c r="N7" i="17"/>
  <c r="N6" i="17"/>
  <c r="N5" i="17"/>
  <c r="O4" i="17"/>
  <c r="G97" i="10"/>
  <c r="H89" i="10"/>
  <c r="I41" i="9"/>
  <c r="D120" i="3"/>
  <c r="I19" i="9"/>
  <c r="H162" i="7"/>
  <c r="H166" i="7" s="1"/>
  <c r="K81" i="8"/>
  <c r="G181" i="7"/>
  <c r="J20" i="9"/>
  <c r="I175" i="7"/>
  <c r="H180" i="7"/>
  <c r="E12" i="2"/>
  <c r="J110" i="8"/>
  <c r="J58" i="11"/>
  <c r="F30" i="10" s="1"/>
  <c r="J51" i="11"/>
  <c r="J38" i="11"/>
  <c r="K42" i="11"/>
  <c r="J48" i="11"/>
  <c r="K24" i="11"/>
  <c r="K22" i="11" s="1"/>
  <c r="J49" i="11"/>
  <c r="J26" i="11"/>
  <c r="J106" i="8"/>
  <c r="E11" i="2" s="1"/>
  <c r="E64" i="10"/>
  <c r="E65" i="10" s="1"/>
  <c r="E34" i="10"/>
  <c r="E36" i="10" s="1"/>
  <c r="E60" i="10" s="1"/>
  <c r="E71" i="10"/>
  <c r="G36" i="9"/>
  <c r="G37" i="9" s="1"/>
  <c r="D64" i="10"/>
  <c r="D65" i="10" s="1"/>
  <c r="D34" i="10"/>
  <c r="D71" i="10"/>
  <c r="F36" i="9"/>
  <c r="F37" i="9" s="1"/>
  <c r="G58" i="10"/>
  <c r="I13" i="9"/>
  <c r="G80" i="10"/>
  <c r="F117" i="3"/>
  <c r="H26" i="10"/>
  <c r="L34" i="8"/>
  <c r="L33" i="8"/>
  <c r="L26" i="8"/>
  <c r="L58" i="8"/>
  <c r="L57" i="8"/>
  <c r="L71" i="8"/>
  <c r="L68" i="8" s="1"/>
  <c r="G115" i="3"/>
  <c r="G105" i="3"/>
  <c r="G77" i="3"/>
  <c r="H87" i="10"/>
  <c r="H42" i="10"/>
  <c r="H27" i="10"/>
  <c r="H23" i="10"/>
  <c r="H20" i="10"/>
  <c r="J32" i="9" s="1"/>
  <c r="H15" i="10"/>
  <c r="H92" i="10" s="1"/>
  <c r="H14" i="10"/>
  <c r="H91" i="10" s="1"/>
  <c r="H13" i="10"/>
  <c r="G6" i="2"/>
  <c r="I159" i="7"/>
  <c r="I158" i="7"/>
  <c r="I163" i="7" s="1"/>
  <c r="I157" i="7"/>
  <c r="M13" i="11"/>
  <c r="M33" i="11" s="1"/>
  <c r="I6" i="10"/>
  <c r="K5" i="9"/>
  <c r="M8" i="8"/>
  <c r="M6" i="8"/>
  <c r="N4" i="8"/>
  <c r="I155" i="7"/>
  <c r="I169" i="7" s="1"/>
  <c r="I170" i="7" s="1"/>
  <c r="H54" i="3"/>
  <c r="J18" i="9"/>
  <c r="G83" i="3"/>
  <c r="H108" i="12" l="1"/>
  <c r="L14" i="8" s="1"/>
  <c r="I506" i="6" s="1"/>
  <c r="I508" i="6" s="1"/>
  <c r="I510" i="6" s="1"/>
  <c r="F31" i="10"/>
  <c r="E82" i="3"/>
  <c r="L36" i="8"/>
  <c r="H48" i="10" s="1"/>
  <c r="H53" i="10" s="1"/>
  <c r="K18" i="9"/>
  <c r="H106" i="3"/>
  <c r="H116" i="3" s="1"/>
  <c r="H55" i="3"/>
  <c r="H78" i="3" s="1"/>
  <c r="H79" i="3" s="1"/>
  <c r="N12" i="11"/>
  <c r="N32" i="11" s="1"/>
  <c r="J5" i="10"/>
  <c r="J43" i="10" s="1"/>
  <c r="L4" i="9"/>
  <c r="N5" i="8"/>
  <c r="J154" i="7"/>
  <c r="J40" i="14"/>
  <c r="J56" i="14" s="1"/>
  <c r="J71" i="14" s="1"/>
  <c r="I18" i="12"/>
  <c r="I20" i="12" s="1"/>
  <c r="M14" i="11"/>
  <c r="M34" i="11" s="1"/>
  <c r="I7" i="10"/>
  <c r="K6" i="9"/>
  <c r="I153" i="7"/>
  <c r="H53" i="3"/>
  <c r="M79" i="8"/>
  <c r="M70" i="8"/>
  <c r="M69" i="8"/>
  <c r="M66" i="8"/>
  <c r="M65" i="8"/>
  <c r="M63" i="8"/>
  <c r="M62" i="8"/>
  <c r="M56" i="8"/>
  <c r="M55" i="8"/>
  <c r="M54" i="8"/>
  <c r="M53" i="8"/>
  <c r="M52" i="8"/>
  <c r="M51" i="8"/>
  <c r="M50" i="8"/>
  <c r="M49" i="8"/>
  <c r="M48" i="8"/>
  <c r="M47" i="8"/>
  <c r="M46" i="8"/>
  <c r="M45" i="8"/>
  <c r="M25" i="8"/>
  <c r="M24" i="8"/>
  <c r="M32" i="8"/>
  <c r="M16" i="8"/>
  <c r="M15" i="8"/>
  <c r="M9" i="8"/>
  <c r="I66" i="10"/>
  <c r="I44" i="10"/>
  <c r="I165" i="7"/>
  <c r="I176" i="7" s="1"/>
  <c r="I177" i="7" s="1"/>
  <c r="I172" i="7"/>
  <c r="I156" i="7"/>
  <c r="I164" i="7" s="1"/>
  <c r="H90" i="10"/>
  <c r="H93" i="10" s="1"/>
  <c r="H16" i="10"/>
  <c r="I514" i="6"/>
  <c r="I512" i="6"/>
  <c r="I511" i="6"/>
  <c r="G64" i="3"/>
  <c r="D36" i="10"/>
  <c r="F70" i="10"/>
  <c r="H31" i="9"/>
  <c r="K23" i="11"/>
  <c r="E24" i="2"/>
  <c r="K16" i="11"/>
  <c r="K25" i="11" s="1"/>
  <c r="L18" i="11"/>
  <c r="J50" i="11"/>
  <c r="E10" i="2"/>
  <c r="K47" i="11"/>
  <c r="K46" i="11"/>
  <c r="K57" i="11" s="1"/>
  <c r="F64" i="10"/>
  <c r="F65" i="10" s="1"/>
  <c r="J102" i="8"/>
  <c r="F32" i="10" s="1"/>
  <c r="L81" i="8"/>
  <c r="I21" i="9"/>
  <c r="H179" i="7"/>
  <c r="H181" i="7" s="1"/>
  <c r="G183" i="7"/>
  <c r="I22" i="9" s="1"/>
  <c r="I54" i="9" s="1"/>
  <c r="F63" i="3"/>
  <c r="F59" i="3"/>
  <c r="J19" i="9"/>
  <c r="I162" i="7"/>
  <c r="D121" i="3"/>
  <c r="H95" i="10"/>
  <c r="O15" i="17"/>
  <c r="O14" i="17"/>
  <c r="O13" i="17"/>
  <c r="O12" i="17"/>
  <c r="O11" i="17"/>
  <c r="O10" i="17"/>
  <c r="O9" i="17"/>
  <c r="O8" i="17"/>
  <c r="O7" i="17"/>
  <c r="O6" i="17"/>
  <c r="O5" i="17"/>
  <c r="P4" i="17"/>
  <c r="I60" i="12" l="1"/>
  <c r="I106" i="12" s="1"/>
  <c r="I57" i="12"/>
  <c r="I103" i="12" s="1"/>
  <c r="I54" i="12"/>
  <c r="I100" i="12" s="1"/>
  <c r="I51" i="12"/>
  <c r="I97" i="12" s="1"/>
  <c r="I61" i="12"/>
  <c r="I107" i="12" s="1"/>
  <c r="I58" i="12"/>
  <c r="I104" i="12" s="1"/>
  <c r="I55" i="12"/>
  <c r="I101" i="12" s="1"/>
  <c r="I52" i="12"/>
  <c r="I98" i="12" s="1"/>
  <c r="I59" i="12"/>
  <c r="I105" i="12" s="1"/>
  <c r="I56" i="12"/>
  <c r="I102" i="12" s="1"/>
  <c r="I53" i="12"/>
  <c r="I99" i="12" s="1"/>
  <c r="H42" i="9"/>
  <c r="H44" i="9" s="1"/>
  <c r="I513" i="6"/>
  <c r="I515" i="6" s="1"/>
  <c r="I516" i="6" s="1"/>
  <c r="L73" i="8" s="1"/>
  <c r="I23" i="9"/>
  <c r="I166" i="7"/>
  <c r="M109" i="8"/>
  <c r="P15" i="17"/>
  <c r="P14" i="17"/>
  <c r="P13" i="17"/>
  <c r="P12" i="17"/>
  <c r="P11" i="17"/>
  <c r="P10" i="17"/>
  <c r="P9" i="17"/>
  <c r="P8" i="17"/>
  <c r="P7" i="17"/>
  <c r="P6" i="17"/>
  <c r="P5" i="17"/>
  <c r="Q4" i="17"/>
  <c r="H97" i="10"/>
  <c r="I89" i="10"/>
  <c r="J41" i="9"/>
  <c r="K19" i="9"/>
  <c r="J162" i="7"/>
  <c r="J21" i="9"/>
  <c r="I179" i="7"/>
  <c r="H183" i="7"/>
  <c r="J22" i="9" s="1"/>
  <c r="K20" i="9"/>
  <c r="J175" i="7"/>
  <c r="I180" i="7"/>
  <c r="G63" i="3"/>
  <c r="G59" i="3"/>
  <c r="E118" i="3"/>
  <c r="F34" i="10"/>
  <c r="K110" i="8"/>
  <c r="K85" i="8"/>
  <c r="K58" i="11"/>
  <c r="G30" i="10" s="1"/>
  <c r="G64" i="10" s="1"/>
  <c r="K51" i="11"/>
  <c r="K49" i="11" s="1"/>
  <c r="K38" i="11"/>
  <c r="L42" i="11"/>
  <c r="K48" i="11"/>
  <c r="F71" i="10"/>
  <c r="H36" i="9"/>
  <c r="H37" i="9" s="1"/>
  <c r="L24" i="11"/>
  <c r="L22" i="11" s="1"/>
  <c r="K26" i="11"/>
  <c r="D60" i="10"/>
  <c r="D37" i="10"/>
  <c r="D567" i="6"/>
  <c r="E567" i="6" s="1"/>
  <c r="H58" i="10"/>
  <c r="J13" i="9"/>
  <c r="H80" i="10"/>
  <c r="G117" i="3"/>
  <c r="I26" i="10"/>
  <c r="M34" i="8"/>
  <c r="M33" i="8"/>
  <c r="M36" i="8" s="1"/>
  <c r="I48" i="10" s="1"/>
  <c r="M26" i="8"/>
  <c r="M58" i="8"/>
  <c r="M57" i="8"/>
  <c r="M71" i="8"/>
  <c r="M68" i="8" s="1"/>
  <c r="H115" i="3"/>
  <c r="H105" i="3"/>
  <c r="H77" i="3"/>
  <c r="I87" i="10"/>
  <c r="I42" i="10"/>
  <c r="I27" i="10"/>
  <c r="I23" i="10"/>
  <c r="I20" i="10"/>
  <c r="K32" i="9" s="1"/>
  <c r="I15" i="10"/>
  <c r="I92" i="10" s="1"/>
  <c r="I14" i="10"/>
  <c r="I91" i="10" s="1"/>
  <c r="I13" i="10"/>
  <c r="H6" i="2"/>
  <c r="J159" i="7"/>
  <c r="J158" i="7"/>
  <c r="J163" i="7" s="1"/>
  <c r="J157" i="7"/>
  <c r="N13" i="11"/>
  <c r="N33" i="11" s="1"/>
  <c r="J6" i="10"/>
  <c r="L5" i="9"/>
  <c r="N8" i="8"/>
  <c r="N6" i="8"/>
  <c r="O4" i="8"/>
  <c r="J155" i="7"/>
  <c r="J169" i="7" s="1"/>
  <c r="I54" i="3"/>
  <c r="H83" i="3"/>
  <c r="I108" i="12" l="1"/>
  <c r="M14" i="8" s="1"/>
  <c r="J506" i="6" s="1"/>
  <c r="J508" i="6" s="1"/>
  <c r="J510" i="6" s="1"/>
  <c r="I106" i="3"/>
  <c r="I116" i="3" s="1"/>
  <c r="I55" i="3"/>
  <c r="I78" i="3" s="1"/>
  <c r="I79" i="3" s="1"/>
  <c r="J170" i="7"/>
  <c r="O12" i="11"/>
  <c r="O32" i="11" s="1"/>
  <c r="K5" i="10"/>
  <c r="K43" i="10" s="1"/>
  <c r="M4" i="9"/>
  <c r="O5" i="8"/>
  <c r="K154" i="7"/>
  <c r="K40" i="14"/>
  <c r="K56" i="14" s="1"/>
  <c r="K71" i="14" s="1"/>
  <c r="J18" i="12"/>
  <c r="J20" i="12" s="1"/>
  <c r="N14" i="11"/>
  <c r="N34" i="11" s="1"/>
  <c r="J7" i="10"/>
  <c r="L6" i="9"/>
  <c r="J153" i="7"/>
  <c r="I53" i="3"/>
  <c r="N79" i="8"/>
  <c r="N70" i="8"/>
  <c r="N69" i="8"/>
  <c r="N66" i="8"/>
  <c r="N65" i="8"/>
  <c r="N63" i="8"/>
  <c r="N62" i="8"/>
  <c r="N56" i="8"/>
  <c r="N55" i="8"/>
  <c r="N54" i="8"/>
  <c r="N53" i="8"/>
  <c r="N52" i="8"/>
  <c r="N51" i="8"/>
  <c r="N50" i="8"/>
  <c r="N49" i="8"/>
  <c r="N48" i="8"/>
  <c r="N47" i="8"/>
  <c r="N46" i="8"/>
  <c r="N45" i="8"/>
  <c r="N25" i="8"/>
  <c r="N24" i="8"/>
  <c r="N32" i="8"/>
  <c r="N16" i="8"/>
  <c r="N15" i="8"/>
  <c r="N9" i="8"/>
  <c r="J66" i="10"/>
  <c r="J44" i="10"/>
  <c r="J165" i="7"/>
  <c r="J176" i="7" s="1"/>
  <c r="J177" i="7" s="1"/>
  <c r="J172" i="7"/>
  <c r="J156" i="7"/>
  <c r="J164" i="7" s="1"/>
  <c r="I90" i="10"/>
  <c r="I93" i="10" s="1"/>
  <c r="I16" i="10"/>
  <c r="I53" i="10"/>
  <c r="J514" i="6"/>
  <c r="J512" i="6"/>
  <c r="J511" i="6"/>
  <c r="H64" i="3"/>
  <c r="E10" i="10"/>
  <c r="F10" i="9"/>
  <c r="D566" i="6"/>
  <c r="D568" i="6" s="1"/>
  <c r="C9" i="2"/>
  <c r="D67" i="10"/>
  <c r="D68" i="10" s="1"/>
  <c r="D39" i="10"/>
  <c r="G70" i="10"/>
  <c r="I31" i="9"/>
  <c r="L23" i="11"/>
  <c r="F24" i="2"/>
  <c r="L16" i="11"/>
  <c r="L25" i="11" s="1"/>
  <c r="M18" i="11"/>
  <c r="K50" i="11"/>
  <c r="F10" i="2"/>
  <c r="L47" i="11"/>
  <c r="L46" i="11"/>
  <c r="L57" i="11" s="1"/>
  <c r="F36" i="10"/>
  <c r="E551" i="6"/>
  <c r="E120" i="3"/>
  <c r="M81" i="8"/>
  <c r="J54" i="9"/>
  <c r="J23" i="9"/>
  <c r="I181" i="7"/>
  <c r="I95" i="10"/>
  <c r="Q15" i="17"/>
  <c r="Q14" i="17"/>
  <c r="Q13" i="17"/>
  <c r="Q12" i="17"/>
  <c r="Q11" i="17"/>
  <c r="Q10" i="17"/>
  <c r="Q9" i="17"/>
  <c r="Q8" i="17"/>
  <c r="Q7" i="17"/>
  <c r="Q6" i="17"/>
  <c r="Q5" i="17"/>
  <c r="R4" i="17"/>
  <c r="J60" i="12" l="1"/>
  <c r="J106" i="12" s="1"/>
  <c r="J57" i="12"/>
  <c r="J103" i="12" s="1"/>
  <c r="J54" i="12"/>
  <c r="J100" i="12" s="1"/>
  <c r="J51" i="12"/>
  <c r="J97" i="12" s="1"/>
  <c r="J61" i="12"/>
  <c r="J107" i="12" s="1"/>
  <c r="J58" i="12"/>
  <c r="J104" i="12" s="1"/>
  <c r="J55" i="12"/>
  <c r="J101" i="12" s="1"/>
  <c r="J52" i="12"/>
  <c r="J98" i="12" s="1"/>
  <c r="J59" i="12"/>
  <c r="J105" i="12" s="1"/>
  <c r="J53" i="12"/>
  <c r="J99" i="12" s="1"/>
  <c r="J56" i="12"/>
  <c r="J102" i="12" s="1"/>
  <c r="J513" i="6"/>
  <c r="J515" i="6" s="1"/>
  <c r="J516" i="6" s="1"/>
  <c r="M73" i="8" s="1"/>
  <c r="J166" i="7"/>
  <c r="N109" i="8"/>
  <c r="R15" i="17"/>
  <c r="R14" i="17"/>
  <c r="R9" i="17"/>
  <c r="R8" i="17"/>
  <c r="R7" i="17"/>
  <c r="R6" i="17"/>
  <c r="R5" i="17"/>
  <c r="S4" i="17"/>
  <c r="I97" i="10"/>
  <c r="J89" i="10"/>
  <c r="K41" i="9"/>
  <c r="L19" i="9"/>
  <c r="K162" i="7"/>
  <c r="K21" i="9"/>
  <c r="J179" i="7"/>
  <c r="I183" i="7"/>
  <c r="K22" i="9" s="1"/>
  <c r="L20" i="9"/>
  <c r="K175" i="7"/>
  <c r="J180" i="7"/>
  <c r="H63" i="3"/>
  <c r="H59" i="3"/>
  <c r="E121" i="3"/>
  <c r="F60" i="10"/>
  <c r="F567" i="6"/>
  <c r="L110" i="8"/>
  <c r="L85" i="8"/>
  <c r="L58" i="11"/>
  <c r="H30" i="10" s="1"/>
  <c r="H64" i="10" s="1"/>
  <c r="L51" i="11"/>
  <c r="L49" i="11" s="1"/>
  <c r="L38" i="11"/>
  <c r="M42" i="11"/>
  <c r="L48" i="11"/>
  <c r="G71" i="10"/>
  <c r="I36" i="9"/>
  <c r="I37" i="9" s="1"/>
  <c r="M24" i="11"/>
  <c r="M22" i="11" s="1"/>
  <c r="L26" i="11"/>
  <c r="F53" i="9"/>
  <c r="F15" i="9"/>
  <c r="F25" i="9" s="1"/>
  <c r="D38" i="10"/>
  <c r="E37" i="10"/>
  <c r="I58" i="10"/>
  <c r="K13" i="9"/>
  <c r="I80" i="10"/>
  <c r="H117" i="3"/>
  <c r="J26" i="10"/>
  <c r="N34" i="8"/>
  <c r="N33" i="8"/>
  <c r="N26" i="8"/>
  <c r="N58" i="8"/>
  <c r="N57" i="8"/>
  <c r="N71" i="8"/>
  <c r="N68" i="8" s="1"/>
  <c r="I115" i="3"/>
  <c r="I105" i="3"/>
  <c r="I77" i="3"/>
  <c r="J87" i="10"/>
  <c r="J42" i="10"/>
  <c r="J27" i="10"/>
  <c r="J23" i="10"/>
  <c r="J20" i="10"/>
  <c r="L32" i="9" s="1"/>
  <c r="J15" i="10"/>
  <c r="J92" i="10" s="1"/>
  <c r="J14" i="10"/>
  <c r="J91" i="10" s="1"/>
  <c r="J13" i="10"/>
  <c r="I6" i="2"/>
  <c r="K159" i="7"/>
  <c r="K158" i="7"/>
  <c r="K163" i="7" s="1"/>
  <c r="K157" i="7"/>
  <c r="O13" i="11"/>
  <c r="O33" i="11" s="1"/>
  <c r="K6" i="10"/>
  <c r="M5" i="9"/>
  <c r="O8" i="8"/>
  <c r="O6" i="8"/>
  <c r="P4" i="8"/>
  <c r="K155" i="7"/>
  <c r="K169" i="7" s="1"/>
  <c r="K170" i="7" s="1"/>
  <c r="J54" i="3"/>
  <c r="L18" i="9"/>
  <c r="I83" i="3"/>
  <c r="J108" i="12" l="1"/>
  <c r="N14" i="8" s="1"/>
  <c r="K506" i="6" s="1"/>
  <c r="K508" i="6" s="1"/>
  <c r="K510" i="6" s="1"/>
  <c r="N36" i="8"/>
  <c r="J48" i="10" s="1"/>
  <c r="J53" i="10" s="1"/>
  <c r="M18" i="9"/>
  <c r="J106" i="3"/>
  <c r="J116" i="3" s="1"/>
  <c r="J55" i="3"/>
  <c r="J78" i="3" s="1"/>
  <c r="J79" i="3" s="1"/>
  <c r="P12" i="11"/>
  <c r="P32" i="11" s="1"/>
  <c r="L5" i="10"/>
  <c r="L43" i="10" s="1"/>
  <c r="N4" i="9"/>
  <c r="P5" i="8"/>
  <c r="L154" i="7"/>
  <c r="L40" i="14"/>
  <c r="L56" i="14" s="1"/>
  <c r="L71" i="14" s="1"/>
  <c r="K18" i="12"/>
  <c r="K20" i="12" s="1"/>
  <c r="O14" i="11"/>
  <c r="O34" i="11" s="1"/>
  <c r="K7" i="10"/>
  <c r="M6" i="9"/>
  <c r="K153" i="7"/>
  <c r="J53" i="3"/>
  <c r="O79" i="8"/>
  <c r="O70" i="8"/>
  <c r="O69" i="8"/>
  <c r="O66" i="8"/>
  <c r="O65" i="8"/>
  <c r="O63" i="8"/>
  <c r="O62" i="8"/>
  <c r="O56" i="8"/>
  <c r="O55" i="8"/>
  <c r="O54" i="8"/>
  <c r="O53" i="8"/>
  <c r="O52" i="8"/>
  <c r="O51" i="8"/>
  <c r="O50" i="8"/>
  <c r="O49" i="8"/>
  <c r="O48" i="8"/>
  <c r="O47" i="8"/>
  <c r="O46" i="8"/>
  <c r="O45" i="8"/>
  <c r="O25" i="8"/>
  <c r="O24" i="8"/>
  <c r="O32" i="8"/>
  <c r="O16" i="8"/>
  <c r="O15" i="8"/>
  <c r="O9" i="8"/>
  <c r="K66" i="10"/>
  <c r="K44" i="10"/>
  <c r="K165" i="7"/>
  <c r="K176" i="7" s="1"/>
  <c r="K177" i="7" s="1"/>
  <c r="K172" i="7"/>
  <c r="K156" i="7"/>
  <c r="K164" i="7" s="1"/>
  <c r="J90" i="10"/>
  <c r="J93" i="10" s="1"/>
  <c r="J16" i="10"/>
  <c r="K514" i="6"/>
  <c r="K512" i="6"/>
  <c r="K511" i="6"/>
  <c r="I64" i="3"/>
  <c r="F10" i="10"/>
  <c r="G10" i="9"/>
  <c r="E566" i="6"/>
  <c r="E568" i="6" s="1"/>
  <c r="D9" i="2"/>
  <c r="E67" i="10"/>
  <c r="E68" i="10" s="1"/>
  <c r="E39" i="10"/>
  <c r="F30" i="9"/>
  <c r="F33" i="9" s="1"/>
  <c r="F38" i="9" s="1"/>
  <c r="F46" i="9" s="1"/>
  <c r="H70" i="10"/>
  <c r="J31" i="9"/>
  <c r="M23" i="11"/>
  <c r="G24" i="2"/>
  <c r="M16" i="11"/>
  <c r="M25" i="11" s="1"/>
  <c r="N18" i="11"/>
  <c r="L50" i="11"/>
  <c r="G10" i="2"/>
  <c r="M47" i="11"/>
  <c r="M46" i="11" s="1"/>
  <c r="M57" i="11" s="1"/>
  <c r="N81" i="8"/>
  <c r="K54" i="9"/>
  <c r="K23" i="9"/>
  <c r="J181" i="7"/>
  <c r="J95" i="10"/>
  <c r="S15" i="17"/>
  <c r="S14" i="17"/>
  <c r="S9" i="17"/>
  <c r="S8" i="17"/>
  <c r="S7" i="17"/>
  <c r="S6" i="17"/>
  <c r="S5" i="17"/>
  <c r="T4" i="17"/>
  <c r="K513" i="6" l="1"/>
  <c r="K515" i="6" s="1"/>
  <c r="K516" i="6" s="1"/>
  <c r="N73" i="8" s="1"/>
  <c r="K61" i="12"/>
  <c r="K107" i="12" s="1"/>
  <c r="K58" i="12"/>
  <c r="K104" i="12" s="1"/>
  <c r="K55" i="12"/>
  <c r="K101" i="12" s="1"/>
  <c r="K52" i="12"/>
  <c r="K98" i="12" s="1"/>
  <c r="K59" i="12"/>
  <c r="K105" i="12" s="1"/>
  <c r="K56" i="12"/>
  <c r="K102" i="12" s="1"/>
  <c r="K53" i="12"/>
  <c r="K99" i="12" s="1"/>
  <c r="K60" i="12"/>
  <c r="K106" i="12" s="1"/>
  <c r="K57" i="12"/>
  <c r="K103" i="12" s="1"/>
  <c r="K54" i="12"/>
  <c r="K100" i="12" s="1"/>
  <c r="K51" i="12"/>
  <c r="K97" i="12" s="1"/>
  <c r="O109" i="8"/>
  <c r="K166" i="7"/>
  <c r="M19" i="9" s="1"/>
  <c r="T15" i="17"/>
  <c r="T14" i="17"/>
  <c r="T9" i="17"/>
  <c r="T8" i="17"/>
  <c r="T7" i="17"/>
  <c r="T6" i="17"/>
  <c r="T5" i="17"/>
  <c r="U4" i="17"/>
  <c r="J97" i="10"/>
  <c r="K89" i="10"/>
  <c r="L41" i="9"/>
  <c r="L21" i="9"/>
  <c r="K179" i="7"/>
  <c r="J183" i="7"/>
  <c r="L22" i="9" s="1"/>
  <c r="M20" i="9"/>
  <c r="L175" i="7"/>
  <c r="K180" i="7"/>
  <c r="I63" i="3"/>
  <c r="I59" i="3"/>
  <c r="M58" i="11"/>
  <c r="I30" i="10" s="1"/>
  <c r="I64" i="10" s="1"/>
  <c r="M110" i="8"/>
  <c r="M85" i="8"/>
  <c r="M51" i="11"/>
  <c r="M49" i="11" s="1"/>
  <c r="M38" i="11"/>
  <c r="N42" i="11"/>
  <c r="M48" i="11"/>
  <c r="H71" i="10"/>
  <c r="J36" i="9"/>
  <c r="J37" i="9" s="1"/>
  <c r="N24" i="11"/>
  <c r="N22" i="11" s="1"/>
  <c r="M26" i="11"/>
  <c r="F52" i="9"/>
  <c r="F47" i="9"/>
  <c r="G53" i="9"/>
  <c r="G15" i="9"/>
  <c r="G25" i="9" s="1"/>
  <c r="C23" i="2"/>
  <c r="E38" i="10"/>
  <c r="F37" i="10"/>
  <c r="J58" i="10"/>
  <c r="L13" i="9"/>
  <c r="J80" i="10"/>
  <c r="I117" i="3"/>
  <c r="K26" i="10"/>
  <c r="O34" i="8"/>
  <c r="O33" i="8"/>
  <c r="O26" i="8"/>
  <c r="O58" i="8"/>
  <c r="O57" i="8"/>
  <c r="O71" i="8"/>
  <c r="O68" i="8" s="1"/>
  <c r="J115" i="3"/>
  <c r="J105" i="3"/>
  <c r="J77" i="3"/>
  <c r="K87" i="10"/>
  <c r="K42" i="10"/>
  <c r="K27" i="10"/>
  <c r="K23" i="10"/>
  <c r="K20" i="10"/>
  <c r="M32" i="9" s="1"/>
  <c r="K15" i="10"/>
  <c r="K92" i="10" s="1"/>
  <c r="K14" i="10"/>
  <c r="K91" i="10" s="1"/>
  <c r="K13" i="10"/>
  <c r="J6" i="2"/>
  <c r="L159" i="7"/>
  <c r="L158" i="7"/>
  <c r="L163" i="7" s="1"/>
  <c r="L157" i="7"/>
  <c r="P13" i="11"/>
  <c r="P33" i="11" s="1"/>
  <c r="L6" i="10"/>
  <c r="N5" i="9"/>
  <c r="P8" i="8"/>
  <c r="P6" i="8"/>
  <c r="Q4" i="8"/>
  <c r="L155" i="7"/>
  <c r="L169" i="7" s="1"/>
  <c r="K54" i="3"/>
  <c r="J83" i="3"/>
  <c r="K108" i="12" l="1"/>
  <c r="O14" i="8" s="1"/>
  <c r="L506" i="6" s="1"/>
  <c r="L508" i="6" s="1"/>
  <c r="L510" i="6" s="1"/>
  <c r="O36" i="8"/>
  <c r="K48" i="10" s="1"/>
  <c r="K53" i="10" s="1"/>
  <c r="L162" i="7"/>
  <c r="K106" i="3"/>
  <c r="K116" i="3" s="1"/>
  <c r="K55" i="3"/>
  <c r="K78" i="3" s="1"/>
  <c r="K79" i="3" s="1"/>
  <c r="L170" i="7"/>
  <c r="Q12" i="11"/>
  <c r="Q32" i="11" s="1"/>
  <c r="M5" i="10"/>
  <c r="M43" i="10" s="1"/>
  <c r="O4" i="9"/>
  <c r="Q5" i="8"/>
  <c r="M154" i="7"/>
  <c r="M40" i="14"/>
  <c r="M56" i="14" s="1"/>
  <c r="M71" i="14" s="1"/>
  <c r="L18" i="12"/>
  <c r="L20" i="12" s="1"/>
  <c r="P14" i="11"/>
  <c r="P34" i="11" s="1"/>
  <c r="L7" i="10"/>
  <c r="N6" i="9"/>
  <c r="L153" i="7"/>
  <c r="K53" i="3"/>
  <c r="P79" i="8"/>
  <c r="P70" i="8"/>
  <c r="P69" i="8"/>
  <c r="P66" i="8"/>
  <c r="P65" i="8"/>
  <c r="P63" i="8"/>
  <c r="P62" i="8"/>
  <c r="P56" i="8"/>
  <c r="P55" i="8"/>
  <c r="P54" i="8"/>
  <c r="P53" i="8"/>
  <c r="P52" i="8"/>
  <c r="P51" i="8"/>
  <c r="P50" i="8"/>
  <c r="P49" i="8"/>
  <c r="P48" i="8"/>
  <c r="P47" i="8"/>
  <c r="P46" i="8"/>
  <c r="P45" i="8"/>
  <c r="P25" i="8"/>
  <c r="P24" i="8"/>
  <c r="P32" i="8"/>
  <c r="P16" i="8"/>
  <c r="P15" i="8"/>
  <c r="P9" i="8"/>
  <c r="L66" i="10"/>
  <c r="L44" i="10"/>
  <c r="L165" i="7"/>
  <c r="L176" i="7" s="1"/>
  <c r="L177" i="7" s="1"/>
  <c r="L172" i="7"/>
  <c r="L156" i="7"/>
  <c r="L164" i="7" s="1"/>
  <c r="K90" i="10"/>
  <c r="K93" i="10" s="1"/>
  <c r="K16" i="10"/>
  <c r="L514" i="6"/>
  <c r="L512" i="6"/>
  <c r="L511" i="6"/>
  <c r="J64" i="3"/>
  <c r="G10" i="10"/>
  <c r="H10" i="9"/>
  <c r="F566" i="6"/>
  <c r="F568" i="6" s="1"/>
  <c r="E557" i="6"/>
  <c r="E9" i="2"/>
  <c r="F67" i="10"/>
  <c r="F68" i="10" s="1"/>
  <c r="F39" i="10"/>
  <c r="G30" i="9"/>
  <c r="G33" i="9" s="1"/>
  <c r="G38" i="9" s="1"/>
  <c r="G46" i="9" s="1"/>
  <c r="I70" i="10"/>
  <c r="K31" i="9"/>
  <c r="N23" i="11"/>
  <c r="H24" i="2"/>
  <c r="N16" i="11"/>
  <c r="N25" i="11" s="1"/>
  <c r="O18" i="11"/>
  <c r="M50" i="11"/>
  <c r="H10" i="2"/>
  <c r="N47" i="11"/>
  <c r="N46" i="11"/>
  <c r="N57" i="11" s="1"/>
  <c r="O81" i="8"/>
  <c r="L54" i="9"/>
  <c r="L23" i="9"/>
  <c r="K181" i="7"/>
  <c r="K95" i="10"/>
  <c r="U15" i="17"/>
  <c r="U14" i="17"/>
  <c r="U9" i="17"/>
  <c r="U8" i="17"/>
  <c r="U7" i="17"/>
  <c r="U6" i="17"/>
  <c r="U5" i="17"/>
  <c r="V4" i="17"/>
  <c r="L61" i="12" l="1"/>
  <c r="L107" i="12" s="1"/>
  <c r="L55" i="12"/>
  <c r="L101" i="12" s="1"/>
  <c r="L52" i="12"/>
  <c r="L98" i="12" s="1"/>
  <c r="L58" i="12"/>
  <c r="L104" i="12" s="1"/>
  <c r="L54" i="12"/>
  <c r="L100" i="12" s="1"/>
  <c r="L51" i="12"/>
  <c r="L97" i="12" s="1"/>
  <c r="L59" i="12"/>
  <c r="L105" i="12" s="1"/>
  <c r="L56" i="12"/>
  <c r="L102" i="12" s="1"/>
  <c r="L53" i="12"/>
  <c r="L99" i="12" s="1"/>
  <c r="L60" i="12"/>
  <c r="L106" i="12" s="1"/>
  <c r="L57" i="12"/>
  <c r="L103" i="12" s="1"/>
  <c r="L513" i="6"/>
  <c r="L515" i="6" s="1"/>
  <c r="L516" i="6" s="1"/>
  <c r="O73" i="8" s="1"/>
  <c r="L166" i="7"/>
  <c r="N19" i="9" s="1"/>
  <c r="P109" i="8"/>
  <c r="V15" i="17"/>
  <c r="V14" i="17"/>
  <c r="V9" i="17"/>
  <c r="V8" i="17"/>
  <c r="V7" i="17"/>
  <c r="V6" i="17"/>
  <c r="V5" i="17"/>
  <c r="W4" i="17"/>
  <c r="K97" i="10"/>
  <c r="L89" i="10"/>
  <c r="M41" i="9"/>
  <c r="M162" i="7"/>
  <c r="M21" i="9"/>
  <c r="L179" i="7"/>
  <c r="K183" i="7"/>
  <c r="M22" i="9" s="1"/>
  <c r="N20" i="9"/>
  <c r="M175" i="7"/>
  <c r="L180" i="7"/>
  <c r="J63" i="3"/>
  <c r="J59" i="3"/>
  <c r="N58" i="11"/>
  <c r="J30" i="10" s="1"/>
  <c r="J64" i="10" s="1"/>
  <c r="N110" i="8"/>
  <c r="N85" i="8"/>
  <c r="N51" i="11"/>
  <c r="N49" i="11" s="1"/>
  <c r="N38" i="11"/>
  <c r="O42" i="11"/>
  <c r="N48" i="11"/>
  <c r="I71" i="10"/>
  <c r="K36" i="9"/>
  <c r="K37" i="9" s="1"/>
  <c r="O24" i="11"/>
  <c r="O22" i="11" s="1"/>
  <c r="B6" i="21"/>
  <c r="C6" i="21" s="1"/>
  <c r="N26" i="11"/>
  <c r="G52" i="9"/>
  <c r="G47" i="9"/>
  <c r="H53" i="9"/>
  <c r="H15" i="9"/>
  <c r="H25" i="9" s="1"/>
  <c r="C94" i="3"/>
  <c r="C46" i="2" s="1"/>
  <c r="D23" i="2"/>
  <c r="F38" i="10"/>
  <c r="K58" i="10"/>
  <c r="M13" i="9"/>
  <c r="K80" i="10"/>
  <c r="J117" i="3"/>
  <c r="L26" i="10"/>
  <c r="P34" i="8"/>
  <c r="P33" i="8"/>
  <c r="P26" i="8"/>
  <c r="P58" i="8"/>
  <c r="P57" i="8"/>
  <c r="P71" i="8"/>
  <c r="P68" i="8" s="1"/>
  <c r="K115" i="3"/>
  <c r="K105" i="3"/>
  <c r="K77" i="3"/>
  <c r="L87" i="10"/>
  <c r="L42" i="10"/>
  <c r="L27" i="10"/>
  <c r="L23" i="10"/>
  <c r="L20" i="10"/>
  <c r="N32" i="9" s="1"/>
  <c r="L15" i="10"/>
  <c r="L92" i="10" s="1"/>
  <c r="L14" i="10"/>
  <c r="L91" i="10" s="1"/>
  <c r="L13" i="10"/>
  <c r="K6" i="2"/>
  <c r="M159" i="7"/>
  <c r="M158" i="7"/>
  <c r="M163" i="7" s="1"/>
  <c r="M157" i="7"/>
  <c r="Q13" i="11"/>
  <c r="Q33" i="11" s="1"/>
  <c r="M6" i="10"/>
  <c r="O5" i="9"/>
  <c r="Q8" i="8"/>
  <c r="Q6" i="8"/>
  <c r="R4" i="8"/>
  <c r="M155" i="7"/>
  <c r="M169" i="7" s="1"/>
  <c r="L54" i="3"/>
  <c r="N18" i="9"/>
  <c r="M170" i="7"/>
  <c r="K83" i="3"/>
  <c r="L108" i="12" l="1"/>
  <c r="P14" i="8" s="1"/>
  <c r="M506" i="6" s="1"/>
  <c r="M508" i="6" s="1"/>
  <c r="M510" i="6" s="1"/>
  <c r="P36" i="8"/>
  <c r="L48" i="10" s="1"/>
  <c r="L53" i="10" s="1"/>
  <c r="O18" i="9"/>
  <c r="L106" i="3"/>
  <c r="L116" i="3" s="1"/>
  <c r="L55" i="3"/>
  <c r="L78" i="3" s="1"/>
  <c r="L79" i="3" s="1"/>
  <c r="R12" i="11"/>
  <c r="R32" i="11" s="1"/>
  <c r="N5" i="10"/>
  <c r="N43" i="10" s="1"/>
  <c r="P4" i="9"/>
  <c r="R5" i="8"/>
  <c r="N154" i="7"/>
  <c r="N40" i="14"/>
  <c r="N56" i="14" s="1"/>
  <c r="N71" i="14" s="1"/>
  <c r="M18" i="12"/>
  <c r="M20" i="12" s="1"/>
  <c r="Q14" i="11"/>
  <c r="Q34" i="11" s="1"/>
  <c r="M7" i="10"/>
  <c r="O6" i="9"/>
  <c r="M153" i="7"/>
  <c r="L53" i="3"/>
  <c r="Q79" i="8"/>
  <c r="Q70" i="8"/>
  <c r="Q69" i="8"/>
  <c r="Q66" i="8"/>
  <c r="Q65" i="8"/>
  <c r="Q63" i="8"/>
  <c r="Q62" i="8"/>
  <c r="Q56" i="8"/>
  <c r="Q55" i="8"/>
  <c r="Q54" i="8"/>
  <c r="Q53" i="8"/>
  <c r="Q52" i="8"/>
  <c r="Q51" i="8"/>
  <c r="Q50" i="8"/>
  <c r="Q49" i="8"/>
  <c r="Q48" i="8"/>
  <c r="Q47" i="8"/>
  <c r="Q46" i="8"/>
  <c r="Q45" i="8"/>
  <c r="Q25" i="8"/>
  <c r="Q24" i="8"/>
  <c r="Q32" i="8"/>
  <c r="Q16" i="8"/>
  <c r="Q15" i="8"/>
  <c r="Q9" i="8"/>
  <c r="M66" i="10"/>
  <c r="M44" i="10"/>
  <c r="M165" i="7"/>
  <c r="M176" i="7" s="1"/>
  <c r="M177" i="7" s="1"/>
  <c r="M172" i="7"/>
  <c r="M156" i="7"/>
  <c r="M164" i="7" s="1"/>
  <c r="L90" i="10"/>
  <c r="L93" i="10" s="1"/>
  <c r="L16" i="10"/>
  <c r="M514" i="6"/>
  <c r="M512" i="6"/>
  <c r="M511" i="6"/>
  <c r="K64" i="3"/>
  <c r="H30" i="9"/>
  <c r="H33" i="9" s="1"/>
  <c r="H38" i="9" s="1"/>
  <c r="H46" i="9" s="1"/>
  <c r="J70" i="10"/>
  <c r="L31" i="9"/>
  <c r="O23" i="11"/>
  <c r="I24" i="2"/>
  <c r="O16" i="11"/>
  <c r="O25" i="11" s="1"/>
  <c r="P18" i="11"/>
  <c r="N50" i="11"/>
  <c r="I10" i="2"/>
  <c r="O47" i="11"/>
  <c r="O46" i="11"/>
  <c r="O57" i="11" s="1"/>
  <c r="P81" i="8"/>
  <c r="M54" i="9"/>
  <c r="M23" i="9"/>
  <c r="L181" i="7"/>
  <c r="L95" i="10"/>
  <c r="W15" i="17"/>
  <c r="W14" i="17"/>
  <c r="W9" i="17"/>
  <c r="W8" i="17"/>
  <c r="W7" i="17"/>
  <c r="W6" i="17"/>
  <c r="W5" i="17"/>
  <c r="X4" i="17"/>
  <c r="M61" i="12" l="1"/>
  <c r="M107" i="12" s="1"/>
  <c r="M58" i="12"/>
  <c r="M104" i="12" s="1"/>
  <c r="M55" i="12"/>
  <c r="M101" i="12" s="1"/>
  <c r="M52" i="12"/>
  <c r="M98" i="12" s="1"/>
  <c r="M59" i="12"/>
  <c r="M105" i="12" s="1"/>
  <c r="M56" i="12"/>
  <c r="M102" i="12" s="1"/>
  <c r="M53" i="12"/>
  <c r="M99" i="12" s="1"/>
  <c r="M60" i="12"/>
  <c r="M106" i="12" s="1"/>
  <c r="M57" i="12"/>
  <c r="M103" i="12" s="1"/>
  <c r="M54" i="12"/>
  <c r="M100" i="12" s="1"/>
  <c r="M51" i="12"/>
  <c r="M97" i="12" s="1"/>
  <c r="M108" i="12" s="1"/>
  <c r="Q14" i="8" s="1"/>
  <c r="N506" i="6" s="1"/>
  <c r="N508" i="6" s="1"/>
  <c r="N510" i="6" s="1"/>
  <c r="M513" i="6"/>
  <c r="M515" i="6" s="1"/>
  <c r="M516" i="6" s="1"/>
  <c r="P73" i="8" s="1"/>
  <c r="Q109" i="8"/>
  <c r="M166" i="7"/>
  <c r="O19" i="9" s="1"/>
  <c r="X15" i="17"/>
  <c r="X14" i="17"/>
  <c r="X9" i="17"/>
  <c r="X8" i="17"/>
  <c r="X7" i="17"/>
  <c r="X6" i="17"/>
  <c r="X5" i="17"/>
  <c r="Y4" i="17"/>
  <c r="L97" i="10"/>
  <c r="M89" i="10"/>
  <c r="N41" i="9"/>
  <c r="N21" i="9"/>
  <c r="M179" i="7"/>
  <c r="L183" i="7"/>
  <c r="N22" i="9" s="1"/>
  <c r="O20" i="9"/>
  <c r="N175" i="7"/>
  <c r="M180" i="7"/>
  <c r="K63" i="3"/>
  <c r="K59" i="3"/>
  <c r="O58" i="11"/>
  <c r="K30" i="10" s="1"/>
  <c r="K64" i="10" s="1"/>
  <c r="O110" i="8"/>
  <c r="O85" i="8"/>
  <c r="O51" i="11"/>
  <c r="O49" i="11" s="1"/>
  <c r="O38" i="11"/>
  <c r="P42" i="11"/>
  <c r="O48" i="11"/>
  <c r="J71" i="10"/>
  <c r="L36" i="9"/>
  <c r="L37" i="9" s="1"/>
  <c r="P24" i="11"/>
  <c r="P22" i="11"/>
  <c r="O26" i="11"/>
  <c r="H52" i="9"/>
  <c r="H47" i="9"/>
  <c r="L58" i="10"/>
  <c r="N13" i="9"/>
  <c r="L80" i="10"/>
  <c r="K117" i="3"/>
  <c r="M26" i="10"/>
  <c r="Q34" i="8"/>
  <c r="Q33" i="8"/>
  <c r="Q26" i="8"/>
  <c r="Q58" i="8"/>
  <c r="Q57" i="8"/>
  <c r="Q71" i="8"/>
  <c r="Q68" i="8" s="1"/>
  <c r="L115" i="3"/>
  <c r="L105" i="3"/>
  <c r="L77" i="3"/>
  <c r="M87" i="10"/>
  <c r="M42" i="10"/>
  <c r="M27" i="10"/>
  <c r="M23" i="10"/>
  <c r="M20" i="10"/>
  <c r="O32" i="9" s="1"/>
  <c r="M15" i="10"/>
  <c r="M92" i="10" s="1"/>
  <c r="M14" i="10"/>
  <c r="M91" i="10" s="1"/>
  <c r="M13" i="10"/>
  <c r="L6" i="2"/>
  <c r="N159" i="7"/>
  <c r="N158" i="7"/>
  <c r="N163" i="7" s="1"/>
  <c r="N157" i="7"/>
  <c r="R13" i="11"/>
  <c r="R33" i="11" s="1"/>
  <c r="N6" i="10"/>
  <c r="P5" i="9"/>
  <c r="R8" i="8"/>
  <c r="R6" i="8"/>
  <c r="S4" i="8"/>
  <c r="N155" i="7"/>
  <c r="N169" i="7" s="1"/>
  <c r="M54" i="3"/>
  <c r="L83" i="3"/>
  <c r="Q36" i="8" l="1"/>
  <c r="M48" i="10" s="1"/>
  <c r="M53" i="10" s="1"/>
  <c r="N162" i="7"/>
  <c r="M106" i="3"/>
  <c r="M116" i="3" s="1"/>
  <c r="M55" i="3"/>
  <c r="M78" i="3" s="1"/>
  <c r="M79" i="3" s="1"/>
  <c r="N170" i="7"/>
  <c r="S12" i="11"/>
  <c r="S32" i="11" s="1"/>
  <c r="O5" i="10"/>
  <c r="O43" i="10" s="1"/>
  <c r="Q4" i="9"/>
  <c r="S5" i="8"/>
  <c r="O154" i="7"/>
  <c r="O40" i="14"/>
  <c r="O56" i="14" s="1"/>
  <c r="O71" i="14" s="1"/>
  <c r="N18" i="12"/>
  <c r="N20" i="12" s="1"/>
  <c r="R14" i="11"/>
  <c r="R34" i="11" s="1"/>
  <c r="N7" i="10"/>
  <c r="P6" i="9"/>
  <c r="N153" i="7"/>
  <c r="M53" i="3"/>
  <c r="R79" i="8"/>
  <c r="R70" i="8"/>
  <c r="R69" i="8"/>
  <c r="R66" i="8"/>
  <c r="R65" i="8"/>
  <c r="R63" i="8"/>
  <c r="R62" i="8"/>
  <c r="R56" i="8"/>
  <c r="R55" i="8"/>
  <c r="R54" i="8"/>
  <c r="R53" i="8"/>
  <c r="R52" i="8"/>
  <c r="R51" i="8"/>
  <c r="R50" i="8"/>
  <c r="R49" i="8"/>
  <c r="R48" i="8"/>
  <c r="R47" i="8"/>
  <c r="R46" i="8"/>
  <c r="R45" i="8"/>
  <c r="R25" i="8"/>
  <c r="R24" i="8"/>
  <c r="R32" i="8"/>
  <c r="R16" i="8"/>
  <c r="R15" i="8"/>
  <c r="R9" i="8"/>
  <c r="N66" i="10"/>
  <c r="N44" i="10"/>
  <c r="N165" i="7"/>
  <c r="N176" i="7" s="1"/>
  <c r="N177" i="7" s="1"/>
  <c r="N172" i="7"/>
  <c r="N156" i="7"/>
  <c r="N164" i="7" s="1"/>
  <c r="M90" i="10"/>
  <c r="M93" i="10" s="1"/>
  <c r="M95" i="10" s="1"/>
  <c r="M16" i="10"/>
  <c r="N514" i="6"/>
  <c r="N512" i="6"/>
  <c r="N511" i="6"/>
  <c r="L64" i="3"/>
  <c r="K70" i="10"/>
  <c r="M31" i="9"/>
  <c r="P23" i="11"/>
  <c r="J24" i="2"/>
  <c r="P16" i="11"/>
  <c r="P25" i="11" s="1"/>
  <c r="Q18" i="11"/>
  <c r="O50" i="11"/>
  <c r="J10" i="2"/>
  <c r="P47" i="11"/>
  <c r="P46" i="11"/>
  <c r="P57" i="11" s="1"/>
  <c r="Q81" i="8"/>
  <c r="N54" i="9"/>
  <c r="N23" i="9"/>
  <c r="M181" i="7"/>
  <c r="Y15" i="17"/>
  <c r="Y14" i="17"/>
  <c r="Y9" i="17"/>
  <c r="Y8" i="17"/>
  <c r="Y7" i="17"/>
  <c r="Y6" i="17"/>
  <c r="Y5" i="17"/>
  <c r="Z4" i="17"/>
  <c r="N61" i="12" l="1"/>
  <c r="N107" i="12" s="1"/>
  <c r="N58" i="12"/>
  <c r="N104" i="12" s="1"/>
  <c r="N55" i="12"/>
  <c r="N101" i="12" s="1"/>
  <c r="N52" i="12"/>
  <c r="N98" i="12" s="1"/>
  <c r="N59" i="12"/>
  <c r="N105" i="12" s="1"/>
  <c r="N56" i="12"/>
  <c r="N102" i="12" s="1"/>
  <c r="N53" i="12"/>
  <c r="N99" i="12" s="1"/>
  <c r="N51" i="12"/>
  <c r="N97" i="12" s="1"/>
  <c r="N57" i="12"/>
  <c r="N103" i="12" s="1"/>
  <c r="N54" i="12"/>
  <c r="N100" i="12" s="1"/>
  <c r="N60" i="12"/>
  <c r="N106" i="12" s="1"/>
  <c r="N166" i="7"/>
  <c r="N513" i="6"/>
  <c r="N515" i="6" s="1"/>
  <c r="N516" i="6" s="1"/>
  <c r="Q73" i="8" s="1"/>
  <c r="R109" i="8"/>
  <c r="Z15" i="17"/>
  <c r="Z14" i="17"/>
  <c r="Z9" i="17"/>
  <c r="Z8" i="17"/>
  <c r="Z7" i="17"/>
  <c r="Z6" i="17"/>
  <c r="Z5" i="17"/>
  <c r="AA4" i="17"/>
  <c r="M97" i="10"/>
  <c r="N89" i="10"/>
  <c r="O41" i="9"/>
  <c r="P19" i="9"/>
  <c r="O162" i="7"/>
  <c r="O21" i="9"/>
  <c r="N179" i="7"/>
  <c r="M183" i="7"/>
  <c r="O22" i="9" s="1"/>
  <c r="P20" i="9"/>
  <c r="O175" i="7"/>
  <c r="N180" i="7"/>
  <c r="L63" i="3"/>
  <c r="L59" i="3"/>
  <c r="P58" i="11"/>
  <c r="L30" i="10" s="1"/>
  <c r="L64" i="10" s="1"/>
  <c r="P110" i="8"/>
  <c r="P85" i="8"/>
  <c r="P51" i="11"/>
  <c r="P49" i="11" s="1"/>
  <c r="P38" i="11"/>
  <c r="Q42" i="11"/>
  <c r="P48" i="11"/>
  <c r="K71" i="10"/>
  <c r="M36" i="9"/>
  <c r="M37" i="9" s="1"/>
  <c r="Q24" i="11"/>
  <c r="Q22" i="11"/>
  <c r="P26" i="11"/>
  <c r="M58" i="10"/>
  <c r="O13" i="9"/>
  <c r="M80" i="10"/>
  <c r="L117" i="3"/>
  <c r="N26" i="10"/>
  <c r="R34" i="8"/>
  <c r="R33" i="8"/>
  <c r="R26" i="8"/>
  <c r="R58" i="8"/>
  <c r="R57" i="8"/>
  <c r="R71" i="8"/>
  <c r="R68" i="8" s="1"/>
  <c r="M115" i="3"/>
  <c r="M105" i="3"/>
  <c r="M77" i="3"/>
  <c r="N87" i="10"/>
  <c r="N42" i="10"/>
  <c r="N27" i="10"/>
  <c r="N23" i="10"/>
  <c r="N20" i="10"/>
  <c r="P32" i="9" s="1"/>
  <c r="N15" i="10"/>
  <c r="N92" i="10" s="1"/>
  <c r="N14" i="10"/>
  <c r="N91" i="10" s="1"/>
  <c r="N13" i="10"/>
  <c r="M6" i="2"/>
  <c r="O159" i="7"/>
  <c r="O158" i="7"/>
  <c r="O163" i="7" s="1"/>
  <c r="O157" i="7"/>
  <c r="S13" i="11"/>
  <c r="S33" i="11" s="1"/>
  <c r="O6" i="10"/>
  <c r="Q5" i="9"/>
  <c r="S8" i="8"/>
  <c r="S6" i="8"/>
  <c r="O155" i="7"/>
  <c r="O169" i="7" s="1"/>
  <c r="P169" i="7" s="1"/>
  <c r="N54" i="3"/>
  <c r="P18" i="9"/>
  <c r="M83" i="3"/>
  <c r="N108" i="12" l="1"/>
  <c r="R14" i="8" s="1"/>
  <c r="O506" i="6" s="1"/>
  <c r="O508" i="6" s="1"/>
  <c r="O510" i="6" s="1"/>
  <c r="R36" i="8"/>
  <c r="N48" i="10" s="1"/>
  <c r="O170" i="7"/>
  <c r="Q18" i="9" s="1"/>
  <c r="N106" i="3"/>
  <c r="N116" i="3" s="1"/>
  <c r="N55" i="3"/>
  <c r="N78" i="3" s="1"/>
  <c r="N79" i="3" s="1"/>
  <c r="P40" i="14"/>
  <c r="P56" i="14" s="1"/>
  <c r="P71" i="14" s="1"/>
  <c r="O18" i="12"/>
  <c r="O20" i="12" s="1"/>
  <c r="S14" i="11"/>
  <c r="S34" i="11" s="1"/>
  <c r="O7" i="10"/>
  <c r="Q6" i="9"/>
  <c r="S109" i="8"/>
  <c r="O153" i="7"/>
  <c r="N53" i="3"/>
  <c r="S79" i="8"/>
  <c r="S70" i="8"/>
  <c r="S69" i="8"/>
  <c r="S66" i="8"/>
  <c r="S65" i="8"/>
  <c r="S63" i="8"/>
  <c r="S62" i="8"/>
  <c r="S56" i="8"/>
  <c r="S55" i="8"/>
  <c r="S54" i="8"/>
  <c r="S53" i="8"/>
  <c r="S52" i="8"/>
  <c r="S51" i="8"/>
  <c r="S50" i="8"/>
  <c r="S49" i="8"/>
  <c r="S48" i="8"/>
  <c r="C103" i="2" s="1"/>
  <c r="S47" i="8"/>
  <c r="S46" i="8"/>
  <c r="C101" i="2" s="1"/>
  <c r="S45" i="8"/>
  <c r="S25" i="8"/>
  <c r="F95" i="2" s="1"/>
  <c r="S24" i="8"/>
  <c r="F93" i="2"/>
  <c r="S16" i="8"/>
  <c r="S15" i="8"/>
  <c r="F89" i="2" s="1"/>
  <c r="S9" i="8"/>
  <c r="O66" i="10"/>
  <c r="O44" i="10"/>
  <c r="O165" i="7"/>
  <c r="O176" i="7" s="1"/>
  <c r="O177" i="7" s="1"/>
  <c r="O172" i="7"/>
  <c r="O156" i="7"/>
  <c r="O164" i="7" s="1"/>
  <c r="P164" i="7" s="1"/>
  <c r="B186" i="7" s="1"/>
  <c r="P163" i="7"/>
  <c r="B187" i="7" s="1"/>
  <c r="E187" i="7" s="1"/>
  <c r="N90" i="10"/>
  <c r="N93" i="10" s="1"/>
  <c r="N95" i="10" s="1"/>
  <c r="N16" i="10"/>
  <c r="N53" i="10"/>
  <c r="O514" i="6"/>
  <c r="O512" i="6"/>
  <c r="O511" i="6"/>
  <c r="M64" i="3"/>
  <c r="L70" i="10"/>
  <c r="N31" i="9"/>
  <c r="Q23" i="11"/>
  <c r="K24" i="2"/>
  <c r="Q16" i="11"/>
  <c r="Q25" i="11" s="1"/>
  <c r="R18" i="11"/>
  <c r="P50" i="11"/>
  <c r="K10" i="2"/>
  <c r="Q47" i="11"/>
  <c r="Q46" i="11" s="1"/>
  <c r="Q57" i="11" s="1"/>
  <c r="R81" i="8"/>
  <c r="O54" i="9"/>
  <c r="O23" i="9"/>
  <c r="N181" i="7"/>
  <c r="AA15" i="17"/>
  <c r="AA14" i="17"/>
  <c r="AA9" i="17"/>
  <c r="AA8" i="17"/>
  <c r="AA7" i="17"/>
  <c r="AA6" i="17"/>
  <c r="AA5" i="17"/>
  <c r="AB4" i="17"/>
  <c r="O59" i="12" l="1"/>
  <c r="O105" i="12" s="1"/>
  <c r="O56" i="12"/>
  <c r="O102" i="12" s="1"/>
  <c r="O53" i="12"/>
  <c r="O99" i="12" s="1"/>
  <c r="O60" i="12"/>
  <c r="O106" i="12" s="1"/>
  <c r="O57" i="12"/>
  <c r="O103" i="12" s="1"/>
  <c r="O54" i="12"/>
  <c r="O100" i="12" s="1"/>
  <c r="O51" i="12"/>
  <c r="O97" i="12" s="1"/>
  <c r="O61" i="12"/>
  <c r="O107" i="12" s="1"/>
  <c r="O58" i="12"/>
  <c r="O104" i="12" s="1"/>
  <c r="O55" i="12"/>
  <c r="O101" i="12" s="1"/>
  <c r="O52" i="12"/>
  <c r="O98" i="12" s="1"/>
  <c r="O513" i="6"/>
  <c r="O515" i="6" s="1"/>
  <c r="O516" i="6" s="1"/>
  <c r="R73" i="8" s="1"/>
  <c r="O166" i="7"/>
  <c r="AB15" i="17"/>
  <c r="AB14" i="17"/>
  <c r="AB9" i="17"/>
  <c r="AB8" i="17"/>
  <c r="AB7" i="17"/>
  <c r="AB6" i="17"/>
  <c r="AB5" i="17"/>
  <c r="AC4" i="17"/>
  <c r="N97" i="10"/>
  <c r="O89" i="10"/>
  <c r="P41" i="9"/>
  <c r="Q19" i="9"/>
  <c r="B189" i="7"/>
  <c r="D189" i="7" s="1"/>
  <c r="P21" i="9"/>
  <c r="O179" i="7"/>
  <c r="N183" i="7"/>
  <c r="P22" i="9" s="1"/>
  <c r="Q20" i="9"/>
  <c r="O180" i="7"/>
  <c r="M63" i="3"/>
  <c r="M59" i="3"/>
  <c r="Q58" i="11"/>
  <c r="M30" i="10" s="1"/>
  <c r="M64" i="10" s="1"/>
  <c r="Q110" i="8"/>
  <c r="Q85" i="8"/>
  <c r="Q51" i="11"/>
  <c r="Q38" i="11"/>
  <c r="R42" i="11"/>
  <c r="Q48" i="11"/>
  <c r="L71" i="10"/>
  <c r="N36" i="9"/>
  <c r="N37" i="9" s="1"/>
  <c r="R24" i="11"/>
  <c r="R22" i="11" s="1"/>
  <c r="Q49" i="11"/>
  <c r="Q26" i="11"/>
  <c r="N58" i="10"/>
  <c r="P13" i="9"/>
  <c r="N80" i="10"/>
  <c r="M117" i="3"/>
  <c r="O26" i="10"/>
  <c r="P172" i="7"/>
  <c r="B188" i="7" s="1"/>
  <c r="S34" i="8"/>
  <c r="S33" i="8"/>
  <c r="F90" i="2"/>
  <c r="S32" i="8"/>
  <c r="F91" i="2"/>
  <c r="S26" i="8"/>
  <c r="F94" i="2"/>
  <c r="S58" i="8"/>
  <c r="S57" i="8"/>
  <c r="C100" i="2"/>
  <c r="S71" i="8"/>
  <c r="S68" i="8" s="1"/>
  <c r="C99" i="2" s="1"/>
  <c r="N115" i="3"/>
  <c r="N105" i="3"/>
  <c r="N77" i="3"/>
  <c r="O87" i="10"/>
  <c r="O42" i="10"/>
  <c r="O27" i="10"/>
  <c r="O20" i="10"/>
  <c r="Q32" i="9" s="1"/>
  <c r="O15" i="10"/>
  <c r="O92" i="10" s="1"/>
  <c r="O14" i="10"/>
  <c r="O91" i="10" s="1"/>
  <c r="O13" i="10"/>
  <c r="N6" i="2"/>
  <c r="O108" i="12" l="1"/>
  <c r="S14" i="8" s="1"/>
  <c r="S36" i="8"/>
  <c r="O48" i="10" s="1"/>
  <c r="O53" i="10" s="1"/>
  <c r="O90" i="10"/>
  <c r="O93" i="10" s="1"/>
  <c r="O95" i="10" s="1"/>
  <c r="O16" i="10"/>
  <c r="F67" i="2"/>
  <c r="N64" i="3"/>
  <c r="M70" i="10"/>
  <c r="O31" i="9"/>
  <c r="R23" i="11"/>
  <c r="L24" i="2"/>
  <c r="R16" i="11"/>
  <c r="R25" i="11" s="1"/>
  <c r="S18" i="11"/>
  <c r="Q50" i="11"/>
  <c r="L10" i="2"/>
  <c r="R47" i="11"/>
  <c r="R46" i="11"/>
  <c r="R57" i="11" s="1"/>
  <c r="S81" i="8"/>
  <c r="P180" i="7"/>
  <c r="P54" i="9"/>
  <c r="P23" i="9"/>
  <c r="O181" i="7"/>
  <c r="AC15" i="17"/>
  <c r="AC14" i="17"/>
  <c r="AC9" i="17"/>
  <c r="AC8" i="17"/>
  <c r="AC7" i="17"/>
  <c r="AC6" i="17"/>
  <c r="AC5" i="17"/>
  <c r="AD4" i="17"/>
  <c r="P506" i="6" l="1"/>
  <c r="P508" i="6" s="1"/>
  <c r="P510" i="6" s="1"/>
  <c r="F88" i="2"/>
  <c r="AD15" i="17"/>
  <c r="AD14" i="17"/>
  <c r="AD9" i="17"/>
  <c r="AD8" i="17"/>
  <c r="AD7" i="17"/>
  <c r="AD6" i="17"/>
  <c r="AD5" i="17"/>
  <c r="AE4" i="17"/>
  <c r="O97" i="10"/>
  <c r="Q41" i="9"/>
  <c r="Q21" i="9"/>
  <c r="O183" i="7"/>
  <c r="Q22" i="9" s="1"/>
  <c r="N63" i="3"/>
  <c r="N59" i="3"/>
  <c r="R58" i="11"/>
  <c r="N30" i="10" s="1"/>
  <c r="N64" i="10" s="1"/>
  <c r="R110" i="8"/>
  <c r="R85" i="8"/>
  <c r="R51" i="11"/>
  <c r="R49" i="11" s="1"/>
  <c r="R38" i="11"/>
  <c r="S42" i="11"/>
  <c r="R48" i="11"/>
  <c r="M71" i="10"/>
  <c r="O36" i="9"/>
  <c r="O37" i="9" s="1"/>
  <c r="S24" i="11"/>
  <c r="S22" i="11"/>
  <c r="R26" i="11"/>
  <c r="O58" i="10"/>
  <c r="Q13" i="9"/>
  <c r="C34" i="3"/>
  <c r="F69" i="2"/>
  <c r="N117" i="3"/>
  <c r="P514" i="6" l="1"/>
  <c r="P512" i="6"/>
  <c r="P511" i="6"/>
  <c r="C125" i="3"/>
  <c r="C42" i="3"/>
  <c r="C41" i="3"/>
  <c r="C36" i="3"/>
  <c r="C37" i="3" s="1"/>
  <c r="N70" i="10"/>
  <c r="P31" i="9"/>
  <c r="S23" i="11"/>
  <c r="N24" i="2"/>
  <c r="M24" i="2"/>
  <c r="S25" i="11"/>
  <c r="S16" i="11"/>
  <c r="R50" i="11"/>
  <c r="M10" i="2"/>
  <c r="S47" i="11"/>
  <c r="S46" i="11" s="1"/>
  <c r="S57" i="11" s="1"/>
  <c r="Q54" i="9"/>
  <c r="Q23" i="9"/>
  <c r="AE15" i="17"/>
  <c r="AE14" i="17"/>
  <c r="AE9" i="17"/>
  <c r="AE8" i="17"/>
  <c r="AE7" i="17"/>
  <c r="AE6" i="17"/>
  <c r="AE5" i="17"/>
  <c r="AF4" i="17"/>
  <c r="P513" i="6" l="1"/>
  <c r="P515" i="6" s="1"/>
  <c r="P516" i="6" s="1"/>
  <c r="S73" i="8" s="1"/>
  <c r="AF15" i="17"/>
  <c r="AF14" i="17"/>
  <c r="AF9" i="17"/>
  <c r="AF8" i="17"/>
  <c r="AF7" i="17"/>
  <c r="AF6" i="17"/>
  <c r="AF5" i="17"/>
  <c r="AG4" i="17"/>
  <c r="S58" i="11"/>
  <c r="O30" i="10" s="1"/>
  <c r="O64" i="10" s="1"/>
  <c r="S110" i="8"/>
  <c r="S85" i="8"/>
  <c r="S51" i="11"/>
  <c r="S38" i="11"/>
  <c r="B14" i="21"/>
  <c r="C14" i="21" s="1"/>
  <c r="S48" i="11"/>
  <c r="N71" i="10"/>
  <c r="P36" i="9"/>
  <c r="P37" i="9" s="1"/>
  <c r="S49" i="11"/>
  <c r="S26" i="11"/>
  <c r="C44" i="3"/>
  <c r="O70" i="10" l="1"/>
  <c r="Q31" i="9"/>
  <c r="S50" i="11"/>
  <c r="N10" i="2"/>
  <c r="AG15" i="17"/>
  <c r="AG14" i="17"/>
  <c r="AG9" i="17"/>
  <c r="AG8" i="17"/>
  <c r="AG7" i="17"/>
  <c r="AG6" i="17"/>
  <c r="AG5" i="17"/>
  <c r="AH4" i="17"/>
  <c r="AH15" i="17" l="1"/>
  <c r="AH14" i="17"/>
  <c r="AH9" i="17"/>
  <c r="AH8" i="17"/>
  <c r="AH7" i="17"/>
  <c r="AH6" i="17"/>
  <c r="AH5" i="17"/>
  <c r="AI4" i="17"/>
  <c r="O71" i="10"/>
  <c r="Q36" i="9"/>
  <c r="Q37" i="9" s="1"/>
  <c r="AI15" i="17" l="1"/>
  <c r="AI14" i="17"/>
  <c r="AI9" i="17"/>
  <c r="AI8" i="17"/>
  <c r="AI7" i="17"/>
  <c r="AI6" i="17"/>
  <c r="AI5" i="17"/>
  <c r="AJ4" i="17"/>
  <c r="AJ15" i="17" l="1"/>
  <c r="AJ14" i="17"/>
  <c r="AJ9" i="17"/>
  <c r="AJ8" i="17"/>
  <c r="AJ7" i="17"/>
  <c r="AJ6" i="17"/>
  <c r="AJ5" i="17"/>
  <c r="AK4" i="17"/>
  <c r="AK15" i="17" l="1"/>
  <c r="AK14" i="17"/>
  <c r="AK9" i="17"/>
  <c r="AK8" i="17"/>
  <c r="AK7" i="17"/>
  <c r="AK6" i="17"/>
  <c r="AK5" i="17"/>
  <c r="AL4" i="17"/>
  <c r="AL15" i="17" l="1"/>
  <c r="AL14" i="17"/>
  <c r="AL9" i="17"/>
  <c r="AL8" i="17"/>
  <c r="AL7" i="17"/>
  <c r="AL6" i="17"/>
  <c r="AL5" i="17"/>
  <c r="AM4" i="17"/>
  <c r="AM15" i="17" l="1"/>
  <c r="AM14" i="17"/>
  <c r="AM9" i="17"/>
  <c r="AM8" i="17"/>
  <c r="AM7" i="17"/>
  <c r="AM6" i="17"/>
  <c r="AM5" i="17"/>
  <c r="AN4" i="17"/>
  <c r="AN15" i="17" l="1"/>
  <c r="AN14" i="17"/>
  <c r="AN9" i="17"/>
  <c r="AN8" i="17"/>
  <c r="AN7" i="17"/>
  <c r="AN6" i="17"/>
  <c r="AN5" i="17"/>
  <c r="AO4" i="17"/>
  <c r="AO15" i="17" l="1"/>
  <c r="AO14" i="17"/>
  <c r="AO9" i="17"/>
  <c r="AO8" i="17"/>
  <c r="AO7" i="17"/>
  <c r="AO6" i="17"/>
  <c r="AO5" i="17"/>
  <c r="AP4" i="17"/>
  <c r="AP15" i="17" l="1"/>
  <c r="AP14" i="17"/>
  <c r="AP9" i="17"/>
  <c r="AP8" i="17"/>
  <c r="AP7" i="17"/>
  <c r="AP6" i="17"/>
  <c r="AP5" i="17"/>
  <c r="AQ4" i="17"/>
  <c r="AQ15" i="17" l="1"/>
  <c r="AQ14" i="17"/>
  <c r="AQ9" i="17"/>
  <c r="AQ8" i="17"/>
  <c r="AQ7" i="17"/>
  <c r="AQ6" i="17"/>
  <c r="AQ5" i="17"/>
  <c r="AR4" i="17"/>
  <c r="AR15" i="17" l="1"/>
  <c r="AR14" i="17"/>
  <c r="AR9" i="17"/>
  <c r="AR8" i="17"/>
  <c r="AR7" i="17"/>
  <c r="AR6" i="17"/>
  <c r="AR5" i="17"/>
  <c r="AS4" i="17"/>
  <c r="AS15" i="17" l="1"/>
  <c r="AS14" i="17"/>
  <c r="AS9" i="17"/>
  <c r="AS8" i="17"/>
  <c r="AS7" i="17"/>
  <c r="AS6" i="17"/>
  <c r="AS5" i="17"/>
  <c r="AT4" i="17"/>
  <c r="AT15" i="17" l="1"/>
  <c r="AT14" i="17"/>
  <c r="AT9" i="17"/>
  <c r="AT8" i="17"/>
  <c r="AT7" i="17"/>
  <c r="AT6" i="17"/>
  <c r="AT5" i="17"/>
  <c r="AU4" i="17"/>
  <c r="AU15" i="17" l="1"/>
  <c r="AU14" i="17"/>
  <c r="AU9" i="17"/>
  <c r="AU8" i="17"/>
  <c r="AU7" i="17"/>
  <c r="AU6" i="17"/>
  <c r="AU5" i="17"/>
  <c r="AV4" i="17"/>
  <c r="AV15" i="17" l="1"/>
  <c r="AV14" i="17"/>
  <c r="AV9" i="17"/>
  <c r="AV8" i="17"/>
  <c r="AV7" i="17"/>
  <c r="AV6" i="17"/>
  <c r="AV5" i="17"/>
  <c r="AW4" i="17"/>
  <c r="AW15" i="17" l="1"/>
  <c r="AW14" i="17"/>
  <c r="AW9" i="17"/>
  <c r="AW8" i="17"/>
  <c r="AW7" i="17"/>
  <c r="AW6" i="17"/>
  <c r="AW5" i="17"/>
  <c r="AX4" i="17"/>
  <c r="AX15" i="17" l="1"/>
  <c r="AX14" i="17"/>
  <c r="AX9" i="17"/>
  <c r="AX8" i="17"/>
  <c r="AX7" i="17"/>
  <c r="AX6" i="17"/>
  <c r="AX5" i="17"/>
  <c r="AY4" i="17"/>
  <c r="AY15" i="17" l="1"/>
  <c r="AY14" i="17"/>
  <c r="AY9" i="17"/>
  <c r="AY8" i="17"/>
  <c r="AY7" i="17"/>
  <c r="AY6" i="17"/>
  <c r="AY5" i="17"/>
  <c r="AZ4" i="17"/>
  <c r="AZ15" i="17" l="1"/>
  <c r="AZ14" i="17"/>
  <c r="AZ9" i="17"/>
  <c r="AZ8" i="17"/>
  <c r="AZ7" i="17"/>
  <c r="AZ6" i="17"/>
  <c r="AZ5" i="17"/>
  <c r="BA4" i="17"/>
  <c r="BA15" i="17" l="1"/>
  <c r="BA14" i="17"/>
  <c r="BA9" i="17"/>
  <c r="BA8" i="17"/>
  <c r="BA7" i="17"/>
  <c r="BA6" i="17"/>
  <c r="BA5" i="17"/>
  <c r="BB4" i="17"/>
  <c r="BB15" i="17" l="1"/>
  <c r="BB14" i="17"/>
  <c r="BB9" i="17"/>
  <c r="BB8" i="17"/>
  <c r="BB7" i="17"/>
  <c r="BB6" i="17"/>
  <c r="BB5" i="17"/>
  <c r="BC4" i="17"/>
  <c r="BC15" i="17" l="1"/>
  <c r="BC14" i="17"/>
  <c r="BC9" i="17"/>
  <c r="BC8" i="17"/>
  <c r="BC7" i="17"/>
  <c r="BC6" i="17"/>
  <c r="BC5" i="17"/>
  <c r="BD4" i="17"/>
  <c r="BD15" i="17" l="1"/>
  <c r="BD14" i="17"/>
  <c r="BD9" i="17"/>
  <c r="BD8" i="17"/>
  <c r="BD7" i="17"/>
  <c r="BD6" i="17"/>
  <c r="BD5" i="17"/>
  <c r="BE4" i="17"/>
  <c r="BE15" i="17" l="1"/>
  <c r="BE14" i="17"/>
  <c r="BE9" i="17"/>
  <c r="BE8" i="17"/>
  <c r="BE7" i="17"/>
  <c r="BE6" i="17"/>
  <c r="BE5" i="17"/>
  <c r="BF4" i="17"/>
  <c r="BF15" i="17" l="1"/>
  <c r="BF14" i="17"/>
  <c r="BF9" i="17"/>
  <c r="BF8" i="17"/>
  <c r="BF7" i="17"/>
  <c r="BF6" i="17"/>
  <c r="BF5" i="17"/>
  <c r="BG4" i="17"/>
  <c r="BG15" i="17" l="1"/>
  <c r="BG14" i="17"/>
  <c r="BG9" i="17"/>
  <c r="BG8" i="17"/>
  <c r="BG7" i="17"/>
  <c r="BG6" i="17"/>
  <c r="BG5" i="17"/>
  <c r="BH4" i="17"/>
  <c r="BH15" i="17" l="1"/>
  <c r="BH14" i="17"/>
  <c r="BH9" i="17"/>
  <c r="BH8" i="17"/>
  <c r="BH7" i="17"/>
  <c r="BH6" i="17"/>
  <c r="BH5" i="17"/>
  <c r="BI4" i="17"/>
  <c r="BI15" i="17" l="1"/>
  <c r="BI14" i="17"/>
  <c r="BI9" i="17"/>
  <c r="BI8" i="17"/>
  <c r="BI7" i="17"/>
  <c r="BI6" i="17"/>
  <c r="BI5" i="17"/>
  <c r="BJ4" i="17"/>
  <c r="BJ15" i="17" l="1"/>
  <c r="BJ14" i="17"/>
  <c r="BJ9" i="17"/>
  <c r="BJ8" i="17"/>
  <c r="BJ7" i="17"/>
  <c r="BJ6" i="17"/>
  <c r="BJ5" i="17"/>
  <c r="BK4" i="17"/>
  <c r="BK15" i="17" l="1"/>
  <c r="BK14" i="17"/>
  <c r="BK9" i="17"/>
  <c r="BK8" i="17"/>
  <c r="BK7" i="17"/>
  <c r="BK6" i="17"/>
  <c r="BK5" i="17"/>
  <c r="BL4" i="17"/>
  <c r="BL15" i="17" l="1"/>
  <c r="BL14" i="17"/>
  <c r="BL9" i="17"/>
  <c r="BL8" i="17"/>
  <c r="BL7" i="17"/>
  <c r="BL6" i="17"/>
  <c r="BL5" i="17"/>
  <c r="BM4" i="17"/>
  <c r="BM15" i="17" l="1"/>
  <c r="BM14" i="17"/>
  <c r="BM9" i="17"/>
  <c r="BM8" i="17"/>
  <c r="BM7" i="17"/>
  <c r="BM6" i="17"/>
  <c r="BM5" i="17"/>
  <c r="BN4" i="17"/>
  <c r="BN15" i="17" l="1"/>
  <c r="BN14" i="17"/>
  <c r="BN9" i="17"/>
  <c r="BN8" i="17"/>
  <c r="BN7" i="17"/>
  <c r="BN6" i="17"/>
  <c r="BN5" i="17"/>
  <c r="BO4" i="17"/>
  <c r="BO15" i="17" l="1"/>
  <c r="BO14" i="17"/>
  <c r="BO9" i="17"/>
  <c r="BO8" i="17"/>
  <c r="BO7" i="17"/>
  <c r="BO6" i="17"/>
  <c r="BO5" i="17"/>
  <c r="BP4" i="17"/>
  <c r="BP15" i="17" l="1"/>
  <c r="BP14" i="17"/>
  <c r="BP9" i="17"/>
  <c r="BP8" i="17"/>
  <c r="BP7" i="17"/>
  <c r="BP6" i="17"/>
  <c r="BP5" i="17"/>
  <c r="BQ4" i="17"/>
  <c r="BQ15" i="17" l="1"/>
  <c r="BQ14" i="17"/>
  <c r="BQ9" i="17"/>
  <c r="BQ8" i="17"/>
  <c r="BQ7" i="17"/>
  <c r="BQ6" i="17"/>
  <c r="BQ5" i="17"/>
  <c r="BR4" i="17"/>
  <c r="BR15" i="17" l="1"/>
  <c r="BR14" i="17"/>
  <c r="BR9" i="17"/>
  <c r="BR8" i="17"/>
  <c r="BR7" i="17"/>
  <c r="BR6" i="17"/>
  <c r="BR5" i="17"/>
  <c r="BS4" i="17"/>
  <c r="BS15" i="17" l="1"/>
  <c r="BS14" i="17"/>
  <c r="BS9" i="17"/>
  <c r="BS8" i="17"/>
  <c r="BS7" i="17"/>
  <c r="BS6" i="17"/>
  <c r="BS5" i="17"/>
  <c r="BT4" i="17"/>
  <c r="BT15" i="17" l="1"/>
  <c r="BT14" i="17"/>
  <c r="BT9" i="17"/>
  <c r="BT8" i="17"/>
  <c r="BT7" i="17"/>
  <c r="BT6" i="17"/>
  <c r="BT5" i="17"/>
  <c r="BU4" i="17"/>
  <c r="BU15" i="17" l="1"/>
  <c r="BU14" i="17"/>
  <c r="BU9" i="17"/>
  <c r="BU8" i="17"/>
  <c r="BU7" i="17"/>
  <c r="BU6" i="17"/>
  <c r="BU5" i="17"/>
  <c r="BV4" i="17"/>
  <c r="BV15" i="17" l="1"/>
  <c r="BV14" i="17"/>
  <c r="BV9" i="17"/>
  <c r="BV8" i="17"/>
  <c r="BV7" i="17"/>
  <c r="BV6" i="17"/>
  <c r="BV5" i="17"/>
  <c r="BW4" i="17"/>
  <c r="BW15" i="17" l="1"/>
  <c r="BW14" i="17"/>
  <c r="BW9" i="17"/>
  <c r="BW8" i="17"/>
  <c r="BW7" i="17"/>
  <c r="BW6" i="17"/>
  <c r="BW5" i="17"/>
  <c r="BX4" i="17"/>
  <c r="BX15" i="17" l="1"/>
  <c r="BX14" i="17"/>
  <c r="BX9" i="17"/>
  <c r="BX8" i="17"/>
  <c r="BX7" i="17"/>
  <c r="BX6" i="17"/>
  <c r="BX5" i="17"/>
  <c r="BY4" i="17"/>
  <c r="BY15" i="17" l="1"/>
  <c r="BY14" i="17"/>
  <c r="BY9" i="17"/>
  <c r="BY8" i="17"/>
  <c r="BY7" i="17"/>
  <c r="BY6" i="17"/>
  <c r="BY5" i="17"/>
  <c r="BZ4" i="17"/>
  <c r="BZ15" i="17" l="1"/>
  <c r="BZ14" i="17"/>
  <c r="BZ9" i="17"/>
  <c r="BZ8" i="17"/>
  <c r="BZ7" i="17"/>
  <c r="BZ6" i="17"/>
  <c r="BZ5" i="17"/>
  <c r="CA4" i="17"/>
  <c r="CA15" i="17" l="1"/>
  <c r="CA14" i="17"/>
  <c r="CA9" i="17"/>
  <c r="CA8" i="17"/>
  <c r="CA7" i="17"/>
  <c r="CA6" i="17"/>
  <c r="CA5" i="17"/>
  <c r="CB4" i="17"/>
  <c r="CB15" i="17" l="1"/>
  <c r="CB14" i="17"/>
  <c r="CB9" i="17"/>
  <c r="CB8" i="17"/>
  <c r="CB7" i="17"/>
  <c r="CB6" i="17"/>
  <c r="CB5" i="17"/>
  <c r="CC4" i="17"/>
  <c r="CC15" i="17" l="1"/>
  <c r="CC14" i="17"/>
  <c r="CC9" i="17"/>
  <c r="CC8" i="17"/>
  <c r="CC7" i="17"/>
  <c r="CC6" i="17"/>
  <c r="CC5" i="17"/>
  <c r="CD4" i="17"/>
  <c r="CD15" i="17" l="1"/>
  <c r="CD14" i="17"/>
  <c r="CD9" i="17"/>
  <c r="CD8" i="17"/>
  <c r="CD7" i="17"/>
  <c r="CD6" i="17"/>
  <c r="CD5" i="17"/>
  <c r="CE4" i="17"/>
  <c r="CE15" i="17" l="1"/>
  <c r="CE14" i="17"/>
  <c r="CE9" i="17"/>
  <c r="CE8" i="17"/>
  <c r="CE7" i="17"/>
  <c r="CE6" i="17"/>
  <c r="CE5" i="17"/>
  <c r="CF4" i="17"/>
  <c r="CF15" i="17" l="1"/>
  <c r="CF14" i="17"/>
  <c r="CF9" i="17"/>
  <c r="CF8" i="17"/>
  <c r="CF7" i="17"/>
  <c r="CF6" i="17"/>
  <c r="CF5" i="17"/>
  <c r="CG4" i="17"/>
  <c r="CG15" i="17" l="1"/>
  <c r="CG14" i="17"/>
  <c r="CG9" i="17"/>
  <c r="CG8" i="17"/>
  <c r="CG7" i="17"/>
  <c r="CG6" i="17"/>
  <c r="CG5" i="17"/>
  <c r="CH4" i="17"/>
  <c r="CH15" i="17" l="1"/>
  <c r="CH14" i="17"/>
  <c r="CH9" i="17"/>
  <c r="CH8" i="17"/>
  <c r="CH7" i="17"/>
  <c r="CH6" i="17"/>
  <c r="CH5" i="17"/>
  <c r="CI4" i="17"/>
  <c r="CI15" i="17" l="1"/>
  <c r="CI14" i="17"/>
  <c r="CI9" i="17"/>
  <c r="CI8" i="17"/>
  <c r="CI7" i="17"/>
  <c r="CI6" i="17"/>
  <c r="CI5" i="17"/>
  <c r="CJ4" i="17"/>
  <c r="CJ15" i="17" l="1"/>
  <c r="CJ14" i="17"/>
  <c r="CJ9" i="17"/>
  <c r="CJ8" i="17"/>
  <c r="CJ7" i="17"/>
  <c r="CJ6" i="17"/>
  <c r="CJ5" i="17"/>
  <c r="CK4" i="17"/>
  <c r="CK15" i="17" l="1"/>
  <c r="CK14" i="17"/>
  <c r="CK9" i="17"/>
  <c r="CK8" i="17"/>
  <c r="CK7" i="17"/>
  <c r="CK6" i="17"/>
  <c r="CK5" i="17"/>
  <c r="CL4" i="17"/>
  <c r="CL15" i="17" l="1"/>
  <c r="CL14" i="17"/>
  <c r="CL9" i="17"/>
  <c r="CL8" i="17"/>
  <c r="CL7" i="17"/>
  <c r="CL6" i="17"/>
  <c r="CL5" i="17"/>
  <c r="CM4" i="17"/>
  <c r="CM15" i="17" l="1"/>
  <c r="CM14" i="17"/>
  <c r="CM9" i="17"/>
  <c r="CM8" i="17"/>
  <c r="CM7" i="17"/>
  <c r="CM6" i="17"/>
  <c r="CM5" i="17"/>
  <c r="CN4" i="17"/>
  <c r="CN15" i="17" l="1"/>
  <c r="CN14" i="17"/>
  <c r="CN9" i="17"/>
  <c r="CN8" i="17"/>
  <c r="CN7" i="17"/>
  <c r="CN6" i="17"/>
  <c r="CN5" i="17"/>
  <c r="CO4" i="17"/>
  <c r="CO15" i="17" l="1"/>
  <c r="CO14" i="17"/>
  <c r="CO9" i="17"/>
  <c r="CO8" i="17"/>
  <c r="CO7" i="17"/>
  <c r="CO6" i="17"/>
  <c r="CO5" i="17"/>
  <c r="CP4" i="17"/>
  <c r="CP15" i="17" l="1"/>
  <c r="CP14" i="17"/>
  <c r="CP9" i="17"/>
  <c r="CP8" i="17"/>
  <c r="CP7" i="17"/>
  <c r="CP6" i="17"/>
  <c r="CP5" i="17"/>
  <c r="CQ4" i="17"/>
  <c r="CQ15" i="17" l="1"/>
  <c r="CQ14" i="17"/>
  <c r="CQ9" i="17"/>
  <c r="CQ8" i="17"/>
  <c r="CQ7" i="17"/>
  <c r="CQ6" i="17"/>
  <c r="CQ5" i="17"/>
  <c r="CR4" i="17"/>
  <c r="CR15" i="17" l="1"/>
  <c r="CR14" i="17"/>
  <c r="CR9" i="17"/>
  <c r="CR8" i="17"/>
  <c r="CR7" i="17"/>
  <c r="CR6" i="17"/>
  <c r="CR5" i="17"/>
  <c r="CS4" i="17"/>
  <c r="CS15" i="17" l="1"/>
  <c r="CS14" i="17"/>
  <c r="CS9" i="17"/>
  <c r="CS8" i="17"/>
  <c r="CS7" i="17"/>
  <c r="CS6" i="17"/>
  <c r="CS5" i="17"/>
  <c r="CT4" i="17"/>
  <c r="CT15" i="17" l="1"/>
  <c r="CT14" i="17"/>
  <c r="CT9" i="17"/>
  <c r="CT8" i="17"/>
  <c r="CT7" i="17"/>
  <c r="CT6" i="17"/>
  <c r="CT5" i="17"/>
  <c r="CU4" i="17"/>
  <c r="CU15" i="17" l="1"/>
  <c r="CU14" i="17"/>
  <c r="CU9" i="17"/>
  <c r="CU8" i="17"/>
  <c r="CU7" i="17"/>
  <c r="CU6" i="17"/>
  <c r="CU5" i="17"/>
  <c r="CV4" i="17"/>
  <c r="CV15" i="17" l="1"/>
  <c r="CV14" i="17"/>
  <c r="CV9" i="17"/>
  <c r="CV8" i="17"/>
  <c r="CV7" i="17"/>
  <c r="CV6" i="17"/>
  <c r="CV5" i="17"/>
  <c r="CW4" i="17"/>
  <c r="CW15" i="17" l="1"/>
  <c r="CW14" i="17"/>
  <c r="CW9" i="17"/>
  <c r="CW8" i="17"/>
  <c r="CW7" i="17"/>
  <c r="CW6" i="17"/>
  <c r="CW5" i="17"/>
  <c r="CX4" i="17"/>
  <c r="CX15" i="17" l="1"/>
  <c r="CX14" i="17"/>
  <c r="CX9" i="17"/>
  <c r="CX8" i="17"/>
  <c r="CX7" i="17"/>
  <c r="CX6" i="17"/>
  <c r="CX5" i="17"/>
  <c r="CY4" i="17"/>
  <c r="CY15" i="17" l="1"/>
  <c r="CY14" i="17"/>
  <c r="CY9" i="17"/>
  <c r="CY8" i="17"/>
  <c r="CY7" i="17"/>
  <c r="CY6" i="17"/>
  <c r="CY5" i="17"/>
  <c r="CZ4" i="17"/>
  <c r="CZ15" i="17" l="1"/>
  <c r="CZ14" i="17"/>
  <c r="CZ9" i="17"/>
  <c r="CZ8" i="17"/>
  <c r="CZ7" i="17"/>
  <c r="CZ6" i="17"/>
  <c r="CZ5" i="17"/>
  <c r="DA4" i="17"/>
  <c r="DA15" i="17" l="1"/>
  <c r="DA14" i="17"/>
  <c r="DA9" i="17"/>
  <c r="DA8" i="17"/>
  <c r="DA7" i="17"/>
  <c r="DA6" i="17"/>
  <c r="DA5" i="17"/>
  <c r="DB4" i="17"/>
  <c r="DB15" i="17" l="1"/>
  <c r="DB14" i="17"/>
  <c r="DB9" i="17"/>
  <c r="DB8" i="17"/>
  <c r="DB7" i="17"/>
  <c r="DB6" i="17"/>
  <c r="DB5" i="17"/>
  <c r="DC4" i="17"/>
  <c r="DC15" i="17" l="1"/>
  <c r="DC14" i="17"/>
  <c r="DC9" i="17"/>
  <c r="DC8" i="17"/>
  <c r="DC7" i="17"/>
  <c r="DC6" i="17"/>
  <c r="DC5" i="17"/>
  <c r="DD4" i="17"/>
  <c r="DD15" i="17" l="1"/>
  <c r="DD14" i="17"/>
  <c r="DD9" i="17"/>
  <c r="DD8" i="17"/>
  <c r="DD7" i="17"/>
  <c r="DD6" i="17"/>
  <c r="DD5" i="17"/>
  <c r="DE4" i="17"/>
  <c r="DE15" i="17" l="1"/>
  <c r="DE14" i="17"/>
  <c r="DE9" i="17"/>
  <c r="DE8" i="17"/>
  <c r="DE7" i="17"/>
  <c r="DE6" i="17"/>
  <c r="DE5" i="17"/>
  <c r="DF4" i="17"/>
  <c r="DF15" i="17" l="1"/>
  <c r="DF14" i="17"/>
  <c r="DF9" i="17"/>
  <c r="DF8" i="17"/>
  <c r="DF7" i="17"/>
  <c r="DF6" i="17"/>
  <c r="DF5" i="17"/>
  <c r="DG4" i="17"/>
  <c r="DG15" i="17" l="1"/>
  <c r="DG14" i="17"/>
  <c r="DG9" i="17"/>
  <c r="DG8" i="17"/>
  <c r="DG7" i="17"/>
  <c r="DG6" i="17"/>
  <c r="DG5" i="17"/>
  <c r="DH4" i="17"/>
  <c r="DH15" i="17" l="1"/>
  <c r="DH14" i="17"/>
  <c r="DH9" i="17"/>
  <c r="DH8" i="17"/>
  <c r="DH7" i="17"/>
  <c r="DH6" i="17"/>
  <c r="DH5" i="17"/>
  <c r="DI4" i="17"/>
  <c r="DI15" i="17" l="1"/>
  <c r="DI14" i="17"/>
  <c r="DI9" i="17"/>
  <c r="DI8" i="17"/>
  <c r="DI7" i="17"/>
  <c r="DI6" i="17"/>
  <c r="DI5" i="17"/>
  <c r="DJ4" i="17"/>
  <c r="DJ15" i="17" l="1"/>
  <c r="DJ14" i="17"/>
  <c r="DJ9" i="17"/>
  <c r="DJ8" i="17"/>
  <c r="DJ7" i="17"/>
  <c r="DJ6" i="17"/>
  <c r="DJ5" i="17"/>
  <c r="DK4" i="17"/>
  <c r="DK15" i="17" l="1"/>
  <c r="DK14" i="17"/>
  <c r="DK9" i="17"/>
  <c r="DK8" i="17"/>
  <c r="DK7" i="17"/>
  <c r="DK6" i="17"/>
  <c r="DK5" i="17"/>
  <c r="DL4" i="17"/>
  <c r="DL15" i="17" l="1"/>
  <c r="DL14" i="17"/>
  <c r="DL9" i="17"/>
  <c r="DL8" i="17"/>
  <c r="DL7" i="17"/>
  <c r="DL6" i="17"/>
  <c r="DL5" i="17"/>
  <c r="DM4" i="17"/>
  <c r="DM15" i="17" l="1"/>
  <c r="DM14" i="17"/>
  <c r="DM9" i="17"/>
  <c r="DM8" i="17"/>
  <c r="DM7" i="17"/>
  <c r="DM6" i="17"/>
  <c r="DM5" i="17"/>
  <c r="DN4" i="17"/>
  <c r="DN15" i="17" l="1"/>
  <c r="DN14" i="17"/>
  <c r="DN9" i="17"/>
  <c r="DN8" i="17"/>
  <c r="DN7" i="17"/>
  <c r="DN6" i="17"/>
  <c r="DN5" i="17"/>
  <c r="DO4" i="17"/>
  <c r="DO15" i="17" l="1"/>
  <c r="DO14" i="17"/>
  <c r="DO9" i="17"/>
  <c r="DO8" i="17"/>
  <c r="DO7" i="17"/>
  <c r="DO6" i="17"/>
  <c r="DO5" i="17"/>
  <c r="DP4" i="17"/>
  <c r="DP15" i="17" l="1"/>
  <c r="DP14" i="17"/>
  <c r="DP9" i="17"/>
  <c r="DP8" i="17"/>
  <c r="DP7" i="17"/>
  <c r="DP6" i="17"/>
  <c r="DP5" i="17"/>
  <c r="DQ4" i="17"/>
  <c r="DQ15" i="17" l="1"/>
  <c r="DQ14" i="17"/>
  <c r="DQ9" i="17"/>
  <c r="DQ8" i="17"/>
  <c r="DQ7" i="17"/>
  <c r="DQ6" i="17"/>
  <c r="DQ5" i="17"/>
  <c r="DR4" i="17"/>
  <c r="DR15" i="17" l="1"/>
  <c r="DR14" i="17"/>
  <c r="DR9" i="17"/>
  <c r="DR8" i="17"/>
  <c r="DR7" i="17"/>
  <c r="DR6" i="17"/>
  <c r="DR5" i="17"/>
  <c r="DS4" i="17"/>
  <c r="DS15" i="17" l="1"/>
  <c r="DS14" i="17"/>
  <c r="DS9" i="17"/>
  <c r="DS8" i="17"/>
  <c r="DS7" i="17"/>
  <c r="DS6" i="17"/>
  <c r="DS5" i="17"/>
  <c r="DT4" i="17"/>
  <c r="DT15" i="17" l="1"/>
  <c r="DT14" i="17"/>
  <c r="DT9" i="17"/>
  <c r="DT8" i="17"/>
  <c r="DT7" i="17"/>
  <c r="DT6" i="17"/>
  <c r="DT5" i="17"/>
  <c r="DU4" i="17"/>
  <c r="DU15" i="17" l="1"/>
  <c r="DU14" i="17"/>
  <c r="DU9" i="17"/>
  <c r="DU8" i="17"/>
  <c r="DU7" i="17"/>
  <c r="DU6" i="17"/>
  <c r="DU5" i="17"/>
  <c r="DV4" i="17"/>
  <c r="DV15" i="17" l="1"/>
  <c r="DV14" i="17"/>
  <c r="DV9" i="17"/>
  <c r="DV8" i="17"/>
  <c r="DV7" i="17"/>
  <c r="DV6" i="17"/>
  <c r="DV5" i="17"/>
  <c r="DW4" i="17"/>
  <c r="DW15" i="17" l="1"/>
  <c r="DW14" i="17"/>
  <c r="DW9" i="17"/>
  <c r="DW8" i="17"/>
  <c r="DW7" i="17"/>
  <c r="DW6" i="17"/>
  <c r="DW5" i="17"/>
  <c r="DX4" i="17"/>
  <c r="DX15" i="17" l="1"/>
  <c r="DX14" i="17"/>
  <c r="DX9" i="17"/>
  <c r="DX8" i="17"/>
  <c r="DX7" i="17"/>
  <c r="DX6" i="17"/>
  <c r="DX5" i="17"/>
  <c r="DY4" i="17"/>
  <c r="DY15" i="17" l="1"/>
  <c r="DY14" i="17"/>
  <c r="DY9" i="17"/>
  <c r="DY8" i="17"/>
  <c r="DY7" i="17"/>
  <c r="DY6" i="17"/>
  <c r="DY5" i="17"/>
  <c r="DZ4" i="17"/>
  <c r="DZ15" i="17" l="1"/>
  <c r="DZ14" i="17"/>
  <c r="DZ9" i="17"/>
  <c r="DZ8" i="17"/>
  <c r="DZ7" i="17"/>
  <c r="DZ6" i="17"/>
  <c r="DZ5" i="17"/>
  <c r="EA4" i="17"/>
  <c r="EA15" i="17" l="1"/>
  <c r="EA14" i="17"/>
  <c r="EA9" i="17"/>
  <c r="EA8" i="17"/>
  <c r="EA7" i="17"/>
  <c r="EA6" i="17"/>
  <c r="EA5" i="17"/>
  <c r="EB4" i="17"/>
  <c r="EB15" i="17" l="1"/>
  <c r="EB14" i="17"/>
  <c r="EB9" i="17"/>
  <c r="EB8" i="17"/>
  <c r="EB7" i="17"/>
  <c r="EB6" i="17"/>
  <c r="EB5" i="17"/>
  <c r="EC4" i="17"/>
  <c r="EC15" i="17" l="1"/>
  <c r="EC14" i="17"/>
  <c r="EC9" i="17"/>
  <c r="EC8" i="17"/>
  <c r="EC7" i="17"/>
  <c r="EC6" i="17"/>
  <c r="EC5" i="17"/>
  <c r="ED4" i="17"/>
  <c r="ED15" i="17" l="1"/>
  <c r="ED14" i="17"/>
  <c r="ED9" i="17"/>
  <c r="ED8" i="17"/>
  <c r="ED7" i="17"/>
  <c r="ED6" i="17"/>
  <c r="ED5" i="17"/>
  <c r="EE4" i="17"/>
  <c r="EE15" i="17" l="1"/>
  <c r="EE14" i="17"/>
  <c r="EE9" i="17"/>
  <c r="EE8" i="17"/>
  <c r="EE7" i="17"/>
  <c r="EE6" i="17"/>
  <c r="EE5" i="17"/>
  <c r="EF4" i="17"/>
  <c r="EF15" i="17" l="1"/>
  <c r="EF14" i="17"/>
  <c r="EF9" i="17"/>
  <c r="EF8" i="17"/>
  <c r="EF7" i="17"/>
  <c r="EF6" i="17"/>
  <c r="EF5" i="17"/>
  <c r="EG4" i="17"/>
  <c r="EG15" i="17" l="1"/>
  <c r="EG14" i="17"/>
  <c r="EG9" i="17"/>
  <c r="EG8" i="17"/>
  <c r="EG7" i="17"/>
  <c r="EG6" i="17"/>
  <c r="EG5" i="17"/>
  <c r="EH4" i="17"/>
  <c r="EH15" i="17" l="1"/>
  <c r="EH14" i="17"/>
  <c r="EH9" i="17"/>
  <c r="EH8" i="17"/>
  <c r="EH7" i="17"/>
  <c r="EH6" i="17"/>
  <c r="EH5" i="17"/>
  <c r="EI4" i="17"/>
  <c r="EI15" i="17" l="1"/>
  <c r="EI14" i="17"/>
  <c r="EI9" i="17"/>
  <c r="EI8" i="17"/>
  <c r="EI7" i="17"/>
  <c r="EI6" i="17"/>
  <c r="EI5" i="17"/>
  <c r="EJ4" i="17"/>
  <c r="EJ15" i="17" l="1"/>
  <c r="EJ14" i="17"/>
  <c r="EJ9" i="17"/>
  <c r="EJ8" i="17"/>
  <c r="EJ7" i="17"/>
  <c r="EJ6" i="17"/>
  <c r="EJ5" i="17"/>
  <c r="EK4" i="17"/>
  <c r="EK15" i="17" l="1"/>
  <c r="EK14" i="17"/>
  <c r="EK9" i="17"/>
  <c r="EK8" i="17"/>
  <c r="EK7" i="17"/>
  <c r="EK6" i="17"/>
  <c r="EK5" i="17"/>
  <c r="EL4" i="17"/>
  <c r="EL15" i="17" l="1"/>
  <c r="EL14" i="17"/>
  <c r="EL9" i="17"/>
  <c r="EL8" i="17"/>
  <c r="EL7" i="17"/>
  <c r="EL6" i="17"/>
  <c r="EL5" i="17"/>
  <c r="EM4" i="17"/>
  <c r="EM15" i="17" l="1"/>
  <c r="EM14" i="17"/>
  <c r="EM9" i="17"/>
  <c r="EM8" i="17"/>
  <c r="EM7" i="17"/>
  <c r="EM6" i="17"/>
  <c r="EM5" i="17"/>
  <c r="EN4" i="17"/>
  <c r="EN15" i="17" l="1"/>
  <c r="EN14" i="17"/>
  <c r="EN9" i="17"/>
  <c r="EN8" i="17"/>
  <c r="EN7" i="17"/>
  <c r="M61" i="13" s="1"/>
  <c r="EN6" i="17"/>
  <c r="EN5" i="17"/>
  <c r="Q61" i="13"/>
  <c r="P61" i="13"/>
  <c r="O61" i="13"/>
  <c r="N61" i="13"/>
  <c r="K61" i="13"/>
  <c r="J61" i="13"/>
  <c r="I61" i="13"/>
  <c r="H61" i="13"/>
  <c r="G61" i="13"/>
  <c r="F61" i="13"/>
  <c r="L61" i="13" l="1"/>
  <c r="K60" i="8"/>
  <c r="L60" i="8"/>
  <c r="M60" i="8"/>
  <c r="N60" i="8"/>
  <c r="O60" i="8"/>
  <c r="P60" i="8"/>
  <c r="Q60" i="8"/>
  <c r="R60" i="8"/>
  <c r="S60" i="8"/>
  <c r="S61" i="8" l="1"/>
  <c r="R61" i="8"/>
  <c r="N29" i="10" s="1"/>
  <c r="Q61" i="8"/>
  <c r="M29" i="10" s="1"/>
  <c r="P61" i="8"/>
  <c r="L29" i="10" s="1"/>
  <c r="O61" i="8"/>
  <c r="K29" i="10" s="1"/>
  <c r="N61" i="8"/>
  <c r="J29" i="10" s="1"/>
  <c r="M61" i="8"/>
  <c r="I29" i="10" s="1"/>
  <c r="L61" i="8"/>
  <c r="H29" i="10" s="1"/>
  <c r="K61" i="8"/>
  <c r="G29" i="10" s="1"/>
  <c r="O29" i="10" l="1"/>
  <c r="G53" i="14"/>
  <c r="G52" i="14" s="1"/>
  <c r="H53" i="14"/>
  <c r="H52" i="14" s="1"/>
  <c r="I53" i="14"/>
  <c r="I52" i="14" s="1"/>
  <c r="J53" i="14"/>
  <c r="J52" i="14"/>
  <c r="K53" i="14"/>
  <c r="K52" i="14" s="1"/>
  <c r="L53" i="14"/>
  <c r="L52" i="14" s="1"/>
  <c r="M53" i="14"/>
  <c r="M52" i="14" s="1"/>
  <c r="N53" i="14"/>
  <c r="N52" i="14" s="1"/>
  <c r="O53" i="14"/>
  <c r="O52" i="14" s="1"/>
  <c r="S96" i="8" s="1"/>
  <c r="B13" i="21" a="1"/>
  <c r="B5" i="21" a="1"/>
  <c r="B5" i="21"/>
  <c r="C5" i="21" s="1"/>
  <c r="P53" i="14"/>
  <c r="P52" i="14" s="1"/>
  <c r="F53" i="14"/>
  <c r="F52" i="14" s="1"/>
  <c r="K19" i="8" s="1"/>
  <c r="B8" i="21" a="1"/>
  <c r="S19" i="8" l="1"/>
  <c r="R96" i="8"/>
  <c r="Q19" i="8"/>
  <c r="Q21" i="8" s="1"/>
  <c r="Q28" i="8" s="1"/>
  <c r="P96" i="8"/>
  <c r="N21" i="8"/>
  <c r="N28" i="8" s="1"/>
  <c r="I57" i="3" s="1"/>
  <c r="O19" i="8"/>
  <c r="O21" i="8" s="1"/>
  <c r="O28" i="8" s="1"/>
  <c r="O38" i="8" s="1"/>
  <c r="N96" i="8"/>
  <c r="N98" i="8" s="1"/>
  <c r="N100" i="8" s="1"/>
  <c r="J33" i="10" s="1"/>
  <c r="P19" i="8"/>
  <c r="P21" i="8" s="1"/>
  <c r="P28" i="8" s="1"/>
  <c r="O96" i="8"/>
  <c r="O98" i="8" s="1"/>
  <c r="O100" i="8" s="1"/>
  <c r="K33" i="10" s="1"/>
  <c r="Q96" i="8"/>
  <c r="Q98" i="8" s="1"/>
  <c r="Q100" i="8" s="1"/>
  <c r="M33" i="10" s="1"/>
  <c r="R19" i="8"/>
  <c r="R21" i="8" s="1"/>
  <c r="R28" i="8" s="1"/>
  <c r="L21" i="2" s="1"/>
  <c r="M96" i="8"/>
  <c r="M98" i="8" s="1"/>
  <c r="M100" i="8" s="1"/>
  <c r="I33" i="10" s="1"/>
  <c r="N19" i="8"/>
  <c r="L96" i="8"/>
  <c r="M19" i="8"/>
  <c r="M21" i="8" s="1"/>
  <c r="M28" i="8" s="1"/>
  <c r="K96" i="8"/>
  <c r="L19" i="8"/>
  <c r="L21" i="8" s="1"/>
  <c r="L28" i="8" s="1"/>
  <c r="K98" i="8"/>
  <c r="K100" i="8" s="1"/>
  <c r="I11" i="9" s="1"/>
  <c r="K21" i="8"/>
  <c r="K28" i="8" s="1"/>
  <c r="R98" i="8"/>
  <c r="R100" i="8" s="1"/>
  <c r="N33" i="10" s="1"/>
  <c r="S98" i="8"/>
  <c r="S100" i="8" s="1"/>
  <c r="O33" i="10" s="1"/>
  <c r="L98" i="8"/>
  <c r="L100" i="8" s="1"/>
  <c r="H33" i="10" s="1"/>
  <c r="P98" i="8"/>
  <c r="P100" i="8" s="1"/>
  <c r="L33" i="10" s="1"/>
  <c r="G33" i="10" l="1"/>
  <c r="J47" i="10"/>
  <c r="J52" i="10" s="1"/>
  <c r="H21" i="2"/>
  <c r="N108" i="8"/>
  <c r="J21" i="10"/>
  <c r="J22" i="10" s="1"/>
  <c r="N64" i="8"/>
  <c r="N75" i="8" s="1"/>
  <c r="I47" i="10"/>
  <c r="M41" i="8"/>
  <c r="M42" i="8" s="1"/>
  <c r="M108" i="8"/>
  <c r="M38" i="8"/>
  <c r="I21" i="10"/>
  <c r="I22" i="10" s="1"/>
  <c r="G21" i="2"/>
  <c r="H57" i="3"/>
  <c r="M64" i="8"/>
  <c r="M75" i="8" s="1"/>
  <c r="I28" i="10" s="1"/>
  <c r="N41" i="8"/>
  <c r="N42" i="8" s="1"/>
  <c r="K41" i="8"/>
  <c r="N38" i="8"/>
  <c r="G47" i="10"/>
  <c r="F7" i="2" s="1"/>
  <c r="F57" i="3"/>
  <c r="N21" i="10"/>
  <c r="N22" i="10" s="1"/>
  <c r="E21" i="2"/>
  <c r="R64" i="8"/>
  <c r="R75" i="8" s="1"/>
  <c r="N28" i="10" s="1"/>
  <c r="K108" i="8"/>
  <c r="K38" i="8"/>
  <c r="K47" i="10"/>
  <c r="J7" i="2" s="1"/>
  <c r="R41" i="8"/>
  <c r="R42" i="8" s="1"/>
  <c r="N47" i="10"/>
  <c r="N52" i="10" s="1"/>
  <c r="R38" i="8"/>
  <c r="M57" i="3"/>
  <c r="K64" i="8"/>
  <c r="K75" i="8" s="1"/>
  <c r="G49" i="10" s="1"/>
  <c r="G54" i="10" s="1"/>
  <c r="G59" i="10" s="1"/>
  <c r="G21" i="10"/>
  <c r="G22" i="10" s="1"/>
  <c r="R108" i="8"/>
  <c r="J11" i="9"/>
  <c r="K11" i="9" s="1"/>
  <c r="L11" i="9" s="1"/>
  <c r="M11" i="9" s="1"/>
  <c r="N11" i="9" s="1"/>
  <c r="O11" i="9" s="1"/>
  <c r="P11" i="9" s="1"/>
  <c r="Q11" i="9" s="1"/>
  <c r="S21" i="8"/>
  <c r="S28" i="8" s="1"/>
  <c r="F92" i="2"/>
  <c r="O108" i="8"/>
  <c r="J57" i="3"/>
  <c r="I21" i="2"/>
  <c r="O41" i="8"/>
  <c r="O42" i="8" s="1"/>
  <c r="K21" i="10"/>
  <c r="K22" i="10" s="1"/>
  <c r="O64" i="8"/>
  <c r="O75" i="8" s="1"/>
  <c r="K49" i="10" s="1"/>
  <c r="K54" i="10" s="1"/>
  <c r="H21" i="10"/>
  <c r="H22" i="10" s="1"/>
  <c r="L41" i="8"/>
  <c r="L42" i="8" s="1"/>
  <c r="L64" i="8"/>
  <c r="L75" i="8" s="1"/>
  <c r="H47" i="10"/>
  <c r="L38" i="8"/>
  <c r="L108" i="8"/>
  <c r="F21" i="2"/>
  <c r="G57" i="3"/>
  <c r="L47" i="10"/>
  <c r="P41" i="8"/>
  <c r="P42" i="8" s="1"/>
  <c r="P64" i="8"/>
  <c r="P75" i="8" s="1"/>
  <c r="P108" i="8"/>
  <c r="J21" i="2"/>
  <c r="L21" i="10"/>
  <c r="L22" i="10" s="1"/>
  <c r="K57" i="3"/>
  <c r="P38" i="8"/>
  <c r="I52" i="10"/>
  <c r="H7" i="2"/>
  <c r="I7" i="2"/>
  <c r="M47" i="10"/>
  <c r="Q41" i="8"/>
  <c r="Q64" i="8"/>
  <c r="Q75" i="8" s="1"/>
  <c r="Q108" i="8"/>
  <c r="Q38" i="8"/>
  <c r="K21" i="2"/>
  <c r="L57" i="3"/>
  <c r="M21" i="10"/>
  <c r="M22" i="10" s="1"/>
  <c r="J28" i="10"/>
  <c r="J49" i="10"/>
  <c r="J54" i="10" s="1"/>
  <c r="N77" i="8" l="1"/>
  <c r="I58" i="3" s="1"/>
  <c r="I60" i="3" s="1"/>
  <c r="G52" i="10"/>
  <c r="K77" i="8"/>
  <c r="K42" i="8"/>
  <c r="M77" i="8"/>
  <c r="M78" i="8" s="1"/>
  <c r="I49" i="10"/>
  <c r="I54" i="10" s="1"/>
  <c r="J59" i="10" s="1"/>
  <c r="N49" i="10"/>
  <c r="N54" i="10" s="1"/>
  <c r="I63" i="10"/>
  <c r="H12" i="2" s="1"/>
  <c r="R77" i="8"/>
  <c r="N63" i="10" s="1"/>
  <c r="M8" i="2" s="1"/>
  <c r="H58" i="3"/>
  <c r="H60" i="3" s="1"/>
  <c r="H61" i="3" s="1"/>
  <c r="H62" i="3" s="1"/>
  <c r="G22" i="2"/>
  <c r="K52" i="10"/>
  <c r="K57" i="10" s="1"/>
  <c r="M7" i="2"/>
  <c r="G28" i="10"/>
  <c r="K78" i="8"/>
  <c r="H22" i="2"/>
  <c r="N83" i="8"/>
  <c r="N87" i="8" s="1"/>
  <c r="J63" i="10"/>
  <c r="I8" i="2" s="1"/>
  <c r="N78" i="8"/>
  <c r="S38" i="8"/>
  <c r="M21" i="2"/>
  <c r="N21" i="2"/>
  <c r="F77" i="2"/>
  <c r="S108" i="8"/>
  <c r="N57" i="3"/>
  <c r="O47" i="10"/>
  <c r="S41" i="8"/>
  <c r="F111" i="2"/>
  <c r="F112" i="2" s="1"/>
  <c r="O21" i="10"/>
  <c r="O22" i="10" s="1"/>
  <c r="S64" i="8"/>
  <c r="I12" i="9"/>
  <c r="I26" i="9" s="1"/>
  <c r="G35" i="10" s="1"/>
  <c r="F65" i="3" s="1"/>
  <c r="G57" i="10"/>
  <c r="O77" i="8"/>
  <c r="K63" i="10" s="1"/>
  <c r="K28" i="10"/>
  <c r="P12" i="9"/>
  <c r="P26" i="9" s="1"/>
  <c r="H52" i="10"/>
  <c r="G7" i="2"/>
  <c r="H49" i="10"/>
  <c r="H54" i="10" s="1"/>
  <c r="H28" i="10"/>
  <c r="L77" i="8"/>
  <c r="I61" i="3"/>
  <c r="I62" i="3" s="1"/>
  <c r="J57" i="10"/>
  <c r="L12" i="9"/>
  <c r="L26" i="9" s="1"/>
  <c r="M49" i="10"/>
  <c r="M54" i="10" s="1"/>
  <c r="M28" i="10"/>
  <c r="Q77" i="8"/>
  <c r="K12" i="9"/>
  <c r="K26" i="9" s="1"/>
  <c r="K59" i="10"/>
  <c r="L49" i="10"/>
  <c r="L54" i="10" s="1"/>
  <c r="L59" i="10" s="1"/>
  <c r="L28" i="10"/>
  <c r="M52" i="10"/>
  <c r="L7" i="2"/>
  <c r="Q42" i="8"/>
  <c r="P77" i="8"/>
  <c r="L52" i="10"/>
  <c r="K7" i="2"/>
  <c r="N107" i="8" l="1"/>
  <c r="N106" i="8" s="1"/>
  <c r="I11" i="2" s="1"/>
  <c r="H8" i="2"/>
  <c r="M107" i="8"/>
  <c r="M106" i="8" s="1"/>
  <c r="H11" i="2" s="1"/>
  <c r="M83" i="8"/>
  <c r="M87" i="8" s="1"/>
  <c r="M12" i="2"/>
  <c r="G63" i="10"/>
  <c r="F8" i="2" s="1"/>
  <c r="R107" i="8"/>
  <c r="R106" i="8" s="1"/>
  <c r="M11" i="2" s="1"/>
  <c r="R83" i="8"/>
  <c r="R87" i="8" s="1"/>
  <c r="M58" i="3"/>
  <c r="M60" i="3" s="1"/>
  <c r="M61" i="3" s="1"/>
  <c r="R78" i="8"/>
  <c r="L22" i="2"/>
  <c r="E22" i="2"/>
  <c r="M12" i="9"/>
  <c r="M26" i="9" s="1"/>
  <c r="K35" i="10" s="1"/>
  <c r="J65" i="3" s="1"/>
  <c r="K83" i="8"/>
  <c r="K87" i="8" s="1"/>
  <c r="K89" i="8" s="1"/>
  <c r="G31" i="10" s="1"/>
  <c r="O87" i="8"/>
  <c r="K107" i="8"/>
  <c r="K106" i="8" s="1"/>
  <c r="F11" i="2" s="1"/>
  <c r="C22" i="5" s="1"/>
  <c r="F58" i="3"/>
  <c r="C130" i="3" s="1"/>
  <c r="C172" i="3" s="1"/>
  <c r="O78" i="8"/>
  <c r="J58" i="3"/>
  <c r="J60" i="3" s="1"/>
  <c r="J61" i="3" s="1"/>
  <c r="J62" i="3" s="1"/>
  <c r="I12" i="2"/>
  <c r="O83" i="8"/>
  <c r="J35" i="10"/>
  <c r="I65" i="3" s="1"/>
  <c r="I66" i="3" s="1"/>
  <c r="I80" i="3" s="1"/>
  <c r="I107" i="3" s="1"/>
  <c r="O107" i="8"/>
  <c r="O106" i="8" s="1"/>
  <c r="J11" i="2" s="1"/>
  <c r="I22" i="2"/>
  <c r="F78" i="2"/>
  <c r="S42" i="8"/>
  <c r="F79" i="2" s="1"/>
  <c r="O52" i="10"/>
  <c r="N7" i="2"/>
  <c r="C104" i="2"/>
  <c r="S75" i="8"/>
  <c r="B8" i="21"/>
  <c r="C8" i="21" s="1"/>
  <c r="J12" i="9"/>
  <c r="J26" i="9" s="1"/>
  <c r="H35" i="10" s="1"/>
  <c r="G65" i="3" s="1"/>
  <c r="H57" i="10"/>
  <c r="H59" i="10"/>
  <c r="I59" i="10"/>
  <c r="I57" i="10"/>
  <c r="L78" i="8"/>
  <c r="H63" i="10"/>
  <c r="L107" i="8"/>
  <c r="L106" i="8" s="1"/>
  <c r="F22" i="2"/>
  <c r="G58" i="3"/>
  <c r="G60" i="3" s="1"/>
  <c r="G61" i="3" s="1"/>
  <c r="G62" i="3" s="1"/>
  <c r="L83" i="8"/>
  <c r="L87" i="8" s="1"/>
  <c r="C113" i="2"/>
  <c r="C112" i="2"/>
  <c r="J8" i="2"/>
  <c r="J12" i="2"/>
  <c r="P107" i="8"/>
  <c r="P106" i="8" s="1"/>
  <c r="K11" i="2" s="1"/>
  <c r="L63" i="10"/>
  <c r="P83" i="8"/>
  <c r="P87" i="8" s="1"/>
  <c r="K58" i="3"/>
  <c r="K60" i="3" s="1"/>
  <c r="J22" i="2"/>
  <c r="P78" i="8"/>
  <c r="O12" i="9"/>
  <c r="O26" i="9" s="1"/>
  <c r="M57" i="10"/>
  <c r="N57" i="10"/>
  <c r="Q107" i="8"/>
  <c r="Q106" i="8" s="1"/>
  <c r="L11" i="2" s="1"/>
  <c r="Q83" i="8"/>
  <c r="Q87" i="8" s="1"/>
  <c r="L58" i="3"/>
  <c r="L60" i="3" s="1"/>
  <c r="K22" i="2"/>
  <c r="M63" i="10"/>
  <c r="Q78" i="8"/>
  <c r="N12" i="9"/>
  <c r="N26" i="9" s="1"/>
  <c r="L57" i="10"/>
  <c r="M59" i="10"/>
  <c r="N59" i="10"/>
  <c r="G65" i="10" l="1"/>
  <c r="G79" i="10"/>
  <c r="F12" i="2"/>
  <c r="M62" i="3"/>
  <c r="L35" i="10"/>
  <c r="K65" i="3" s="1"/>
  <c r="B22" i="5"/>
  <c r="AL18" i="17" s="1"/>
  <c r="AL19" i="17" s="1"/>
  <c r="K90" i="8"/>
  <c r="L90" i="8" s="1"/>
  <c r="K93" i="8"/>
  <c r="K102" i="8" s="1"/>
  <c r="G32" i="10" s="1"/>
  <c r="F60" i="3"/>
  <c r="F61" i="3" s="1"/>
  <c r="F62" i="3" s="1"/>
  <c r="F66" i="3" s="1"/>
  <c r="F80" i="3" s="1"/>
  <c r="F82" i="3" s="1"/>
  <c r="C26" i="3"/>
  <c r="C57" i="2" s="1"/>
  <c r="J79" i="10"/>
  <c r="O28" i="10"/>
  <c r="O49" i="10"/>
  <c r="O54" i="10" s="1"/>
  <c r="O59" i="10" s="1"/>
  <c r="S77" i="8"/>
  <c r="B17" i="5"/>
  <c r="C17" i="5"/>
  <c r="Q12" i="9"/>
  <c r="O57" i="10"/>
  <c r="I82" i="3"/>
  <c r="I35" i="10"/>
  <c r="H65" i="3" s="1"/>
  <c r="H66" i="3" s="1"/>
  <c r="H80" i="3" s="1"/>
  <c r="H107" i="3" s="1"/>
  <c r="G11" i="2"/>
  <c r="C111" i="2"/>
  <c r="B9" i="21"/>
  <c r="C9" i="21" s="1"/>
  <c r="C110" i="2"/>
  <c r="B19" i="21" s="1"/>
  <c r="C19" i="21" s="1"/>
  <c r="G8" i="2"/>
  <c r="G12" i="2"/>
  <c r="G66" i="3"/>
  <c r="G80" i="3" s="1"/>
  <c r="G82" i="3" s="1"/>
  <c r="H79" i="10"/>
  <c r="J66" i="3"/>
  <c r="J80" i="3" s="1"/>
  <c r="J82" i="3" s="1"/>
  <c r="K79" i="10"/>
  <c r="N18" i="17"/>
  <c r="N19" i="17" s="1"/>
  <c r="H18" i="17"/>
  <c r="M35" i="10"/>
  <c r="L65" i="3" s="1"/>
  <c r="N35" i="10"/>
  <c r="K61" i="3"/>
  <c r="K62" i="3" s="1"/>
  <c r="L12" i="2"/>
  <c r="L8" i="2"/>
  <c r="L61" i="3"/>
  <c r="L62" i="3" s="1"/>
  <c r="K8" i="2"/>
  <c r="K12" i="2"/>
  <c r="D18" i="17" l="1"/>
  <c r="D19" i="17" s="1"/>
  <c r="AP18" i="17"/>
  <c r="AP19" i="17" s="1"/>
  <c r="EC18" i="17"/>
  <c r="EC19" i="17" s="1"/>
  <c r="CY18" i="17"/>
  <c r="CY19" i="17" s="1"/>
  <c r="DE18" i="17"/>
  <c r="DE19" i="17" s="1"/>
  <c r="DB18" i="17"/>
  <c r="DB19" i="17" s="1"/>
  <c r="F18" i="17"/>
  <c r="F19" i="17" s="1"/>
  <c r="V18" i="17"/>
  <c r="V19" i="17" s="1"/>
  <c r="J18" i="17"/>
  <c r="J19" i="17" s="1"/>
  <c r="CK18" i="17"/>
  <c r="CK19" i="17" s="1"/>
  <c r="CA18" i="17"/>
  <c r="CA19" i="17" s="1"/>
  <c r="BY18" i="17"/>
  <c r="BY19" i="17" s="1"/>
  <c r="BC18" i="17"/>
  <c r="BC19" i="17" s="1"/>
  <c r="CJ18" i="17"/>
  <c r="CJ19" i="17" s="1"/>
  <c r="O18" i="17"/>
  <c r="O19" i="17" s="1"/>
  <c r="Q18" i="17"/>
  <c r="Q19" i="17" s="1"/>
  <c r="CG18" i="17"/>
  <c r="CG19" i="17" s="1"/>
  <c r="P18" i="17"/>
  <c r="P19" i="17" s="1"/>
  <c r="EJ18" i="17"/>
  <c r="EJ19" i="17" s="1"/>
  <c r="M18" i="17"/>
  <c r="M19" i="17" s="1"/>
  <c r="BI18" i="17"/>
  <c r="BI19" i="17" s="1"/>
  <c r="EN18" i="17"/>
  <c r="EN19" i="17" s="1"/>
  <c r="AQ18" i="17"/>
  <c r="AQ19" i="17" s="1"/>
  <c r="EE18" i="17"/>
  <c r="EE19" i="17" s="1"/>
  <c r="AG18" i="17"/>
  <c r="AG19" i="17" s="1"/>
  <c r="DP18" i="17"/>
  <c r="DP19" i="17" s="1"/>
  <c r="EG18" i="17"/>
  <c r="EG19" i="17" s="1"/>
  <c r="CU18" i="17"/>
  <c r="CU19" i="17" s="1"/>
  <c r="AD18" i="17"/>
  <c r="AD19" i="17" s="1"/>
  <c r="AV18" i="17"/>
  <c r="AV19" i="17" s="1"/>
  <c r="CW18" i="17"/>
  <c r="CW19" i="17" s="1"/>
  <c r="CT18" i="17"/>
  <c r="CT19" i="17" s="1"/>
  <c r="AI18" i="17"/>
  <c r="AI19" i="17" s="1"/>
  <c r="BZ18" i="17"/>
  <c r="BZ19" i="17" s="1"/>
  <c r="BD18" i="17"/>
  <c r="BD19" i="17" s="1"/>
  <c r="DT18" i="17"/>
  <c r="DT19" i="17" s="1"/>
  <c r="AM18" i="17"/>
  <c r="AM19" i="17" s="1"/>
  <c r="L79" i="10"/>
  <c r="CM18" i="17"/>
  <c r="CM19" i="17" s="1"/>
  <c r="EA18" i="17"/>
  <c r="EA19" i="17" s="1"/>
  <c r="BB18" i="17"/>
  <c r="BB19" i="17" s="1"/>
  <c r="DZ18" i="17"/>
  <c r="DZ19" i="17" s="1"/>
  <c r="AR18" i="17"/>
  <c r="AR19" i="17" s="1"/>
  <c r="DH18" i="17"/>
  <c r="DH19" i="17" s="1"/>
  <c r="DR18" i="17"/>
  <c r="DR19" i="17" s="1"/>
  <c r="BO18" i="17"/>
  <c r="BO19" i="17" s="1"/>
  <c r="DC18" i="17"/>
  <c r="DC19" i="17" s="1"/>
  <c r="X18" i="17"/>
  <c r="X19" i="17" s="1"/>
  <c r="DN18" i="17"/>
  <c r="DN19" i="17" s="1"/>
  <c r="AF18" i="17"/>
  <c r="AF19" i="17" s="1"/>
  <c r="CV18" i="17"/>
  <c r="CV19" i="17" s="1"/>
  <c r="DF18" i="17"/>
  <c r="DF19" i="17" s="1"/>
  <c r="BS18" i="17"/>
  <c r="BS19" i="17" s="1"/>
  <c r="EH18" i="17"/>
  <c r="EH19" i="17" s="1"/>
  <c r="AJ18" i="17"/>
  <c r="AJ19" i="17" s="1"/>
  <c r="DY18" i="17"/>
  <c r="DY19" i="17" s="1"/>
  <c r="Y18" i="17"/>
  <c r="Y19" i="17" s="1"/>
  <c r="CO18" i="17"/>
  <c r="CO19" i="17" s="1"/>
  <c r="U18" i="17"/>
  <c r="U19" i="17" s="1"/>
  <c r="CP18" i="17"/>
  <c r="CP19" i="17" s="1"/>
  <c r="DX18" i="17"/>
  <c r="DX19" i="17" s="1"/>
  <c r="AE18" i="17"/>
  <c r="AE19" i="17" s="1"/>
  <c r="BM18" i="17"/>
  <c r="BM19" i="17" s="1"/>
  <c r="BX18" i="17"/>
  <c r="BX19" i="17" s="1"/>
  <c r="CI18" i="17"/>
  <c r="CI19" i="17" s="1"/>
  <c r="CH18" i="17"/>
  <c r="CH19" i="17" s="1"/>
  <c r="D22" i="5"/>
  <c r="E22" i="5" s="1"/>
  <c r="F22" i="5" s="1"/>
  <c r="DJ18" i="17"/>
  <c r="DJ19" i="17" s="1"/>
  <c r="DD18" i="17"/>
  <c r="DD19" i="17" s="1"/>
  <c r="DA18" i="17"/>
  <c r="DA19" i="17" s="1"/>
  <c r="EK18" i="17"/>
  <c r="EK19" i="17" s="1"/>
  <c r="BU18" i="17"/>
  <c r="BU19" i="17" s="1"/>
  <c r="EM18" i="17"/>
  <c r="EM19" i="17" s="1"/>
  <c r="CD18" i="17"/>
  <c r="CD19" i="17" s="1"/>
  <c r="CN18" i="17"/>
  <c r="CN19" i="17" s="1"/>
  <c r="T18" i="17"/>
  <c r="T19" i="17" s="1"/>
  <c r="BA18" i="17"/>
  <c r="BA19" i="17" s="1"/>
  <c r="AN18" i="17"/>
  <c r="AN19" i="17" s="1"/>
  <c r="BW18" i="17"/>
  <c r="BW19" i="17" s="1"/>
  <c r="BV18" i="17"/>
  <c r="BV19" i="17" s="1"/>
  <c r="K66" i="3"/>
  <c r="K80" i="3" s="1"/>
  <c r="K82" i="3" s="1"/>
  <c r="CL18" i="17"/>
  <c r="CL19" i="17" s="1"/>
  <c r="CF18" i="17"/>
  <c r="CF19" i="17" s="1"/>
  <c r="CC18" i="17"/>
  <c r="CC19" i="17" s="1"/>
  <c r="BQ18" i="17"/>
  <c r="BQ19" i="17" s="1"/>
  <c r="AW18" i="17"/>
  <c r="AW19" i="17" s="1"/>
  <c r="DO18" i="17"/>
  <c r="DO19" i="17" s="1"/>
  <c r="BR18" i="17"/>
  <c r="BR19" i="17" s="1"/>
  <c r="CB18" i="17"/>
  <c r="CB19" i="17" s="1"/>
  <c r="S18" i="17"/>
  <c r="S19" i="17" s="1"/>
  <c r="AO18" i="17"/>
  <c r="AO19" i="17" s="1"/>
  <c r="AB18" i="17"/>
  <c r="AB19" i="17" s="1"/>
  <c r="BK18" i="17"/>
  <c r="BK19" i="17" s="1"/>
  <c r="BJ18" i="17"/>
  <c r="BJ19" i="17" s="1"/>
  <c r="DM18" i="17"/>
  <c r="DM19" i="17" s="1"/>
  <c r="BH18" i="17"/>
  <c r="BH19" i="17" s="1"/>
  <c r="BE18" i="17"/>
  <c r="BE19" i="17" s="1"/>
  <c r="CX18" i="17"/>
  <c r="CX19" i="17" s="1"/>
  <c r="W18" i="17"/>
  <c r="W19" i="17" s="1"/>
  <c r="CQ18" i="17"/>
  <c r="CQ19" i="17" s="1"/>
  <c r="AH18" i="17"/>
  <c r="AH19" i="17" s="1"/>
  <c r="BP18" i="17"/>
  <c r="BP19" i="17" s="1"/>
  <c r="L18" i="17"/>
  <c r="L19" i="17" s="1"/>
  <c r="EF18" i="17"/>
  <c r="EF19" i="17" s="1"/>
  <c r="C18" i="17"/>
  <c r="C19" i="17" s="1"/>
  <c r="AY18" i="17"/>
  <c r="AY19" i="17" s="1"/>
  <c r="Z18" i="17"/>
  <c r="Z19" i="17" s="1"/>
  <c r="EI18" i="17"/>
  <c r="EI19" i="17" s="1"/>
  <c r="BN18" i="17"/>
  <c r="BN19" i="17" s="1"/>
  <c r="E18" i="17"/>
  <c r="E19" i="17" s="1"/>
  <c r="CE18" i="17"/>
  <c r="CE19" i="17" s="1"/>
  <c r="I18" i="17"/>
  <c r="I19" i="17" s="1"/>
  <c r="AS18" i="17"/>
  <c r="AS19" i="17" s="1"/>
  <c r="DQ18" i="17"/>
  <c r="DQ19" i="17" s="1"/>
  <c r="CR18" i="17"/>
  <c r="CR19" i="17" s="1"/>
  <c r="AU18" i="17"/>
  <c r="AU19" i="17" s="1"/>
  <c r="BF18" i="17"/>
  <c r="BF19" i="17" s="1"/>
  <c r="DL18" i="17"/>
  <c r="DL19" i="17" s="1"/>
  <c r="G18" i="17"/>
  <c r="G19" i="17" s="1"/>
  <c r="DU18" i="17"/>
  <c r="DU19" i="17" s="1"/>
  <c r="AC18" i="17"/>
  <c r="AC19" i="17" s="1"/>
  <c r="BL18" i="17"/>
  <c r="BL19" i="17" s="1"/>
  <c r="DS18" i="17"/>
  <c r="DS19" i="17" s="1"/>
  <c r="AA18" i="17"/>
  <c r="AA19" i="17" s="1"/>
  <c r="AX18" i="17"/>
  <c r="AX19" i="17" s="1"/>
  <c r="DK18" i="17"/>
  <c r="DK19" i="17" s="1"/>
  <c r="AK18" i="17"/>
  <c r="AK19" i="17" s="1"/>
  <c r="EB18" i="17"/>
  <c r="EB19" i="17" s="1"/>
  <c r="BG18" i="17"/>
  <c r="BG19" i="17" s="1"/>
  <c r="DW18" i="17"/>
  <c r="DW19" i="17" s="1"/>
  <c r="DV18" i="17"/>
  <c r="DV19" i="17" s="1"/>
  <c r="CS18" i="17"/>
  <c r="CS19" i="17" s="1"/>
  <c r="BT18" i="17"/>
  <c r="BT19" i="17" s="1"/>
  <c r="EL18" i="17"/>
  <c r="EL19" i="17" s="1"/>
  <c r="AT18" i="17"/>
  <c r="AT19" i="17" s="1"/>
  <c r="CZ18" i="17"/>
  <c r="CZ19" i="17" s="1"/>
  <c r="K18" i="17"/>
  <c r="K19" i="17" s="1"/>
  <c r="DI18" i="17"/>
  <c r="DI19" i="17" s="1"/>
  <c r="R18" i="17"/>
  <c r="R19" i="17" s="1"/>
  <c r="AZ18" i="17"/>
  <c r="AZ19" i="17" s="1"/>
  <c r="DG18" i="17"/>
  <c r="DG19" i="17" s="1"/>
  <c r="ED18" i="17"/>
  <c r="ED19" i="17" s="1"/>
  <c r="F107" i="3"/>
  <c r="L89" i="8"/>
  <c r="H31" i="10" s="1"/>
  <c r="H65" i="10" s="1"/>
  <c r="D17" i="5"/>
  <c r="E17" i="5" s="1"/>
  <c r="F17" i="5" s="1"/>
  <c r="M90" i="8"/>
  <c r="N89" i="8" s="1"/>
  <c r="M89" i="8"/>
  <c r="M93" i="8" s="1"/>
  <c r="M102" i="8" s="1"/>
  <c r="I32" i="10" s="1"/>
  <c r="H118" i="3" s="1"/>
  <c r="H120" i="3" s="1"/>
  <c r="F114" i="2"/>
  <c r="Q26" i="9"/>
  <c r="I79" i="10"/>
  <c r="H82" i="3"/>
  <c r="B15" i="21"/>
  <c r="C15" i="21" s="1"/>
  <c r="N58" i="3"/>
  <c r="S78" i="8"/>
  <c r="F81" i="2" s="1"/>
  <c r="F113" i="2"/>
  <c r="M22" i="2"/>
  <c r="S107" i="8"/>
  <c r="S106" i="8" s="1"/>
  <c r="N11" i="2" s="1"/>
  <c r="F80" i="2"/>
  <c r="N22" i="2"/>
  <c r="O63" i="10"/>
  <c r="S83" i="8"/>
  <c r="S87" i="8" s="1"/>
  <c r="M79" i="10"/>
  <c r="J107" i="3"/>
  <c r="G107" i="3"/>
  <c r="L66" i="3"/>
  <c r="L80" i="3" s="1"/>
  <c r="L82" i="3" s="1"/>
  <c r="F118" i="3"/>
  <c r="G34" i="10"/>
  <c r="H19" i="17"/>
  <c r="I42" i="9"/>
  <c r="M65" i="3"/>
  <c r="M66" i="3" s="1"/>
  <c r="M80" i="3" s="1"/>
  <c r="N79" i="10"/>
  <c r="I31" i="10" l="1"/>
  <c r="I34" i="10" s="1"/>
  <c r="I36" i="10" s="1"/>
  <c r="I60" i="10" s="1"/>
  <c r="K62" i="13"/>
  <c r="K65" i="13" s="1"/>
  <c r="L93" i="8"/>
  <c r="L102" i="8" s="1"/>
  <c r="H32" i="10" s="1"/>
  <c r="G118" i="3" s="1"/>
  <c r="G120" i="3" s="1"/>
  <c r="J62" i="13"/>
  <c r="J65" i="13" s="1"/>
  <c r="P62" i="13"/>
  <c r="P65" i="13" s="1"/>
  <c r="K107" i="3"/>
  <c r="I62" i="13"/>
  <c r="I65" i="13" s="1"/>
  <c r="Q62" i="13"/>
  <c r="Q65" i="13" s="1"/>
  <c r="F62" i="13"/>
  <c r="M62" i="13"/>
  <c r="M65" i="13" s="1"/>
  <c r="G62" i="13"/>
  <c r="G65" i="13" s="1"/>
  <c r="O62" i="13"/>
  <c r="O65" i="13" s="1"/>
  <c r="L62" i="13"/>
  <c r="L65" i="13" s="1"/>
  <c r="H62" i="13"/>
  <c r="H65" i="13" s="1"/>
  <c r="N62" i="13"/>
  <c r="N65" i="13" s="1"/>
  <c r="N90" i="8"/>
  <c r="O89" i="8" s="1"/>
  <c r="L107" i="3"/>
  <c r="O35" i="10"/>
  <c r="B16" i="21"/>
  <c r="C16" i="21" s="1"/>
  <c r="N8" i="2"/>
  <c r="N12" i="2"/>
  <c r="O23" i="10"/>
  <c r="O80" i="10" s="1"/>
  <c r="N60" i="3"/>
  <c r="C72" i="3"/>
  <c r="E559" i="6"/>
  <c r="G36" i="10"/>
  <c r="F120" i="3"/>
  <c r="M107" i="3"/>
  <c r="M82" i="3"/>
  <c r="I44" i="9"/>
  <c r="J31" i="10"/>
  <c r="N93" i="8"/>
  <c r="N102" i="8" s="1"/>
  <c r="J32" i="10" s="1"/>
  <c r="I118" i="3" s="1"/>
  <c r="I120" i="3" s="1"/>
  <c r="I65" i="10" l="1"/>
  <c r="J42" i="9"/>
  <c r="J44" i="9" s="1"/>
  <c r="H34" i="10"/>
  <c r="H36" i="10" s="1"/>
  <c r="H60" i="10" s="1"/>
  <c r="O90" i="8"/>
  <c r="P90" i="8" s="1"/>
  <c r="O79" i="10"/>
  <c r="F152" i="3"/>
  <c r="G125" i="2"/>
  <c r="D151" i="3"/>
  <c r="E125" i="2"/>
  <c r="H154" i="3"/>
  <c r="E122" i="2"/>
  <c r="G151" i="3"/>
  <c r="F122" i="2"/>
  <c r="D125" i="2"/>
  <c r="D122" i="2"/>
  <c r="F153" i="3"/>
  <c r="G121" i="2"/>
  <c r="C74" i="3"/>
  <c r="D121" i="2"/>
  <c r="E124" i="2"/>
  <c r="C125" i="2"/>
  <c r="D154" i="3"/>
  <c r="E154" i="3"/>
  <c r="H150" i="3"/>
  <c r="G122" i="2"/>
  <c r="E121" i="2"/>
  <c r="C124" i="2"/>
  <c r="G150" i="3"/>
  <c r="E151" i="3"/>
  <c r="C123" i="2"/>
  <c r="F123" i="2"/>
  <c r="G123" i="2"/>
  <c r="E150" i="3"/>
  <c r="D153" i="3"/>
  <c r="G153" i="3"/>
  <c r="F125" i="2"/>
  <c r="E123" i="2"/>
  <c r="C163" i="3"/>
  <c r="F124" i="2"/>
  <c r="D123" i="2"/>
  <c r="F121" i="2"/>
  <c r="G154" i="3"/>
  <c r="E153" i="3"/>
  <c r="F150" i="3"/>
  <c r="C43" i="2"/>
  <c r="G152" i="3"/>
  <c r="C122" i="2"/>
  <c r="F151" i="3"/>
  <c r="H151" i="3"/>
  <c r="D152" i="3"/>
  <c r="D150" i="3"/>
  <c r="F154" i="3"/>
  <c r="H152" i="3"/>
  <c r="E152" i="3"/>
  <c r="D124" i="2"/>
  <c r="C121" i="2"/>
  <c r="H153" i="3"/>
  <c r="G124" i="2"/>
  <c r="N61" i="3"/>
  <c r="N62" i="3" s="1"/>
  <c r="N66" i="3" s="1"/>
  <c r="N80" i="3" s="1"/>
  <c r="B18" i="5"/>
  <c r="C18" i="5"/>
  <c r="J65" i="10"/>
  <c r="J34" i="10"/>
  <c r="J36" i="10" s="1"/>
  <c r="J60" i="10" s="1"/>
  <c r="G567" i="6"/>
  <c r="G37" i="10"/>
  <c r="G39" i="10" s="1"/>
  <c r="G60" i="10"/>
  <c r="F121" i="3"/>
  <c r="K31" i="10"/>
  <c r="O93" i="8"/>
  <c r="O102" i="8" s="1"/>
  <c r="K32" i="10" s="1"/>
  <c r="J118" i="3" s="1"/>
  <c r="J120" i="3" s="1"/>
  <c r="K42" i="9" l="1"/>
  <c r="L42" i="9" s="1"/>
  <c r="E562" i="6"/>
  <c r="P89" i="8"/>
  <c r="P93" i="8" s="1"/>
  <c r="P102" i="8" s="1"/>
  <c r="L32" i="10" s="1"/>
  <c r="K118" i="3" s="1"/>
  <c r="K120" i="3" s="1"/>
  <c r="D18" i="5"/>
  <c r="E18" i="5" s="1"/>
  <c r="F18" i="5" s="1"/>
  <c r="N82" i="3"/>
  <c r="C44" i="2"/>
  <c r="N81" i="3"/>
  <c r="N83" i="3" s="1"/>
  <c r="C90" i="3" s="1"/>
  <c r="C165" i="3"/>
  <c r="N119" i="3"/>
  <c r="N120" i="3" s="1"/>
  <c r="C180" i="3" s="1"/>
  <c r="C127" i="3" s="1"/>
  <c r="K34" i="10"/>
  <c r="K36" i="10" s="1"/>
  <c r="K60" i="10" s="1"/>
  <c r="K65" i="10"/>
  <c r="Q90" i="8"/>
  <c r="Q89" i="8"/>
  <c r="G121" i="3"/>
  <c r="H121" i="3" s="1"/>
  <c r="I121" i="3" s="1"/>
  <c r="J121" i="3" s="1"/>
  <c r="F9" i="2"/>
  <c r="E558" i="6"/>
  <c r="E561" i="6" s="1"/>
  <c r="G566" i="6"/>
  <c r="G568" i="6" s="1"/>
  <c r="H10" i="10"/>
  <c r="I10" i="9"/>
  <c r="G38" i="10" s="1"/>
  <c r="F13" i="2" s="1"/>
  <c r="G67" i="10"/>
  <c r="G68" i="10" s="1"/>
  <c r="K44" i="9" l="1"/>
  <c r="L31" i="10"/>
  <c r="L34" i="10" s="1"/>
  <c r="L36" i="10" s="1"/>
  <c r="L60" i="10" s="1"/>
  <c r="C123" i="3"/>
  <c r="C22" i="3" s="1"/>
  <c r="N107" i="3"/>
  <c r="C181" i="3" s="1"/>
  <c r="C109" i="3" s="1"/>
  <c r="K121" i="3"/>
  <c r="D140" i="3"/>
  <c r="G142" i="3"/>
  <c r="D142" i="3"/>
  <c r="D141" i="3"/>
  <c r="G139" i="3"/>
  <c r="E140" i="3"/>
  <c r="G140" i="3"/>
  <c r="H142" i="3"/>
  <c r="H141" i="3"/>
  <c r="F143" i="3"/>
  <c r="G143" i="3"/>
  <c r="H143" i="3"/>
  <c r="D139" i="3"/>
  <c r="E141" i="3"/>
  <c r="C89" i="3"/>
  <c r="C91" i="3" s="1"/>
  <c r="D143" i="3"/>
  <c r="F140" i="3"/>
  <c r="E139" i="3"/>
  <c r="H140" i="3"/>
  <c r="H139" i="3"/>
  <c r="G141" i="3"/>
  <c r="E143" i="3"/>
  <c r="F139" i="3"/>
  <c r="F141" i="3"/>
  <c r="E142" i="3"/>
  <c r="F142" i="3"/>
  <c r="C170" i="3"/>
  <c r="C24" i="3"/>
  <c r="F72" i="2"/>
  <c r="L65" i="10"/>
  <c r="I53" i="9"/>
  <c r="E23" i="2"/>
  <c r="I15" i="9"/>
  <c r="I25" i="9" s="1"/>
  <c r="L44" i="9"/>
  <c r="M42" i="9"/>
  <c r="R90" i="8"/>
  <c r="R89" i="8"/>
  <c r="H37" i="10"/>
  <c r="H39" i="10" s="1"/>
  <c r="M31" i="10"/>
  <c r="Q93" i="8"/>
  <c r="Q102" i="8" s="1"/>
  <c r="M32" i="10" s="1"/>
  <c r="L118" i="3" s="1"/>
  <c r="F71" i="2" l="1"/>
  <c r="C169" i="3"/>
  <c r="C161" i="3"/>
  <c r="C45" i="2"/>
  <c r="C21" i="3"/>
  <c r="C54" i="2" s="1"/>
  <c r="C98" i="3"/>
  <c r="C110" i="3"/>
  <c r="F70" i="2"/>
  <c r="C168" i="3"/>
  <c r="C20" i="3"/>
  <c r="F34" i="2"/>
  <c r="C53" i="2"/>
  <c r="B20" i="5"/>
  <c r="C20" i="5"/>
  <c r="F35" i="2"/>
  <c r="C56" i="2"/>
  <c r="M34" i="10"/>
  <c r="M36" i="10" s="1"/>
  <c r="M60" i="10" s="1"/>
  <c r="M65" i="10"/>
  <c r="L120" i="3"/>
  <c r="N31" i="10"/>
  <c r="R93" i="8"/>
  <c r="R102" i="8" s="1"/>
  <c r="N32" i="10" s="1"/>
  <c r="M118" i="3" s="1"/>
  <c r="M120" i="3" s="1"/>
  <c r="I30" i="9"/>
  <c r="I33" i="9" s="1"/>
  <c r="I38" i="9" s="1"/>
  <c r="I46" i="9" s="1"/>
  <c r="M44" i="9"/>
  <c r="N42" i="9"/>
  <c r="J10" i="9"/>
  <c r="H67" i="10"/>
  <c r="H68" i="10" s="1"/>
  <c r="I10" i="10"/>
  <c r="G9" i="2"/>
  <c r="S90" i="8"/>
  <c r="S89" i="8"/>
  <c r="C19" i="5" l="1"/>
  <c r="C52" i="2"/>
  <c r="F33" i="2"/>
  <c r="B19" i="5"/>
  <c r="C126" i="3"/>
  <c r="C23" i="3"/>
  <c r="C162" i="3"/>
  <c r="C124" i="3"/>
  <c r="J53" i="9"/>
  <c r="F23" i="2"/>
  <c r="J15" i="9"/>
  <c r="J25" i="9" s="1"/>
  <c r="O42" i="9"/>
  <c r="N44" i="9"/>
  <c r="L121" i="3"/>
  <c r="O123" i="3"/>
  <c r="D20" i="5"/>
  <c r="E20" i="5" s="1"/>
  <c r="F20" i="5" s="1"/>
  <c r="H38" i="10"/>
  <c r="G13" i="2" s="1"/>
  <c r="O31" i="10"/>
  <c r="S93" i="8"/>
  <c r="I37" i="10"/>
  <c r="N34" i="10"/>
  <c r="N36" i="10" s="1"/>
  <c r="N60" i="10" s="1"/>
  <c r="N65" i="10"/>
  <c r="I52" i="9"/>
  <c r="I47" i="9"/>
  <c r="M121" i="3" l="1"/>
  <c r="N121" i="3" s="1"/>
  <c r="C47" i="2"/>
  <c r="C55" i="2"/>
  <c r="D19" i="5"/>
  <c r="E19" i="5" s="1"/>
  <c r="F19" i="5" s="1"/>
  <c r="S102" i="8"/>
  <c r="O32" i="10" s="1"/>
  <c r="O34" i="10" s="1"/>
  <c r="O36" i="10" s="1"/>
  <c r="O60" i="10" s="1"/>
  <c r="F82" i="2"/>
  <c r="F83" i="2" s="1"/>
  <c r="B13" i="21"/>
  <c r="C13" i="21" s="1"/>
  <c r="P42" i="9"/>
  <c r="O44" i="9"/>
  <c r="O65" i="10"/>
  <c r="K10" i="9"/>
  <c r="I38" i="10" s="1"/>
  <c r="H13" i="2" s="1"/>
  <c r="I67" i="10"/>
  <c r="I68" i="10" s="1"/>
  <c r="H9" i="2"/>
  <c r="J10" i="10"/>
  <c r="J30" i="9"/>
  <c r="J33" i="9" s="1"/>
  <c r="J38" i="9" s="1"/>
  <c r="J46" i="9" s="1"/>
  <c r="I39" i="10"/>
  <c r="C128" i="3" l="1" a="1"/>
  <c r="C128" i="3" s="1"/>
  <c r="C171" i="3" s="1"/>
  <c r="J47" i="9"/>
  <c r="J52" i="9"/>
  <c r="G23" i="2"/>
  <c r="K15" i="9"/>
  <c r="K25" i="9" s="1"/>
  <c r="K53" i="9"/>
  <c r="J37" i="10"/>
  <c r="Q42" i="9"/>
  <c r="Q44" i="9" s="1"/>
  <c r="P44" i="9"/>
  <c r="C25" i="3" l="1"/>
  <c r="C23" i="5" s="1"/>
  <c r="K10" i="10"/>
  <c r="I9" i="2"/>
  <c r="J67" i="10"/>
  <c r="J68" i="10" s="1"/>
  <c r="L10" i="9"/>
  <c r="J39" i="10"/>
  <c r="K30" i="9"/>
  <c r="K33" i="9" s="1"/>
  <c r="K38" i="9" s="1"/>
  <c r="K46" i="9" s="1"/>
  <c r="B23" i="5" l="1"/>
  <c r="D23" i="5" s="1"/>
  <c r="F36" i="2"/>
  <c r="K47" i="9"/>
  <c r="K52" i="9"/>
  <c r="H23" i="2"/>
  <c r="L15" i="9"/>
  <c r="L25" i="9" s="1"/>
  <c r="L53" i="9"/>
  <c r="J38" i="10"/>
  <c r="I13" i="2" s="1"/>
  <c r="K37" i="10"/>
  <c r="K39" i="10" s="1"/>
  <c r="M10" i="9" l="1"/>
  <c r="K38" i="10" s="1"/>
  <c r="J13" i="2" s="1"/>
  <c r="J9" i="2"/>
  <c r="L10" i="10"/>
  <c r="K67" i="10"/>
  <c r="K68" i="10" s="1"/>
  <c r="L30" i="9"/>
  <c r="L33" i="9" s="1"/>
  <c r="L38" i="9" s="1"/>
  <c r="L46" i="9" s="1"/>
  <c r="L47" i="9" l="1"/>
  <c r="L52" i="9"/>
  <c r="L37" i="10"/>
  <c r="L39" i="10" s="1"/>
  <c r="I23" i="2"/>
  <c r="M15" i="9"/>
  <c r="M25" i="9" s="1"/>
  <c r="M53" i="9"/>
  <c r="M30" i="9" l="1"/>
  <c r="M33" i="9" s="1"/>
  <c r="M38" i="9" s="1"/>
  <c r="M46" i="9" s="1"/>
  <c r="K9" i="2"/>
  <c r="N10" i="9"/>
  <c r="L38" i="10" s="1"/>
  <c r="K13" i="2" s="1"/>
  <c r="L67" i="10"/>
  <c r="L68" i="10" s="1"/>
  <c r="M10" i="10"/>
  <c r="M47" i="9" l="1"/>
  <c r="M52" i="9"/>
  <c r="N53" i="9"/>
  <c r="J23" i="2"/>
  <c r="N15" i="9"/>
  <c r="N25" i="9" s="1"/>
  <c r="M37" i="10"/>
  <c r="M39" i="10" s="1"/>
  <c r="L9" i="2" l="1"/>
  <c r="O10" i="9"/>
  <c r="M38" i="10" s="1"/>
  <c r="L13" i="2" s="1"/>
  <c r="N10" i="10"/>
  <c r="M67" i="10"/>
  <c r="M68" i="10" s="1"/>
  <c r="N30" i="9"/>
  <c r="N33" i="9" s="1"/>
  <c r="N38" i="9" s="1"/>
  <c r="N46" i="9" s="1"/>
  <c r="N47" i="9" l="1"/>
  <c r="N52" i="9"/>
  <c r="N37" i="10"/>
  <c r="N39" i="10" s="1"/>
  <c r="O53" i="9"/>
  <c r="K23" i="2"/>
  <c r="O15" i="9"/>
  <c r="O25" i="9" s="1"/>
  <c r="O30" i="9" l="1"/>
  <c r="O33" i="9" s="1"/>
  <c r="O38" i="9" s="1"/>
  <c r="O46" i="9" s="1"/>
  <c r="M9" i="2"/>
  <c r="P10" i="9"/>
  <c r="N38" i="10" s="1"/>
  <c r="M13" i="2" s="1"/>
  <c r="N67" i="10"/>
  <c r="N68" i="10" s="1"/>
  <c r="O10" i="10"/>
  <c r="O47" i="9" l="1"/>
  <c r="O52" i="9"/>
  <c r="O37" i="10"/>
  <c r="O39" i="10" s="1"/>
  <c r="L23" i="2"/>
  <c r="P15" i="9"/>
  <c r="P25" i="9" s="1"/>
  <c r="P53" i="9"/>
  <c r="P30" i="9" l="1"/>
  <c r="P33" i="9" s="1"/>
  <c r="P38" i="9" s="1"/>
  <c r="P46" i="9" s="1"/>
  <c r="N9" i="2"/>
  <c r="Q10" i="9"/>
  <c r="O38" i="10" s="1"/>
  <c r="N13" i="2" s="1"/>
  <c r="O67" i="10"/>
  <c r="O68" i="10" s="1"/>
  <c r="B10" i="21"/>
  <c r="C10" i="21" s="1"/>
  <c r="B24" i="21" s="1"/>
  <c r="P47" i="9" l="1"/>
  <c r="P52" i="9"/>
  <c r="Q3" i="2"/>
  <c r="Q17" i="2" s="1"/>
  <c r="C24" i="21"/>
  <c r="Q53" i="9"/>
  <c r="B4" i="21" s="1"/>
  <c r="M23" i="2"/>
  <c r="N23" i="2"/>
  <c r="Q15" i="9"/>
  <c r="Q25" i="9" s="1"/>
  <c r="Q30" i="9" l="1"/>
  <c r="Q33" i="9" s="1"/>
  <c r="Q38" i="9" s="1"/>
  <c r="Q46" i="9" s="1"/>
  <c r="Q52" i="9" l="1"/>
  <c r="Q47" i="9"/>
  <c r="B3" i="21"/>
</calcChain>
</file>

<file path=xl/sharedStrings.xml><?xml version="1.0" encoding="utf-8"?>
<sst xmlns="http://schemas.openxmlformats.org/spreadsheetml/2006/main" count="3755" uniqueCount="2060">
  <si>
    <t>Integrated Entertainment and Recreational Development</t>
  </si>
  <si>
    <t>349 Bridge Street Melbourne</t>
  </si>
  <si>
    <t>Live House Music Venue - following our discussions there is a need for a 4,000 to 5,000 live venue for the Melbourne market that is suitably located to avoid issues of noise and congestion for the local community. The location within our proposed precinct will provide a beneficial location for this development and allow for the improved development of access to culture, music, entertainment and activity. We are looking forward to understanding more about this concept from you so that we may prepare a joint presentation to Council, Goodman and the State government teams involved in Sport, Education, Tourism, Planning and Labour.</t>
  </si>
  <si>
    <t>URWLD - an active leisure concept that will house a Sports Climbing Centre of Excellence as well as a range of 15-18 active leisure activities including surfing, scuba, ice climbing, sports climbing, bouldering, canyoning, coasteering, ninja, junior climb academy, and a range of VR activities such as skiing, snowboarding, squirrel suit, tennis, golf and other immersive game concepts. There will also be an eSports arena and concept area and interactive video games concepts.  These will be supported by 4 quality, chef curated F&amp;B concepts and 2 event venues.  URWLD addresses a key community and society issue of encouraging the entire populace to be active to support lifestyle mindset change and impact the alarming trend of obesity, diabetes and inactivity that threatens our future generations. By providing an accessible environment to help introduce a broad range of activities that encourage movement we will work to address this through our communications and positioning as well as with our event activities, TedTalks hosted and others to promote improving mobility for all age groups</t>
  </si>
  <si>
    <t>PARKING - we are in discussions with Wilson Parking to JV on a 900 space parking building connected to URWLD to service the precinct as well as to support the government policy on congestion reduction within the CBD. We will provide business day parking with shuttle service into the CBD area to Spencer St transport hub for trains, trams and buses. In the future when the Plummer St Light Rail/Tram is undertaken by state government the proximity will allow us to reduce shuttle services. The parking building will connect to both the live venue and URWLD buildings</t>
  </si>
  <si>
    <t>COSM - we have an EOI with a group in Melbourne who are negotiating the license for COSM. This is a highly immersive sports and entertainment experience with also educational opportunities for day use. We believe it will be a highly successful component of the precinct.  www.cosm.com</t>
  </si>
  <si>
    <t>Central Park - in keeping with the need for green space and open areas for common use we have allocated space within the site for a central park which we plan to develop with native landscape focus and a central courtyard as a "FOOD TRUCK" park highlighting handheld foods from numerous cultures as part of our F&amp;B offering. This area will also be used for day time and evening buskers for entertainment.</t>
  </si>
  <si>
    <t>Employment and Community - We believe that our combined development will create almost 1,000 FTE jobs within our precinct and support the planned redevelopment of the Fishermans Bend Urban Renewal Framework by encouraging further state and federal investment in infrastructure of light rail, metro and roads as well as private investor development of the larger sites for increased residential and commercial use of the area.</t>
  </si>
  <si>
    <t>The zone we are developing will include, on a site of 34,400 square metres:</t>
  </si>
  <si>
    <t>PORT MELBOURNE LIVE HOUSE — EXECUTIVE DASHBOARD</t>
  </si>
  <si>
    <t>Port Melbourne Live House</t>
  </si>
  <si>
    <t>Active Scenario</t>
  </si>
  <si>
    <t>Model Health</t>
  </si>
  <si>
    <t xml:space="preserve"> </t>
  </si>
  <si>
    <t>Summary</t>
  </si>
  <si>
    <t>FY</t>
  </si>
  <si>
    <t>Revenue</t>
  </si>
  <si>
    <t>EBITDA</t>
  </si>
  <si>
    <t>Closing Cash</t>
  </si>
  <si>
    <t>Total Debt</t>
  </si>
  <si>
    <t>DSCR</t>
  </si>
  <si>
    <t>ICR</t>
  </si>
  <si>
    <t>Net Leverage (Net Debt/EBITDA)</t>
  </si>
  <si>
    <t>FINANCIAL SUMMARY</t>
  </si>
  <si>
    <t>FY25</t>
  </si>
  <si>
    <t>FY26</t>
  </si>
  <si>
    <t>FY27</t>
  </si>
  <si>
    <t>FY28</t>
  </si>
  <si>
    <t>FY29</t>
  </si>
  <si>
    <t>FY30</t>
  </si>
  <si>
    <t>FY31</t>
  </si>
  <si>
    <t>FY32</t>
  </si>
  <si>
    <t>FY33</t>
  </si>
  <si>
    <t>FY34</t>
  </si>
  <si>
    <t>FY35</t>
  </si>
  <si>
    <t>FY36</t>
  </si>
  <si>
    <t>DEBT &amp; LEVERAGE</t>
  </si>
  <si>
    <t>KEY INVESTMENT METRICS</t>
  </si>
  <si>
    <t>Metric</t>
  </si>
  <si>
    <t>Value</t>
  </si>
  <si>
    <t>Total Debt Facility</t>
  </si>
  <si>
    <t>Total Capex</t>
  </si>
  <si>
    <t>Bank Debt</t>
  </si>
  <si>
    <t>Total Equity</t>
  </si>
  <si>
    <t>PE Equity</t>
  </si>
  <si>
    <t>Bank Term (years)</t>
  </si>
  <si>
    <t>Debt/Equity Ratio</t>
  </si>
  <si>
    <t>PE Equity Injection Year</t>
  </si>
  <si>
    <t>Project IRR</t>
  </si>
  <si>
    <t>Bank Interest Rate</t>
  </si>
  <si>
    <t>Equity IRR</t>
  </si>
  <si>
    <t>Shareholder Loan Toggle</t>
  </si>
  <si>
    <t>MOIC</t>
  </si>
  <si>
    <t>Debt/Total Capex</t>
  </si>
  <si>
    <t>Payback Period</t>
  </si>
  <si>
    <t>VALUATION SUMMARY</t>
  </si>
  <si>
    <t>Notes</t>
  </si>
  <si>
    <t>WACC</t>
  </si>
  <si>
    <t>Discount rate</t>
  </si>
  <si>
    <t>Exit Multiple</t>
  </si>
  <si>
    <t>EBITDA multiple</t>
  </si>
  <si>
    <t>Exit EBITDA</t>
  </si>
  <si>
    <t>FY36 EBITDA</t>
  </si>
  <si>
    <t>Terminal Value</t>
  </si>
  <si>
    <t>Exit value</t>
  </si>
  <si>
    <t>Enterprise Value</t>
  </si>
  <si>
    <t>DCF valuation</t>
  </si>
  <si>
    <t>Net Debt (Exit)</t>
  </si>
  <si>
    <t>Debt - Cash at exit</t>
  </si>
  <si>
    <t>Equity Value</t>
  </si>
  <si>
    <t>EV less Net Debt</t>
  </si>
  <si>
    <t>RETURN METRICS</t>
  </si>
  <si>
    <t>Description</t>
  </si>
  <si>
    <t>Unlevered return</t>
  </si>
  <si>
    <t>Levered return</t>
  </si>
  <si>
    <t>Project NPV @ WACC</t>
  </si>
  <si>
    <t>Value creation</t>
  </si>
  <si>
    <t>Equity NPV @ Ke</t>
  </si>
  <si>
    <t>Value to equity</t>
  </si>
  <si>
    <t>Cash multiple</t>
  </si>
  <si>
    <t>Yield on Cost</t>
  </si>
  <si>
    <t>Stabilised EBITDA / Capex</t>
  </si>
  <si>
    <t>Equity Required</t>
  </si>
  <si>
    <t>PE Loan</t>
  </si>
  <si>
    <t>PE Term (years)</t>
  </si>
  <si>
    <t>PE Interest Rate</t>
  </si>
  <si>
    <t>Debt Payoff Year</t>
  </si>
  <si>
    <t>VENUE CAPACITY</t>
  </si>
  <si>
    <t>PROFITABILITY METRICS (EXIT FY)</t>
  </si>
  <si>
    <t>Configuration</t>
  </si>
  <si>
    <t>Capacity</t>
  </si>
  <si>
    <t>Music GA (Large)</t>
  </si>
  <si>
    <t>Total Revenue</t>
  </si>
  <si>
    <t>Music GA (Medium)</t>
  </si>
  <si>
    <t>Gross Profit</t>
  </si>
  <si>
    <t>Music GA (Small)</t>
  </si>
  <si>
    <t>Gross Margin %</t>
  </si>
  <si>
    <t>EDM/Dance</t>
  </si>
  <si>
    <t>Seated Events</t>
  </si>
  <si>
    <t>EBITDA Margin %</t>
  </si>
  <si>
    <t>MICE/Corporate</t>
  </si>
  <si>
    <t>NPAT</t>
  </si>
  <si>
    <t>Community</t>
  </si>
  <si>
    <t>Net Margin %</t>
  </si>
  <si>
    <t>Max Capacity</t>
  </si>
  <si>
    <t>PROJECT TIMELINE</t>
  </si>
  <si>
    <t>REVENUE MIX (EXIT FY)</t>
  </si>
  <si>
    <t>Milestone</t>
  </si>
  <si>
    <t>Date</t>
  </si>
  <si>
    <t>Stream</t>
  </si>
  <si>
    <t>Model Start</t>
  </si>
  <si>
    <t>VHA</t>
  </si>
  <si>
    <t>Lease Signing</t>
  </si>
  <si>
    <t>Premium Sales</t>
  </si>
  <si>
    <t>Construction Start</t>
  </si>
  <si>
    <t>Premium F&amp;B</t>
  </si>
  <si>
    <t>Construction End</t>
  </si>
  <si>
    <t>F&amp;B</t>
  </si>
  <si>
    <t>Operations Start</t>
  </si>
  <si>
    <t>Merchandise</t>
  </si>
  <si>
    <t>Model End</t>
  </si>
  <si>
    <t>Equipment Hire</t>
  </si>
  <si>
    <t>Exit Year</t>
  </si>
  <si>
    <t>Sponsorship</t>
  </si>
  <si>
    <t>Project Duration</t>
  </si>
  <si>
    <t>Advertising</t>
  </si>
  <si>
    <t>OPEX MIX (EXIT FY)</t>
  </si>
  <si>
    <t>EVENT DAYS MIX (EXIT FY)</t>
  </si>
  <si>
    <t>Category</t>
  </si>
  <si>
    <t>Event Type</t>
  </si>
  <si>
    <t>Days</t>
  </si>
  <si>
    <t>Staff Costs</t>
  </si>
  <si>
    <t>Music GA (all tiers)</t>
  </si>
  <si>
    <t>Lease / Rent</t>
  </si>
  <si>
    <t>EDM</t>
  </si>
  <si>
    <t>Utilities</t>
  </si>
  <si>
    <t>Seated Music</t>
  </si>
  <si>
    <t>Maintenance</t>
  </si>
  <si>
    <t>Comedy</t>
  </si>
  <si>
    <t>Marketing</t>
  </si>
  <si>
    <t>Sports</t>
  </si>
  <si>
    <t>Admin/Legal/Insurance/etc</t>
  </si>
  <si>
    <t>MICE</t>
  </si>
  <si>
    <t>Other OPEX</t>
  </si>
  <si>
    <t>Live Site</t>
  </si>
  <si>
    <t>DEBT COVERAGE RATIOS</t>
  </si>
  <si>
    <t>EVENT INDUSTRY KPIs (EXIT FY)</t>
  </si>
  <si>
    <t>Units</t>
  </si>
  <si>
    <t>Average DSCR</t>
  </si>
  <si>
    <t>Annual Event Days</t>
  </si>
  <si>
    <t>days</t>
  </si>
  <si>
    <t>Minimum DSCR</t>
  </si>
  <si>
    <t>A$</t>
  </si>
  <si>
    <t>Average ICR</t>
  </si>
  <si>
    <t>Revenue per Event Day</t>
  </si>
  <si>
    <t>A$/day</t>
  </si>
  <si>
    <t>Minimum ICR</t>
  </si>
  <si>
    <t>EBITDA per Event Day</t>
  </si>
  <si>
    <t>%</t>
  </si>
  <si>
    <t>SENSITIVITY SUMMARY</t>
  </si>
  <si>
    <t>Enterprise Value Sensitivity (WACC vs Exit Multiple)</t>
  </si>
  <si>
    <t>EV ($m)</t>
  </si>
  <si>
    <t>6.0x</t>
  </si>
  <si>
    <t>7.0x</t>
  </si>
  <si>
    <t>8.0x</t>
  </si>
  <si>
    <t>9.0x</t>
  </si>
  <si>
    <t>10.0x</t>
  </si>
  <si>
    <t>▲ END OF REBUILT DASHBOARD ▲</t>
  </si>
  <si>
    <t>PORT MELBOURNE LIVE HOUSE — VALUATIONS</t>
  </si>
  <si>
    <t>Architecture sheet: valuation approaches, return metrics (IRR/NPV), and sensitivity framework. Calculations will be wired in the next step.</t>
  </si>
  <si>
    <t>VALUATION CONTROLS &amp; INPUTS</t>
  </si>
  <si>
    <t>Pulled from Scenarios toggle (read-only)</t>
  </si>
  <si>
    <t>Valuation Currency</t>
  </si>
  <si>
    <t>AUD</t>
  </si>
  <si>
    <t>Match model currency</t>
  </si>
  <si>
    <t>Valuation Date</t>
  </si>
  <si>
    <t>Leave blank or set to transaction / IC date</t>
  </si>
  <si>
    <t>Discount Rate Basis</t>
  </si>
  <si>
    <t>WACC (FCFF) / Ke (Equity)</t>
  </si>
  <si>
    <t>Choose which return metric you’re presenting</t>
  </si>
  <si>
    <t>WACC (nominal)</t>
  </si>
  <si>
    <t>Linked to Inputs!E223</t>
  </si>
  <si>
    <t>Cost of Equity (Ke)</t>
  </si>
  <si>
    <t>Linked to Inputs!E224</t>
  </si>
  <si>
    <t>Cost of Debt (Kd)</t>
  </si>
  <si>
    <t>To be linked to Debt terms</t>
  </si>
  <si>
    <t>Corporate Tax Rate</t>
  </si>
  <si>
    <t>Linked to Inputs!E226</t>
  </si>
  <si>
    <t>Exit FY</t>
  </si>
  <si>
    <t>Linked to Inputs!E232</t>
  </si>
  <si>
    <t>Exit Method</t>
  </si>
  <si>
    <t>Choose primary method</t>
  </si>
  <si>
    <t>Exit EBITDA Multiple</t>
  </si>
  <si>
    <t>Linked to Inputs!E227</t>
  </si>
  <si>
    <t>Mid-year convention</t>
  </si>
  <si>
    <t>Linked to Inputs!E229</t>
  </si>
  <si>
    <t>Units / Format</t>
  </si>
  <si>
    <t>Cash Flow Basis</t>
  </si>
  <si>
    <t>Method / Formula Guidance + Link Source</t>
  </si>
  <si>
    <t>Project IRR (Unlevered)</t>
  </si>
  <si>
    <t>Unlevered</t>
  </si>
  <si>
    <t>XIRR(unlevered FCF, dates) — exclude debt &amp; equity flows | Source: Cashflow (build Unlevered FCF series)</t>
  </si>
  <si>
    <t>XNPV(WACC, unlevered FCF, dates) OR PV factors | Source: Valuations DCF block below</t>
  </si>
  <si>
    <t>Equity IRR (Levered)</t>
  </si>
  <si>
    <t>Equity</t>
  </si>
  <si>
    <t>XIRR(equity cash flows, dates) | Source: Equity injections + distributions + exit equity</t>
  </si>
  <si>
    <t>XNPV(Ke, equity cash flows, dates) | Source: Equity cash flow schedule</t>
  </si>
  <si>
    <t>Equity MOIC</t>
  </si>
  <si>
    <t>x</t>
  </si>
  <si>
    <t>(Total distributions + exit equity) / Total equity injected | Source: Dashboard already calculates</t>
  </si>
  <si>
    <t>Payback Period (Equity)</t>
  </si>
  <si>
    <t>First year cumulative equity distributions exceed equity injected | Source: To be added (optional)</t>
  </si>
  <si>
    <t>Yield on Cost (Stabilised)</t>
  </si>
  <si>
    <t>Operating</t>
  </si>
  <si>
    <t>Stabilised EBITDA / Total Project Cost | Source: Dashboard already calculates</t>
  </si>
  <si>
    <t>WEIGHTED AVERAGE COST OF CAPITAL (WACC)</t>
  </si>
  <si>
    <t>Component</t>
  </si>
  <si>
    <t>Source/Formula</t>
  </si>
  <si>
    <t>Risk-Free Rate</t>
  </si>
  <si>
    <t>Linked to Inputs!E233</t>
  </si>
  <si>
    <t>Market Risk Premium</t>
  </si>
  <si>
    <t>Hard-coded: 6.5% historical equity premium (add to Inputs if row available)</t>
  </si>
  <si>
    <t>Asset Beta (Unlevered)</t>
  </si>
  <si>
    <t>Linked to Inputs!E235</t>
  </si>
  <si>
    <t>Target D/E Ratio</t>
  </si>
  <si>
    <t>From model capital structure</t>
  </si>
  <si>
    <t>Tax Rate</t>
  </si>
  <si>
    <t>Corporate tax rate</t>
  </si>
  <si>
    <t>Levered Beta</t>
  </si>
  <si>
    <t>Hamada formula: βu×(1+(1-T)×D/E)</t>
  </si>
  <si>
    <t>CAPM: Rf + β × MRP</t>
  </si>
  <si>
    <t>Pre-Tax Cost of Debt (Kd)</t>
  </si>
  <si>
    <t>From Debt sheet</t>
  </si>
  <si>
    <t>After-Tax Cost of Debt</t>
  </si>
  <si>
    <t>Kd × (1-T)</t>
  </si>
  <si>
    <t>Weight of Equity</t>
  </si>
  <si>
    <t>E/(D+E)</t>
  </si>
  <si>
    <t>Weight of Debt</t>
  </si>
  <si>
    <t>D/(D+E)</t>
  </si>
  <si>
    <t>WACC (Calculated)</t>
  </si>
  <si>
    <t>We×Ke + Wd×Kd(1-T)</t>
  </si>
  <si>
    <t>WACC (Input Override)</t>
  </si>
  <si>
    <t>Manual input for sensitivity</t>
  </si>
  <si>
    <t>Applied Discount Rate</t>
  </si>
  <si>
    <t>Uses input WACC for discounting</t>
  </si>
  <si>
    <t>UNLEVERED DCF VALUATION</t>
  </si>
  <si>
    <t>Free Cash Flow to Firm (FCFF) Schedule</t>
  </si>
  <si>
    <t>FY End Date</t>
  </si>
  <si>
    <t>Period Number</t>
  </si>
  <si>
    <t>Less: Depreciation</t>
  </si>
  <si>
    <t>EBIT</t>
  </si>
  <si>
    <t>Less: Tax on EBIT</t>
  </si>
  <si>
    <t>NOPAT</t>
  </si>
  <si>
    <t>Add: Depreciation</t>
  </si>
  <si>
    <t>Less: Capex</t>
  </si>
  <si>
    <t>Less: Change in NWC</t>
  </si>
  <si>
    <t>Unlevered Free Cash Flow (FCFF)</t>
  </si>
  <si>
    <t>TERMINAL VALUE &amp; DISCOUNTING</t>
  </si>
  <si>
    <t>Terminal Value (EV)</t>
  </si>
  <si>
    <t>Discounting Schedule</t>
  </si>
  <si>
    <t>Period (Years)</t>
  </si>
  <si>
    <t>Discount Factor</t>
  </si>
  <si>
    <t>Unlevered FCF</t>
  </si>
  <si>
    <t>PV of FCF</t>
  </si>
  <si>
    <t>PV of Terminal Value</t>
  </si>
  <si>
    <t>ENTERPRISE VALUE TO EQUITY VALUE BRIDGE</t>
  </si>
  <si>
    <t>Sum of PV of FCF</t>
  </si>
  <si>
    <t>Present value of forecast period cash flows</t>
  </si>
  <si>
    <t>Discounted exit value</t>
  </si>
  <si>
    <t>Enterprise Value (DCF)</t>
  </si>
  <si>
    <t>Total DCF enterprise value</t>
  </si>
  <si>
    <t>Less: Net Debt at Valuation Date</t>
  </si>
  <si>
    <t>Outstanding debt at valuation date</t>
  </si>
  <si>
    <t>Add: Cash at Valuation Date</t>
  </si>
  <si>
    <t>Available cash balance</t>
  </si>
  <si>
    <t>Less: Minority Interest</t>
  </si>
  <si>
    <t>If applicable</t>
  </si>
  <si>
    <t>Add: Associate Investments</t>
  </si>
  <si>
    <t>EV - Net Debt + Adjustments</t>
  </si>
  <si>
    <t>Project Returns (Unlevered)</t>
  </si>
  <si>
    <t>Unlevered Cash Flow Schedule</t>
  </si>
  <si>
    <t>Unlevered CF + TV</t>
  </si>
  <si>
    <t>Approximate CAGR method</t>
  </si>
  <si>
    <t>Present value of all unlevered cash flows</t>
  </si>
  <si>
    <t>Equity Returns (Levered)</t>
  </si>
  <si>
    <t>Equity Cash Flow Schedule</t>
  </si>
  <si>
    <t>Equity Injections</t>
  </si>
  <si>
    <t>Dividends Received</t>
  </si>
  <si>
    <t>Exit Proceeds</t>
  </si>
  <si>
    <t>Net Equity Cash Flow</t>
  </si>
  <si>
    <t>Cumulative Equity CF</t>
  </si>
  <si>
    <t>XNPV at Cost of Equity</t>
  </si>
  <si>
    <t>Total Equity Invested</t>
  </si>
  <si>
    <t>Sum of equity contributions</t>
  </si>
  <si>
    <t>Total Distributions + Exit</t>
  </si>
  <si>
    <t>Dividends + terminal proceeds</t>
  </si>
  <si>
    <t>Multiple of Invested Capital (MOIC)</t>
  </si>
  <si>
    <t>Total proceeds / Total invested</t>
  </si>
  <si>
    <t>First FY with positive cumulative equity CF</t>
  </si>
  <si>
    <t>Stabilised EBITDA / Total Capex</t>
  </si>
  <si>
    <t>SENSITIVITY ANALYSIS</t>
  </si>
  <si>
    <t>Equity IRR Sensitivity (Exit Multiple vs Exit Year EBITDA Variance)</t>
  </si>
  <si>
    <t>EBITDA Δ</t>
  </si>
  <si>
    <t>DCF valuation at WACC</t>
  </si>
  <si>
    <t>Exit EBITDA (FY36)</t>
  </si>
  <si>
    <t>Terminal year EBITDA</t>
  </si>
  <si>
    <t>Exit Multiple Applied</t>
  </si>
  <si>
    <t>Exit EBITDA × Multiple</t>
  </si>
  <si>
    <t>Discount rate applied</t>
  </si>
  <si>
    <t>Return on total capital</t>
  </si>
  <si>
    <t>Return to equity investors</t>
  </si>
  <si>
    <t>Multiple on invested capital</t>
  </si>
  <si>
    <t>Year cumulative CF turns positive</t>
  </si>
  <si>
    <t>CF for IRR</t>
  </si>
  <si>
    <t>Dates for IRR</t>
  </si>
  <si>
    <t>Total Positive CF</t>
  </si>
  <si>
    <t>Total Positive Unlevered CF</t>
  </si>
  <si>
    <t>Total Negative Unlevered CF</t>
  </si>
  <si>
    <t>Paste this into a VBA Module (Alt+F11 &gt; Insert &gt; Module)</t>
  </si>
  <si>
    <t>Sub RecalcAndCheck()</t>
  </si>
  <si>
    <t xml:space="preserve">    Application.CalculateFull</t>
  </si>
  <si>
    <t xml:space="preserve">    If Sheets("Model Checks").Range("B2").Value &gt; 1 Then MsgBox "Balance Sheet Error!"</t>
  </si>
  <si>
    <t>End Sub</t>
  </si>
  <si>
    <t>SCENARIO MANAGER</t>
  </si>
  <si>
    <t>Port Melbourne Live House - Dynamic Scenario Analysis</t>
  </si>
  <si>
    <t>ACTIVE SCENARIO</t>
  </si>
  <si>
    <t>Base</t>
  </si>
  <si>
    <t>SCENARIO DEFINITIONS</t>
  </si>
  <si>
    <t>APPLIED MULTIPLIERS</t>
  </si>
  <si>
    <t>Scenario</t>
  </si>
  <si>
    <t>Rev Mult</t>
  </si>
  <si>
    <t>Cost Mult</t>
  </si>
  <si>
    <t>Delay (m)</t>
  </si>
  <si>
    <t>Int Δ (bps)</t>
  </si>
  <si>
    <t>Capex Mult</t>
  </si>
  <si>
    <t>Infl Mult</t>
  </si>
  <si>
    <t>Days Mult</t>
  </si>
  <si>
    <t>Event Days</t>
  </si>
  <si>
    <t>Revenue Multiplier</t>
  </si>
  <si>
    <t>Cost Multiplier</t>
  </si>
  <si>
    <t>Optimistic</t>
  </si>
  <si>
    <t>Opening Delay (months)</t>
  </si>
  <si>
    <t>Pessimistic</t>
  </si>
  <si>
    <t>Interest Rate Delta (bps)</t>
  </si>
  <si>
    <t>Delayed Opening +3m</t>
  </si>
  <si>
    <t>Capex Multiplier</t>
  </si>
  <si>
    <t>Delayed Opening +6m</t>
  </si>
  <si>
    <t>Inflation Multiplier</t>
  </si>
  <si>
    <t>Higher Capex +10%</t>
  </si>
  <si>
    <t>Event Days Multiplier</t>
  </si>
  <si>
    <t>Higher Capex +20%</t>
  </si>
  <si>
    <t>Sponsorship Underperformance</t>
  </si>
  <si>
    <t>SCENARIO IMPACT PREVIEW</t>
  </si>
  <si>
    <t>QUICK SCENARIO COMPARISON</t>
  </si>
  <si>
    <t>Base Case</t>
  </si>
  <si>
    <t>Scenario Value</t>
  </si>
  <si>
    <t>Variance</t>
  </si>
  <si>
    <t>% Change</t>
  </si>
  <si>
    <t>Status</t>
  </si>
  <si>
    <t>Revenue Impact</t>
  </si>
  <si>
    <t>Cost Impact</t>
  </si>
  <si>
    <t>IRR Impact</t>
  </si>
  <si>
    <t>Risk Level</t>
  </si>
  <si>
    <t>Total Revenue (Exit FY)</t>
  </si>
  <si>
    <t>Baseline</t>
  </si>
  <si>
    <t>●●○○○</t>
  </si>
  <si>
    <t>EBITDA (Exit FY)</t>
  </si>
  <si>
    <t>●○○○○</t>
  </si>
  <si>
    <t>●●●●○</t>
  </si>
  <si>
    <t>Delayed +3m</t>
  </si>
  <si>
    <t>●●●○○</t>
  </si>
  <si>
    <t>Delayed +6m</t>
  </si>
  <si>
    <t>Debt Service Coverage</t>
  </si>
  <si>
    <t>Capex +10%</t>
  </si>
  <si>
    <t>Capex +20%</t>
  </si>
  <si>
    <t>Sens Exit Multiple Multiplier</t>
  </si>
  <si>
    <t>Sponsorship Under</t>
  </si>
  <si>
    <t>SENSITIVITY OVERRIDES</t>
  </si>
  <si>
    <t>Override Parameter</t>
  </si>
  <si>
    <t>Event Days Override</t>
  </si>
  <si>
    <t>Avg Rev/Event Override</t>
  </si>
  <si>
    <t>Non-event Rev Override</t>
  </si>
  <si>
    <t>Capex Override</t>
  </si>
  <si>
    <t>Lease Cost Override</t>
  </si>
  <si>
    <t>WACC Override</t>
  </si>
  <si>
    <t>Exit Multiple Override</t>
  </si>
  <si>
    <t>INSTRUCTIONS</t>
  </si>
  <si>
    <t>1. Select a scenario from the dropdown in cell B4</t>
  </si>
  <si>
    <t>2. The model will automatically recalculate all P&amp;L, Balance Sheet, and Cash Flow projections</t>
  </si>
  <si>
    <t>3. Review the Scenario Impact Preview (rows 17-23) to see key metric changes</t>
  </si>
  <si>
    <t>4. Use Sensitivity Overrides (rows 27-33) for fine-tuning individual parameters</t>
  </si>
  <si>
    <t>5. The Dashboard and Valuations tabs will reflect the selected scenario</t>
  </si>
  <si>
    <t>v35 | 04/03/2026</t>
  </si>
  <si>
    <t>GLOBAL INPUTS</t>
  </si>
  <si>
    <t>Port Melbourne Live House — Financial Model</t>
  </si>
  <si>
    <t>Input</t>
  </si>
  <si>
    <t>Source</t>
  </si>
  <si>
    <t>1. PROJECT TIMING</t>
  </si>
  <si>
    <t>FORMAT LEGEND</t>
  </si>
  <si>
    <t>User Input</t>
  </si>
  <si>
    <t>Model Start Date</t>
  </si>
  <si>
    <t>Feb-2025 — Model commencement</t>
  </si>
  <si>
    <t>Formula/Link</t>
  </si>
  <si>
    <t>Model End Date</t>
  </si>
  <si>
    <t>Feb-2037 — 12-year horizon</t>
  </si>
  <si>
    <t>Section</t>
  </si>
  <si>
    <t>Model Duration</t>
  </si>
  <si>
    <t>Years</t>
  </si>
  <si>
    <t>Total projection period</t>
  </si>
  <si>
    <t>Sub-Section</t>
  </si>
  <si>
    <t>Currency</t>
  </si>
  <si>
    <t>Australian Dollars</t>
  </si>
  <si>
    <t>Table Header</t>
  </si>
  <si>
    <t>Subtotal</t>
  </si>
  <si>
    <t>Lease Signing Date</t>
  </si>
  <si>
    <t>Apr-2026 — Triggers deposit payment</t>
  </si>
  <si>
    <t>Total</t>
  </si>
  <si>
    <t>Possession / Handover Date</t>
  </si>
  <si>
    <t>Feb-2027 — Site access begins</t>
  </si>
  <si>
    <t>Section Header</t>
  </si>
  <si>
    <t>Major Capex Start</t>
  </si>
  <si>
    <t>Sept-2026 — Fabrication begins</t>
  </si>
  <si>
    <t>Model Status:</t>
  </si>
  <si>
    <t>READY</t>
  </si>
  <si>
    <t>Major Capex End</t>
  </si>
  <si>
    <t>Jun-2026 — Fabrication complete</t>
  </si>
  <si>
    <t>Total/Subtotal</t>
  </si>
  <si>
    <t>Feb-2027 — On-site assembly</t>
  </si>
  <si>
    <t>Jun-2027 — Practical completion</t>
  </si>
  <si>
    <t>Commissioning Start</t>
  </si>
  <si>
    <t>Commissioning End</t>
  </si>
  <si>
    <t>Jul-2027 — First revenue month</t>
  </si>
  <si>
    <t>Target exit/valuation date</t>
  </si>
  <si>
    <t>2. LEASE ASSUMPTIONS</t>
  </si>
  <si>
    <t>Lease Commencement</t>
  </si>
  <si>
    <t>Matches Possession Date</t>
  </si>
  <si>
    <t>Lease Period</t>
  </si>
  <si>
    <t>Initial lease term</t>
  </si>
  <si>
    <t>Months in Year 1</t>
  </si>
  <si>
    <t>Months</t>
  </si>
  <si>
    <t>Partial first year</t>
  </si>
  <si>
    <t>Operational Months in Year 1</t>
  </si>
  <si>
    <t>Jul-Dec FY27</t>
  </si>
  <si>
    <t>Rent-Free Period</t>
  </si>
  <si>
    <t>Fitout/construction allowance</t>
  </si>
  <si>
    <t>Base Rent Rate</t>
  </si>
  <si>
    <t>$/m²/yr</t>
  </si>
  <si>
    <t>Per annum rate</t>
  </si>
  <si>
    <t>Plot Area</t>
  </si>
  <si>
    <t>m²</t>
  </si>
  <si>
    <t>Total leasable area</t>
  </si>
  <si>
    <t>Annual Base Rent (Yr 1)</t>
  </si>
  <si>
    <t>Formula</t>
  </si>
  <si>
    <t>Lease Deposit</t>
  </si>
  <si>
    <t>Equivalent to 1 year rent</t>
  </si>
  <si>
    <t>Rent Escalation</t>
  </si>
  <si>
    <t>% p.a.</t>
  </si>
  <si>
    <t>3.5% fixed annual increase</t>
  </si>
  <si>
    <t>Landlord Outgoings</t>
  </si>
  <si>
    <t>% of rent</t>
  </si>
  <si>
    <t>15% additional outgoings</t>
  </si>
  <si>
    <t>Rent-Free End Date</t>
  </si>
  <si>
    <t>Lease Commencement + Rent-Free Period</t>
  </si>
  <si>
    <t>Tenant Break Option</t>
  </si>
  <si>
    <t>Year</t>
  </si>
  <si>
    <t>Years from lease start</t>
  </si>
  <si>
    <t>Break Notice Period</t>
  </si>
  <si>
    <t>Required notice</t>
  </si>
  <si>
    <t>Renewal Option</t>
  </si>
  <si>
    <t>Extension available</t>
  </si>
  <si>
    <t>3. DEBT &amp; FINANCING</t>
  </si>
  <si>
    <t>DEBT</t>
  </si>
  <si>
    <t>Term Debt (Bank)</t>
  </si>
  <si>
    <t>Interest Rate</t>
  </si>
  <si>
    <t>8% bank rate</t>
  </si>
  <si>
    <t>Loan Term</t>
  </si>
  <si>
    <t>5-year amortising</t>
  </si>
  <si>
    <t>LTV Ratio</t>
  </si>
  <si>
    <t>60% of capex</t>
  </si>
  <si>
    <t>Loan Principal</t>
  </si>
  <si>
    <t>LTV × Total Capex</t>
  </si>
  <si>
    <t>Repayment Type</t>
  </si>
  <si>
    <t>Amortising</t>
  </si>
  <si>
    <t>Equal principal repayments</t>
  </si>
  <si>
    <t>Draw Year</t>
  </si>
  <si>
    <t>Construction period</t>
  </si>
  <si>
    <t>Interest-Only Period</t>
  </si>
  <si>
    <t>Before amortisation starts</t>
  </si>
  <si>
    <t>Private Debt (PE Loan)</t>
  </si>
  <si>
    <t>LEGACY — INACTIVE (PE is now equity, see Equity section below)</t>
  </si>
  <si>
    <t>12% PE rate</t>
  </si>
  <si>
    <t>5-year term</t>
  </si>
  <si>
    <t>20% of capex</t>
  </si>
  <si>
    <t>4. EQUITY / SHARE CAPITAL</t>
  </si>
  <si>
    <t>PE is true share capital — NOT debt. It is not repaid, not amortised, and bears no interest. Founder equity funds the 20% loan deposit.</t>
  </si>
  <si>
    <t>Seed Capital</t>
  </si>
  <si>
    <t>Auto-calculated: Founder equity covers the residual after Bank (60%) and PE (30%), PLUS the lease deposit ($780K). Formula: (1 - Bank LTV - PE%) × Capex + Lease Deposit.</t>
  </si>
  <si>
    <t>PE Equity Mode</t>
  </si>
  <si>
    <t>Toggle</t>
  </si>
  <si>
    <t>Controls how PE equity is calculated: 0 = enter a fixed dollar amount; 1 = auto-calculate as a % of total project cost (capex); 2 = % is for ownership reference only, enter amount separately. Default is Mode 1 (% of capex).</t>
  </si>
  <si>
    <t>PE Equity %</t>
  </si>
  <si>
    <t>PE's share of total project cost. Bank LTV + PE% + Founder% must = 100%. Currently: 60% bank + 30% PE + 10% founder = 100%.</t>
  </si>
  <si>
    <t>PE Equity Fixed Amount</t>
  </si>
  <si>
    <t>Only used when PE Equity Mode = 0 (fixed dollar). If Mode = 1 or 2, the model calculates the PE amount from the % above. This field is ignored unless Mode = 0.</t>
  </si>
  <si>
    <t>PE Equity Amount</t>
  </si>
  <si>
    <t>Auto-calculated PE equity amount based on the mode selected above. This is the actual PE cash injection that flows into the cashflow and balance sheet. PE equity is permanent — never repaid.</t>
  </si>
  <si>
    <t>Total Equity Funding</t>
  </si>
  <si>
    <t>Total equity = Founder + PE + tranches. Covers total project need (capex + lease deposit) minus bank debt. Bank + Equity = 100% of capex, plus equity covers lease deposit.</t>
  </si>
  <si>
    <t>Bank Debt % of Total Capex</t>
  </si>
  <si>
    <t>Link</t>
  </si>
  <si>
    <t>Linked from Term Debt LTV above. Shows bank debt as % of total capex for cross-reference. Bank funds the remaining balance after equity.</t>
  </si>
  <si>
    <t>Required Loan Deposit / Equity Contribution %</t>
  </si>
  <si>
    <t>Lender requires this % of total capex as upfront equity (deposit) before releasing debt. Funded from total equity (Founder + PE).</t>
  </si>
  <si>
    <t>Required Deposit Amount</t>
  </si>
  <si>
    <t>Formula: Deposit % × Total Capex. This is the minimum equity the bank needs to see committed before it will drawdown the loan. Funded by Founder / Seed Capital.</t>
  </si>
  <si>
    <t>Equity Injection Timing</t>
  </si>
  <si>
    <t>Controls WHEN each equity source enters the cashflow. Equity only appears in the period specified below.</t>
  </si>
  <si>
    <t>Founder / Seed Equity Injection Year</t>
  </si>
  <si>
    <t>Founder equity injects in FY26 (pre-construction) to meet the bank's deposit requirement before the FY27 construction debt drawdown.</t>
  </si>
  <si>
    <t>Additional Equity Tranche 1 Amount</t>
  </si>
  <si>
    <t>Reserved for future use — if additional equity is needed (e.g. cost overruns, new investor). Set to $0 by default. Change the amount and timing to activate.</t>
  </si>
  <si>
    <t>Additional Equity Tranche 1 Timing</t>
  </si>
  <si>
    <t>Year tranche 1 would be injected. Only active if the amount above is &gt; $0.</t>
  </si>
  <si>
    <t>Additional Equity Tranche 2 Amount</t>
  </si>
  <si>
    <t>Second reserve tranche for future flexibility. Set to $0 by default. Same logic as Tranche 1.</t>
  </si>
  <si>
    <t>Additional Equity Tranche 2 Timing</t>
  </si>
  <si>
    <t>Year tranche 2 would be injected. Only active if the amount above is &gt; $0.</t>
  </si>
  <si>
    <t>PE equity injects in FY27 alongside the bank debt drawdown during the construction year. PE funds are permanent share capital — no repayment schedule.</t>
  </si>
  <si>
    <t>Future flexibility: if set to 1 (ON), PE would be treated as a shareholder loan (with repayment). Currently OFF — PE is pure equity with no debt characteristics. Do not change without building a separate loan schedule.</t>
  </si>
  <si>
    <t>Management / Other Equity</t>
  </si>
  <si>
    <t>Optional — for future management equity participation, employee equity schemes, or other co-investors. Set to $0 by default.</t>
  </si>
  <si>
    <t>Management / Other Equity Timing</t>
  </si>
  <si>
    <t>Year management/other equity would be injected. Only active if the amount above is &gt; $0.</t>
  </si>
  <si>
    <t>Bank Covenants</t>
  </si>
  <si>
    <t>Debt service coverage</t>
  </si>
  <si>
    <t>Interest coverage</t>
  </si>
  <si>
    <t>Maximum Net Leverage</t>
  </si>
  <si>
    <t>Net Debt / EBITDA</t>
  </si>
  <si>
    <t>Equity Timing</t>
  </si>
  <si>
    <t>Equity Draw Year</t>
  </si>
  <si>
    <t>Year equity is received (end of FY)</t>
  </si>
  <si>
    <t>4. CAPITAL EXPENDITURE</t>
  </si>
  <si>
    <t>Consultants</t>
  </si>
  <si>
    <t>Project management, surveys, design</t>
  </si>
  <si>
    <t>Structure</t>
  </si>
  <si>
    <t>Building structure &amp; shell</t>
  </si>
  <si>
    <t>Civil</t>
  </si>
  <si>
    <t>Site works &amp; foundations</t>
  </si>
  <si>
    <t>ICT</t>
  </si>
  <si>
    <t>IT infrastructure</t>
  </si>
  <si>
    <t>FF&amp;E</t>
  </si>
  <si>
    <t>Furniture, fixtures &amp; equipment</t>
  </si>
  <si>
    <t>Services</t>
  </si>
  <si>
    <t>MEP &amp; specialist services</t>
  </si>
  <si>
    <t>Security</t>
  </si>
  <si>
    <t>Security systems</t>
  </si>
  <si>
    <t>Finance Costs</t>
  </si>
  <si>
    <t>Arrangement fees</t>
  </si>
  <si>
    <t>Miscellaneous / Contingency</t>
  </si>
  <si>
    <t>~2.5% contingency</t>
  </si>
  <si>
    <t>Total Construction Capex</t>
  </si>
  <si>
    <t>Construction Risk Factors</t>
  </si>
  <si>
    <t>Contingency %</t>
  </si>
  <si>
    <t>% of Capex</t>
  </si>
  <si>
    <t>10% standard allowance</t>
  </si>
  <si>
    <t>Cost Overrun Allowance</t>
  </si>
  <si>
    <t>5% buffer</t>
  </si>
  <si>
    <t>Retention Holdback</t>
  </si>
  <si>
    <t>Held until defects clear</t>
  </si>
  <si>
    <t>Defects Liability Period</t>
  </si>
  <si>
    <t>Post-completion</t>
  </si>
  <si>
    <t>IDC Rate</t>
  </si>
  <si>
    <t>Interest during construction</t>
  </si>
  <si>
    <t>Capex Phasing</t>
  </si>
  <si>
    <t>FY25 Capex %</t>
  </si>
  <si>
    <t>Percentage of construction capex spent in FY25</t>
  </si>
  <si>
    <t>FY26 Capex %</t>
  </si>
  <si>
    <t>Percentage of construction capex spent in FY26</t>
  </si>
  <si>
    <t>5. VENUE CAPACITY</t>
  </si>
  <si>
    <t>pax</t>
  </si>
  <si>
    <t>Maximum capacity</t>
  </si>
  <si>
    <t>Mid-size config</t>
  </si>
  <si>
    <t>Intimate shows</t>
  </si>
  <si>
    <t>EDM / Dance</t>
  </si>
  <si>
    <t>Electronic events</t>
  </si>
  <si>
    <t>Music (Seated)</t>
  </si>
  <si>
    <t>Seated concerts</t>
  </si>
  <si>
    <t>Comedy (Seated)</t>
  </si>
  <si>
    <t>Comedy shows</t>
  </si>
  <si>
    <t>Sports events</t>
  </si>
  <si>
    <t>Corporate/conferences</t>
  </si>
  <si>
    <t>Community events</t>
  </si>
  <si>
    <t>Broadcast viewing</t>
  </si>
  <si>
    <t>Farmers Market</t>
  </si>
  <si>
    <t>Markets &amp; fairs</t>
  </si>
  <si>
    <t>Base Event Days (Annual)</t>
  </si>
  <si>
    <t>FY28 baseline</t>
  </si>
  <si>
    <t>Event Days at Maturity</t>
  </si>
  <si>
    <t>FY32+ target</t>
  </si>
  <si>
    <t>6. REVENUE ASSUMPTIONS</t>
  </si>
  <si>
    <t>Ticketing Revenue</t>
  </si>
  <si>
    <t>VHA GBO Fee (% of GBO)</t>
  </si>
  <si>
    <t>13% venue hire fee on GBO</t>
  </si>
  <si>
    <t>VHA Cap (% of GBO)</t>
  </si>
  <si>
    <t>20% maximum cap (if applicable)</t>
  </si>
  <si>
    <t>Avg Ticket Price — Music GA (Large)</t>
  </si>
  <si>
    <t>Base year FY28</t>
  </si>
  <si>
    <t>Avg Ticket Price — Music GA (Med)</t>
  </si>
  <si>
    <t>Avg Ticket Price — Music GA (Small)</t>
  </si>
  <si>
    <t>Avg Ticket Price — EDM</t>
  </si>
  <si>
    <t>Avg Ticket Price — Seated Events</t>
  </si>
  <si>
    <t>Music/Comedy/Sports</t>
  </si>
  <si>
    <t>Ticket Price Escalation</t>
  </si>
  <si>
    <t>3% annual increase</t>
  </si>
  <si>
    <t>MICE Flat Fee / Event</t>
  </si>
  <si>
    <t>Non-ticketed corporate events</t>
  </si>
  <si>
    <t>VHA Flat Fee (Ticketed Events)</t>
  </si>
  <si>
    <t>Minimum flat fee for ticketed events</t>
  </si>
  <si>
    <t>Community Flat Fee / Event</t>
  </si>
  <si>
    <t>Live Site Flat Fee / Event</t>
  </si>
  <si>
    <t>Farmers Market Fee / Event</t>
  </si>
  <si>
    <t>Food &amp; Beverage Revenue</t>
  </si>
  <si>
    <t>GA F&amp;B Spend / Head — Music</t>
  </si>
  <si>
    <t>Average per patron</t>
  </si>
  <si>
    <t>GA F&amp;B Spend / Head — EDM</t>
  </si>
  <si>
    <t>Higher for dance events</t>
  </si>
  <si>
    <t>GA F&amp;B Spend / Head — MICE</t>
  </si>
  <si>
    <t>Corporate catering</t>
  </si>
  <si>
    <t>GA F&amp;B Spend / Head — Live Site</t>
  </si>
  <si>
    <t>Extended viewing</t>
  </si>
  <si>
    <t>GA F&amp;B Spend / Head — Market</t>
  </si>
  <si>
    <t>Light spend</t>
  </si>
  <si>
    <t>F&amp;B Price Escalation</t>
  </si>
  <si>
    <t>Premium Seats per Event</t>
  </si>
  <si>
    <t>seats</t>
  </si>
  <si>
    <t>VIP allocation</t>
  </si>
  <si>
    <t>VIP Premium Markup</t>
  </si>
  <si>
    <t>Premium price multiplier</t>
  </si>
  <si>
    <t>Partnership &amp; Sponsorship Revenue</t>
  </si>
  <si>
    <t>Naming Rights (Year 1)</t>
  </si>
  <si>
    <t>5-year contract</t>
  </si>
  <si>
    <t>Ticketing Partnership</t>
  </si>
  <si>
    <t>Ride Share Partner</t>
  </si>
  <si>
    <t>Tech Partners</t>
  </si>
  <si>
    <t>Electronics, utilities</t>
  </si>
  <si>
    <t>Supply Rights — Food</t>
  </si>
  <si>
    <t>Grab &amp; Go</t>
  </si>
  <si>
    <t>Supply Rights — Alcohol</t>
  </si>
  <si>
    <t>Beer, wine, spirits</t>
  </si>
  <si>
    <t>Supply Rights — Non-Alc</t>
  </si>
  <si>
    <t>Soft drinks</t>
  </si>
  <si>
    <t>Supply Rights — Energy</t>
  </si>
  <si>
    <t>Energy drinks</t>
  </si>
  <si>
    <t>Super Sign LED</t>
  </si>
  <si>
    <t>External signage</t>
  </si>
  <si>
    <t>Internal Advertising</t>
  </si>
  <si>
    <t>In-venue ads</t>
  </si>
  <si>
    <t>LINKED TO E144 (Primary)</t>
  </si>
  <si>
    <t>Sponsorship Escalation</t>
  </si>
  <si>
    <t>2.5% annual</t>
  </si>
  <si>
    <t>Sponsor Churn Rate</t>
  </si>
  <si>
    <t>10% annual turnover</t>
  </si>
  <si>
    <t>VIK as % of Total Sponsorship</t>
  </si>
  <si>
    <t>Value-in-kind portion</t>
  </si>
  <si>
    <t>Sponsorship Commission</t>
  </si>
  <si>
    <t>Sales commission</t>
  </si>
  <si>
    <t>Sponsorship Activation</t>
  </si>
  <si>
    <t>Activation costs</t>
  </si>
  <si>
    <t>Additional Revenue Inputs</t>
  </si>
  <si>
    <t>Equipment Hire Fee - LED (per event)</t>
  </si>
  <si>
    <t>LED screen hire per event day</t>
  </si>
  <si>
    <t>Equipment Hire Fee - Sound (per event)</t>
  </si>
  <si>
    <t>Sound system hire per event day</t>
  </si>
  <si>
    <t>Merchandise Revenue per Attendee</t>
  </si>
  <si>
    <t>Average merchandise spend per patron</t>
  </si>
  <si>
    <t>Merchandise COGS %</t>
  </si>
  <si>
    <t>LINKED TO E225 (Primary)</t>
  </si>
  <si>
    <t>Facilities fee charged per event</t>
  </si>
  <si>
    <t>Facilities Fee Escalation</t>
  </si>
  <si>
    <t>Annual facilities fee increase</t>
  </si>
  <si>
    <t>7. OPERATING EXPENSES</t>
  </si>
  <si>
    <t>Role</t>
  </si>
  <si>
    <t>FTE</t>
  </si>
  <si>
    <t>Salary (AUD)</t>
  </si>
  <si>
    <t>On-Costs %</t>
  </si>
  <si>
    <t>General Manager</t>
  </si>
  <si>
    <t>Senior leadership</t>
  </si>
  <si>
    <t>Venue EA</t>
  </si>
  <si>
    <t>Venue Manager</t>
  </si>
  <si>
    <t>Events Manager</t>
  </si>
  <si>
    <t>Booking Manager</t>
  </si>
  <si>
    <t>Operations Manager</t>
  </si>
  <si>
    <t>Operations Staff</t>
  </si>
  <si>
    <t>4 FTE @ $65k each</t>
  </si>
  <si>
    <t>Marketing &amp; Digital Manager</t>
  </si>
  <si>
    <t>F&amp;B Manager</t>
  </si>
  <si>
    <t>Finance Manager</t>
  </si>
  <si>
    <t>Finance Administrator</t>
  </si>
  <si>
    <t>Ticketing Manager</t>
  </si>
  <si>
    <t>Salary Escalation</t>
  </si>
  <si>
    <t>3.1% annual increase</t>
  </si>
  <si>
    <t>Casual Labour (Event Days)</t>
  </si>
  <si>
    <t>Casual Staff per Event</t>
  </si>
  <si>
    <t>staff</t>
  </si>
  <si>
    <t>Average per event</t>
  </si>
  <si>
    <t>Weighted Avg Hourly Rate</t>
  </si>
  <si>
    <t>AUD/hr</t>
  </si>
  <si>
    <t>Blended rate</t>
  </si>
  <si>
    <t>Shift Length</t>
  </si>
  <si>
    <t>hours</t>
  </si>
  <si>
    <t>Standard shift</t>
  </si>
  <si>
    <t>Fixed Operating Costs (Annual)</t>
  </si>
  <si>
    <t>Leased Equipment</t>
  </si>
  <si>
    <t>All equipment types</t>
  </si>
  <si>
    <t>Power, water, gas</t>
  </si>
  <si>
    <t>Brand &amp; promotion</t>
  </si>
  <si>
    <t>Insurance</t>
  </si>
  <si>
    <t>All coverage</t>
  </si>
  <si>
    <t>Administrative / Legal</t>
  </si>
  <si>
    <t>Professional fees</t>
  </si>
  <si>
    <t>T&amp;E</t>
  </si>
  <si>
    <t>Travel &amp; entertainment</t>
  </si>
  <si>
    <t>Licenses &amp; Permits</t>
  </si>
  <si>
    <t>Operating licenses</t>
  </si>
  <si>
    <t>Audit</t>
  </si>
  <si>
    <t>External audit</t>
  </si>
  <si>
    <t>Payroll Processing</t>
  </si>
  <si>
    <t>Health &amp; Safety</t>
  </si>
  <si>
    <t>OH&amp;S compliance</t>
  </si>
  <si>
    <t>Pest Control</t>
  </si>
  <si>
    <t>Security Monitoring</t>
  </si>
  <si>
    <t>All security services</t>
  </si>
  <si>
    <t>Cleaning &amp; Waste</t>
  </si>
  <si>
    <t>Non-event cleaning</t>
  </si>
  <si>
    <t>Uniforms</t>
  </si>
  <si>
    <t>Subscriptions</t>
  </si>
  <si>
    <t>Software &amp; services</t>
  </si>
  <si>
    <t>Variable / Percentage-Based Costs</t>
  </si>
  <si>
    <t>Bad Debts</t>
  </si>
  <si>
    <t>% of revenue</t>
  </si>
  <si>
    <t>0.5% provision</t>
  </si>
  <si>
    <t>Training</t>
  </si>
  <si>
    <t>% of payroll</t>
  </si>
  <si>
    <t>1% of wages</t>
  </si>
  <si>
    <t>Growth Capex</t>
  </si>
  <si>
    <t>2% maintenance capex</t>
  </si>
  <si>
    <t>Alternative calc method</t>
  </si>
  <si>
    <t>Cost of Goods Sold (COGS)</t>
  </si>
  <si>
    <t>F&amp;B COGS %</t>
  </si>
  <si>
    <t>Industry standard 28-35%</t>
  </si>
  <si>
    <t>Consumables %</t>
  </si>
  <si>
    <t>Napkins, cups, etc.</t>
  </si>
  <si>
    <t>T-shirts, memorabilia</t>
  </si>
  <si>
    <t>8. VALUATION INPUTS</t>
  </si>
  <si>
    <t>Valuation Parameters</t>
  </si>
  <si>
    <t>Weighted Average Cost of Capital</t>
  </si>
  <si>
    <t>Required return on equity</t>
  </si>
  <si>
    <t>Pre-tax cost of debt</t>
  </si>
  <si>
    <t>Australian company tax rate</t>
  </si>
  <si>
    <t>Comparable / market-based multiple</t>
  </si>
  <si>
    <t>Text</t>
  </si>
  <si>
    <t>EBITDA Multiple</t>
  </si>
  <si>
    <t>Valuation method: EBITDA Multiple, DCF, Cap Rate</t>
  </si>
  <si>
    <t>Mid-year Convention</t>
  </si>
  <si>
    <t>Yes/No</t>
  </si>
  <si>
    <t>No</t>
  </si>
  <si>
    <t>If Yes, discount by (t-0.5)</t>
  </si>
  <si>
    <t>Dividend Payout Ratio</t>
  </si>
  <si>
    <t>Target dividend distribution</t>
  </si>
  <si>
    <t>Terminal Growth Rate</t>
  </si>
  <si>
    <t>Long-term growth assumption</t>
  </si>
  <si>
    <t>Government 10Y bond proxy</t>
  </si>
  <si>
    <t>9. SCENARIO INPUTS</t>
  </si>
  <si>
    <t>Entertainment/Venue sector</t>
  </si>
  <si>
    <t>Select: Base, Optimistic, Pessimistic, etc.</t>
  </si>
  <si>
    <t>Scenario Multipliers</t>
  </si>
  <si>
    <t>Base case = 1.0</t>
  </si>
  <si>
    <t>Opening Delay</t>
  </si>
  <si>
    <t>months</t>
  </si>
  <si>
    <t>Delay to operations start</t>
  </si>
  <si>
    <t>Interest Rate Delta</t>
  </si>
  <si>
    <t>bps</t>
  </si>
  <si>
    <t>Basis point change to rates</t>
  </si>
  <si>
    <t>Sensitivity Overrides</t>
  </si>
  <si>
    <t>Fine-tune event days</t>
  </si>
  <si>
    <t>Fine-tune revenue per event</t>
  </si>
  <si>
    <t>Fine-tune sponsorship/advertising</t>
  </si>
  <si>
    <t>Fine-tune lease costs</t>
  </si>
  <si>
    <t>Fine-tune discount rate</t>
  </si>
  <si>
    <t>Fine-tune exit multiple</t>
  </si>
  <si>
    <t>Construction &amp; Depreciation Inputs</t>
  </si>
  <si>
    <t>LINKED TO E86 (Primary)</t>
  </si>
  <si>
    <t>IDC Rate (annual)</t>
  </si>
  <si>
    <t>Interest During Construction rate</t>
  </si>
  <si>
    <t>Useful Life (years)</t>
  </si>
  <si>
    <t>years</t>
  </si>
  <si>
    <t>Depreciation period for fixed assets</t>
  </si>
  <si>
    <t>LINKED TO E219 (Primary)</t>
  </si>
  <si>
    <t>Replacement Capex</t>
  </si>
  <si>
    <t>Ongoing asset replacement</t>
  </si>
  <si>
    <t>Replacement Capex Start</t>
  </si>
  <si>
    <t>When replacement capex begins</t>
  </si>
  <si>
    <t>10. WORKING CAPITAL &amp; TIMING</t>
  </si>
  <si>
    <t>Accounts Receivable Days</t>
  </si>
  <si>
    <t>Collection period</t>
  </si>
  <si>
    <t>Accounts Payable Days</t>
  </si>
  <si>
    <t>Payment period</t>
  </si>
  <si>
    <t>Inventory Days</t>
  </si>
  <si>
    <t>Service business - minimal inventory</t>
  </si>
  <si>
    <t>Ticket Sales Advance</t>
  </si>
  <si>
    <t>Lead time for ticket revenue</t>
  </si>
  <si>
    <t>Minimum Cash Balance</t>
  </si>
  <si>
    <t>Minimum operating cash</t>
  </si>
  <si>
    <t>Interest Only Period</t>
  </si>
  <si>
    <t>CPI Inflation Rate</t>
  </si>
  <si>
    <t>General price escalation</t>
  </si>
  <si>
    <t>LINKED TO E192 (Primary)</t>
  </si>
  <si>
    <t>Utilities Escalation</t>
  </si>
  <si>
    <t>Insurance Escalation</t>
  </si>
  <si>
    <t>Insurance cost increase</t>
  </si>
  <si>
    <t>LINKED TO E36 (Primary) - Lease rent escalation</t>
  </si>
  <si>
    <t>LINKED TO E115 (Primary)</t>
  </si>
  <si>
    <t>Food &amp; beverage price increase</t>
  </si>
  <si>
    <t>12. SPONSORSHIP &amp; PARTNERSHIP</t>
  </si>
  <si>
    <t>Sponsor Renewal Rate</t>
  </si>
  <si>
    <t>Contract renewal probability</t>
  </si>
  <si>
    <t>New Sponsor Acquisition Rate</t>
  </si>
  <si>
    <t>Annual new sponsor rate</t>
  </si>
  <si>
    <t>VIK Percentage</t>
  </si>
  <si>
    <t>Value-in-kind proportion</t>
  </si>
  <si>
    <t>Naming Rights Term</t>
  </si>
  <si>
    <t>Naming rights contract length</t>
  </si>
  <si>
    <t>Founding Partner Term</t>
  </si>
  <si>
    <t>Founding partner contract length</t>
  </si>
  <si>
    <t>13. INSURANCE &amp; RISK (Limits not annual fees)</t>
  </si>
  <si>
    <t>Public Liability Coverage</t>
  </si>
  <si>
    <t>$20M coverage required</t>
  </si>
  <si>
    <t>Property Insurance</t>
  </si>
  <si>
    <t>Full replacement value</t>
  </si>
  <si>
    <t>Business Interruption</t>
  </si>
  <si>
    <t>BI coverage period</t>
  </si>
  <si>
    <t>Insurance Deductible</t>
  </si>
  <si>
    <t>Standard deductible</t>
  </si>
  <si>
    <t>Cyber Insurance</t>
  </si>
  <si>
    <t>Cyber liability coverage</t>
  </si>
  <si>
    <t>14. PERMITS &amp; REGULATORY</t>
  </si>
  <si>
    <t>Liquor License Annual</t>
  </si>
  <si>
    <t>Annual liquor license fee</t>
  </si>
  <si>
    <t>Council Permits</t>
  </si>
  <si>
    <t>Annual council fees</t>
  </si>
  <si>
    <t>Fire Safety Compliance</t>
  </si>
  <si>
    <t>Annual fire safety audit</t>
  </si>
  <si>
    <t>Music License (APRA/PPCA)</t>
  </si>
  <si>
    <t>Music performance rights</t>
  </si>
  <si>
    <t>Health &amp; Safety Audit</t>
  </si>
  <si>
    <t>Annual OH&amp;S compliance</t>
  </si>
  <si>
    <t>15. LEASE BREAK &amp; DEPOSIT</t>
  </si>
  <si>
    <t>Tenant Break Option Year</t>
  </si>
  <si>
    <t>year</t>
  </si>
  <si>
    <t>Year tenant can break lease</t>
  </si>
  <si>
    <t>Notice required for break</t>
  </si>
  <si>
    <t>Break Penalty</t>
  </si>
  <si>
    <t>months rent</t>
  </si>
  <si>
    <t>Penalty if break exercised</t>
  </si>
  <si>
    <t>Lease Renewal Options</t>
  </si>
  <si>
    <t>x5yr</t>
  </si>
  <si>
    <t>Number of 5-year renewals</t>
  </si>
  <si>
    <t>Deposit Return Date</t>
  </si>
  <si>
    <t>date</t>
  </si>
  <si>
    <t>End of Lease</t>
  </si>
  <si>
    <t>When deposit is returned</t>
  </si>
  <si>
    <t>Deposit Interest Rate</t>
  </si>
  <si>
    <t>Interest earned on deposit</t>
  </si>
  <si>
    <t>16. REVENUE TIMING &amp; RAMP-UP</t>
  </si>
  <si>
    <t>Year 1 Ramp-Up</t>
  </si>
  <si>
    <t>50% of steady state in Y1</t>
  </si>
  <si>
    <t>Year 2 Ramp-Up</t>
  </si>
  <si>
    <t>75% of steady state in Y2</t>
  </si>
  <si>
    <t>Year 3 Ramp-Up</t>
  </si>
  <si>
    <t>100% steady state from Y3</t>
  </si>
  <si>
    <t>Ticket Refund Rate</t>
  </si>
  <si>
    <t>Expected refund/cancellation</t>
  </si>
  <si>
    <t>No-Show Rate</t>
  </si>
  <si>
    <t>Ticket holders who dont attend</t>
  </si>
  <si>
    <t>17. SEASONALITY ADJUSTMENTS</t>
  </si>
  <si>
    <t>Summer Adjustment (Dec-Feb)</t>
  </si>
  <si>
    <t>+20% in summer months</t>
  </si>
  <si>
    <t>Autumn Adjustment (Mar-May)</t>
  </si>
  <si>
    <t>No adjustment in autumn</t>
  </si>
  <si>
    <t>Winter Adjustment (Jun-Aug)</t>
  </si>
  <si>
    <t>-15% in winter months</t>
  </si>
  <si>
    <t>Spring Adjustment (Sep-Nov)</t>
  </si>
  <si>
    <t>-5% in spring months</t>
  </si>
  <si>
    <t>18. DEBT COVENANTS</t>
  </si>
  <si>
    <t>Minimum DSCR Covenant</t>
  </si>
  <si>
    <t>Debt Service Coverage Ratio requirement</t>
  </si>
  <si>
    <t>Minimum ICR Covenant</t>
  </si>
  <si>
    <t>Interest Coverage Ratio requirement</t>
  </si>
  <si>
    <t>Maximum Net Debt/EBITDA allowed</t>
  </si>
  <si>
    <t>19. CALENDAR ASSUMPTIONS - EVENT DAYS</t>
  </si>
  <si>
    <t>Base Days (Ramp-Up)</t>
  </si>
  <si>
    <t>Steady State Days</t>
  </si>
  <si>
    <t>Large concerts</t>
  </si>
  <si>
    <t>Medium concerts</t>
  </si>
  <si>
    <t>Small/intimate shows</t>
  </si>
  <si>
    <t>Electronic/dance events</t>
  </si>
  <si>
    <t>Seated music events</t>
  </si>
  <si>
    <t>Meetings/conferences</t>
  </si>
  <si>
    <t>Live site activations</t>
  </si>
  <si>
    <t>Farmers market days</t>
  </si>
  <si>
    <t>Tech Partners (Electronics, Utilities, Solar)</t>
  </si>
  <si>
    <t>Partnership revenue - Tech Partners</t>
  </si>
  <si>
    <t>Total Event days</t>
  </si>
  <si>
    <t>20. CALENDAR ASSUMPTIONS - VENUE CAPACITIES</t>
  </si>
  <si>
    <t>Persons</t>
  </si>
  <si>
    <t>Calendar Assumptions</t>
  </si>
  <si>
    <t>Maximum venue capacity for large GA events</t>
  </si>
  <si>
    <t>Medium capacity configuration</t>
  </si>
  <si>
    <t>Small/intimate event configuration</t>
  </si>
  <si>
    <t>Electronic dance music events</t>
  </si>
  <si>
    <t>Seated concert configuration</t>
  </si>
  <si>
    <t>Comedy show configuration</t>
  </si>
  <si>
    <t>Sporting events</t>
  </si>
  <si>
    <t>Meetings, Incentives, Conferences, Exhibitions</t>
  </si>
  <si>
    <t>Live site broadcasts</t>
  </si>
  <si>
    <t>Weekly farmers market</t>
  </si>
  <si>
    <t>21. CALENDAR ASSUMPTIONS - AUX DAYS (BASE &amp; STEADY STATE)</t>
  </si>
  <si>
    <t>Base Aux Days</t>
  </si>
  <si>
    <t>SS Aux Days</t>
  </si>
  <si>
    <t>Aux days for large music events</t>
  </si>
  <si>
    <t>Aux days for medium music events</t>
  </si>
  <si>
    <t>Aux days for small music events</t>
  </si>
  <si>
    <t>Aux days for EDM events</t>
  </si>
  <si>
    <t>Aux days for seated music</t>
  </si>
  <si>
    <t>Aux days for comedy shows</t>
  </si>
  <si>
    <t>Aux days for sporting events</t>
  </si>
  <si>
    <t>Aux days for corporate events</t>
  </si>
  <si>
    <t>Aux days for community events</t>
  </si>
  <si>
    <t>Aux days for live site broadcasts</t>
  </si>
  <si>
    <t>Aux days for farmers market</t>
  </si>
  <si>
    <t>22. CALENDAR ASSUMPTIONS - GA TICKET OCCUPANCY RATES</t>
  </si>
  <si>
    <t>Avg Occupancy %</t>
  </si>
  <si>
    <t>80% average fill rate</t>
  </si>
  <si>
    <t>90% average fill rate</t>
  </si>
  <si>
    <t>70% average fill rate</t>
  </si>
  <si>
    <t>100% (free entry)</t>
  </si>
  <si>
    <t>23. CALENDAR ASSUMPTIONS - PREMIUM TICKETS CONFIG</t>
  </si>
  <si>
    <t>Premium Seats</t>
  </si>
  <si>
    <t>Avg Fill Rate %</t>
  </si>
  <si>
    <t>Premium/VIP seating</t>
  </si>
  <si>
    <t>No premium for corporate</t>
  </si>
  <si>
    <t>No premium for community</t>
  </si>
  <si>
    <t>No premium for live site</t>
  </si>
  <si>
    <t>No premium for market</t>
  </si>
  <si>
    <t>24. CALENDAR ASSUMPTIONS - EQUIPMENT HIRE (LED USAGE)</t>
  </si>
  <si>
    <t>LED Usage Rate %</t>
  </si>
  <si>
    <t>100% LED screen usage</t>
  </si>
  <si>
    <t>80% LED screen usage</t>
  </si>
  <si>
    <t>90% LED screen usage</t>
  </si>
  <si>
    <t>60% LED screen usage</t>
  </si>
  <si>
    <t>50% LED screen usage</t>
  </si>
  <si>
    <t>No LED usage</t>
  </si>
  <si>
    <t>25. COMMUNITY / RAINY DAY FUND</t>
  </si>
  <si>
    <t>Reserve mechanism to set aside funds per ticket for emergencies</t>
  </si>
  <si>
    <t>Community Fund Contribution per Ticket</t>
  </si>
  <si>
    <t>$/ticket</t>
  </si>
  <si>
    <t>Assumption</t>
  </si>
  <si>
    <t>Per-ticket contribution to rainy day fund; accumulates on BS, never drawn</t>
  </si>
  <si>
    <t>26. PROMOTER LOYALTY REBATE ASSUMPTIONS</t>
  </si>
  <si>
    <t>Loyalty rebate programme to reward high-volume promoters</t>
  </si>
  <si>
    <t>Rebate Trigger Threshold</t>
  </si>
  <si>
    <t>Cumulative venue hire required to activate rebate</t>
  </si>
  <si>
    <t>Retroactive Rebate Rate</t>
  </si>
  <si>
    <t>Refund applied to first threshold spend</t>
  </si>
  <si>
    <t>Ongoing Rebate Rate</t>
  </si>
  <si>
    <t>Rebate applied above threshold</t>
  </si>
  <si>
    <t>Estimated Promoters Triggering</t>
  </si>
  <si>
    <t>#</t>
  </si>
  <si>
    <t>Management</t>
  </si>
  <si>
    <t>Number of promoters expected to qualify (3-4)</t>
  </si>
  <si>
    <t>Average Shows per Triggering Promoter</t>
  </si>
  <si>
    <t>#/year</t>
  </si>
  <si>
    <t>Expected shows per year per triggering promoter</t>
  </si>
  <si>
    <t>Average VHA Fee per Event</t>
  </si>
  <si>
    <t>Calculated from VHA revenue / event days</t>
  </si>
  <si>
    <t>Notes:</t>
  </si>
  <si>
    <t>• Rebate only activates once cumulative venue hire exceeds AUD 160,000</t>
  </si>
  <si>
    <t>• The annual expense represents the incremental rebate earned each year, not the cumulative liability</t>
  </si>
  <si>
    <t>27. PROMOTER LOYALTY REBATE CALCULATIONS</t>
  </si>
  <si>
    <t>VHA Revenue (from P&amp;L)</t>
  </si>
  <si>
    <t>Event Days (from Calendar)</t>
  </si>
  <si>
    <t>Avg VHA Fee per Event</t>
  </si>
  <si>
    <t>Shows per Triggering Promoter (cumulative)</t>
  </si>
  <si>
    <t>Cumulative Venue Hire per Promoter</t>
  </si>
  <si>
    <t>Scales event days from Base to Steady State</t>
  </si>
  <si>
    <t>Retroactive Rebate per Promoter</t>
  </si>
  <si>
    <t>Ongoing Rebate per Promoter</t>
  </si>
  <si>
    <t>Reference: Total SS Days × Ramp-Up %</t>
  </si>
  <si>
    <t>Total Rebate Liability per Promoter (Cumulative)</t>
  </si>
  <si>
    <t>Number of Triggering Promoters</t>
  </si>
  <si>
    <t>From Section 19 (sum of all event types)</t>
  </si>
  <si>
    <t>Total Rebate Liability (Cumulative)</t>
  </si>
  <si>
    <t>Annual Incremental Rebate Expense</t>
  </si>
  <si>
    <t>From Scenario Manager - applies on top of ramp-up</t>
  </si>
  <si>
    <t>Rebate logic: 20% on first $160k, 25% on amounts above $160k per qualifying promoter</t>
  </si>
  <si>
    <t>28. BUSINESS RAMP-UP SCHEDULE</t>
  </si>
  <si>
    <t>Controls the scaling of event days during the venue's ramp-up period (Year 1 to Steady State)</t>
  </si>
  <si>
    <t>Ramp-Up Scale</t>
  </si>
  <si>
    <t>Calculated Event Days</t>
  </si>
  <si>
    <t>Steady State Total Days</t>
  </si>
  <si>
    <t>Scenario Days Multiplier</t>
  </si>
  <si>
    <t>29. CASH BURN ANALYSIS</t>
  </si>
  <si>
    <t>Pre-revenue cash burn analysis — tracks capital deployment and runway before operations begin</t>
  </si>
  <si>
    <t>Total Equity Raised</t>
  </si>
  <si>
    <t>Founder + PE equity</t>
  </si>
  <si>
    <t>Bank term loan</t>
  </si>
  <si>
    <t>Total Funding Available</t>
  </si>
  <si>
    <t>Total sources of funding</t>
  </si>
  <si>
    <t>From capex block</t>
  </si>
  <si>
    <t>Pre-Revenue Period</t>
  </si>
  <si>
    <t>FYs</t>
  </si>
  <si>
    <t>FY25–FY27</t>
  </si>
  <si>
    <t>Model start to first ops revenue</t>
  </si>
  <si>
    <t>Pre-Ops Capex Burn (FY26)</t>
  </si>
  <si>
    <t>Lease deposit / pre-construction capex</t>
  </si>
  <si>
    <t>Pre-Ops Capex Burn (FY27)</t>
  </si>
  <si>
    <t>Construction year capex</t>
  </si>
  <si>
    <t>Total Pre-Revenue Outflows</t>
  </si>
  <si>
    <t>Sum of all outflows FY25-FY27</t>
  </si>
  <si>
    <t>Construction Duration</t>
  </si>
  <si>
    <t>Approximate construction period</t>
  </si>
  <si>
    <t>Avg Monthly Burn (Construction)</t>
  </si>
  <si>
    <t>AUD/mth</t>
  </si>
  <si>
    <t>Average monthly cash deployment during construction</t>
  </si>
  <si>
    <t>Funding Surplus / (Shortfall) at Opening</t>
  </si>
  <si>
    <t>Excess funding available for working capital</t>
  </si>
  <si>
    <t>Cash at Construction Completion (FY27)</t>
  </si>
  <si>
    <t>Closing cash at end of construction year</t>
  </si>
  <si>
    <t>Cash at First Operating Year End (FY28)</t>
  </si>
  <si>
    <t>Closing cash at end of first operating year</t>
  </si>
  <si>
    <t>FY28 Monthly Avg Operating Burn</t>
  </si>
  <si>
    <t>Average monthly operating cost in Year 1</t>
  </si>
  <si>
    <t>Operating Cash Runway from FY28</t>
  </si>
  <si>
    <t>Months of operating expenses covered by closing cash</t>
  </si>
  <si>
    <t>First Year of Self-Sustaining Cash</t>
  </si>
  <si>
    <t>First FY where net cash flow is positive</t>
  </si>
  <si>
    <t>Cumulative Cash Position by Year</t>
  </si>
  <si>
    <t>Cumulative Net CF</t>
  </si>
  <si>
    <t>Cash Status</t>
  </si>
  <si>
    <t>Initial CAPEX</t>
  </si>
  <si>
    <t xml:space="preserve">Capex </t>
  </si>
  <si>
    <t xml:space="preserve">Consultants </t>
  </si>
  <si>
    <t xml:space="preserve">Security </t>
  </si>
  <si>
    <t>Finance</t>
  </si>
  <si>
    <t>Miscellaneous</t>
  </si>
  <si>
    <t>Total initial CAPEX</t>
  </si>
  <si>
    <t xml:space="preserve">Total initial CAPEX </t>
  </si>
  <si>
    <t xml:space="preserve">Toilets </t>
  </si>
  <si>
    <t>For a 5,000 cap venue with swing flexibility</t>
  </si>
  <si>
    <t>Pre-lease works</t>
  </si>
  <si>
    <t>7–8 toilet containers total, typically:</t>
  </si>
  <si>
    <t xml:space="preserve"> Design Development </t>
  </si>
  <si>
    <t xml:space="preserve"> Fabrication and Shipping </t>
  </si>
  <si>
    <t xml:space="preserve"> Handover, Construction, Mobisation and Commissioning Period </t>
  </si>
  <si>
    <t>5–6 × 40’ WC blocks</t>
  </si>
  <si>
    <t>CONSULTANTS</t>
  </si>
  <si>
    <t>P1 (Feb-25)</t>
  </si>
  <si>
    <t>P2 (Mar-25)</t>
  </si>
  <si>
    <t>P3 (Apr-25)</t>
  </si>
  <si>
    <t>P4 (May-25)</t>
  </si>
  <si>
    <t>P5 (Jun-25)</t>
  </si>
  <si>
    <t>P6 (Jul-25)</t>
  </si>
  <si>
    <t>P7 (Aug-25)</t>
  </si>
  <si>
    <t>P8 (Sep-25)</t>
  </si>
  <si>
    <t>P9 (Oct-25)</t>
  </si>
  <si>
    <t>P10 (Nov-25)</t>
  </si>
  <si>
    <t>P11 (Dec-25)</t>
  </si>
  <si>
    <t>P12 (Jan-26)</t>
  </si>
  <si>
    <t>P13 (Feb-26)</t>
  </si>
  <si>
    <t>Totals</t>
  </si>
  <si>
    <t>0–1 × 20’ WC block</t>
  </si>
  <si>
    <t xml:space="preserve">Project Management </t>
  </si>
  <si>
    <t>2–3 × 40’ urinal blocks</t>
  </si>
  <si>
    <t>Building Surveyor</t>
  </si>
  <si>
    <t>Design for ~55 WC cubicles total, ~40–60 urinals, 4–6 accessible distributed.</t>
  </si>
  <si>
    <t>Acoustics</t>
  </si>
  <si>
    <t>Fire</t>
  </si>
  <si>
    <t xml:space="preserve">Licenscing </t>
  </si>
  <si>
    <t xml:space="preserve">Crowd Dynamics </t>
  </si>
  <si>
    <t>Environmental</t>
  </si>
  <si>
    <t>Architecture and ID</t>
  </si>
  <si>
    <t>Transportation</t>
  </si>
  <si>
    <t xml:space="preserve">Total initial capex for Consultancts </t>
  </si>
  <si>
    <t>STRUCTURE</t>
  </si>
  <si>
    <t>Performance area</t>
  </si>
  <si>
    <t>Venue Façade (inc Lighting)</t>
  </si>
  <si>
    <t>Concessions</t>
  </si>
  <si>
    <t>BoH Dressing Rooms</t>
  </si>
  <si>
    <t>Venue Management Offices</t>
  </si>
  <si>
    <t xml:space="preserve">Premium </t>
  </si>
  <si>
    <t xml:space="preserve">First Aid </t>
  </si>
  <si>
    <t>Storage Block &amp; Workshop</t>
  </si>
  <si>
    <t>Total initial capex for structure</t>
  </si>
  <si>
    <t xml:space="preserve">CIVIL </t>
  </si>
  <si>
    <t xml:space="preserve">Sewer Connections </t>
  </si>
  <si>
    <t>Site base/hardstand                </t>
  </si>
  <si>
    <t xml:space="preserve">Internal External Fencing </t>
  </si>
  <si>
    <t>Bin wash</t>
  </si>
  <si>
    <t>External greenscape</t>
  </si>
  <si>
    <t>Internal and external floor</t>
  </si>
  <si>
    <t>Site drainage</t>
  </si>
  <si>
    <t>Total initial capex for Civil</t>
  </si>
  <si>
    <t>Induction platform (lease)</t>
  </si>
  <si>
    <t>Wifi (public and LAN)</t>
  </si>
  <si>
    <t xml:space="preserve">Website </t>
  </si>
  <si>
    <t>Socials (nil)</t>
  </si>
  <si>
    <t>Venue Management Venue Ops (lease)</t>
  </si>
  <si>
    <t>BMS</t>
  </si>
  <si>
    <t xml:space="preserve">Access Control </t>
  </si>
  <si>
    <t>Ticketing (Supplier)        </t>
  </si>
  <si>
    <t>Venue telephone system (VoIP)</t>
  </si>
  <si>
    <t xml:space="preserve">CMS </t>
  </si>
  <si>
    <t>Total initial capex for ICT</t>
  </si>
  <si>
    <t xml:space="preserve">Rigging </t>
  </si>
  <si>
    <t>3T motors and controllers</t>
  </si>
  <si>
    <t xml:space="preserve">Truss </t>
  </si>
  <si>
    <t xml:space="preserve">motor controllers </t>
  </si>
  <si>
    <t xml:space="preserve">Consoles </t>
  </si>
  <si>
    <t>House sound system</t>
  </si>
  <si>
    <t>Stage</t>
  </si>
  <si>
    <t>Barrier</t>
  </si>
  <si>
    <t>DB's</t>
  </si>
  <si>
    <t>Cables and fittings                </t>
  </si>
  <si>
    <t xml:space="preserve">Forklift </t>
  </si>
  <si>
    <t>MWEP</t>
  </si>
  <si>
    <t>Portable Scaffold tower         </t>
  </si>
  <si>
    <t>Reduced mode curtians</t>
  </si>
  <si>
    <t>Singage</t>
  </si>
  <si>
    <t>Retractables</t>
  </si>
  <si>
    <t xml:space="preserve">C&amp;B seating and tables </t>
  </si>
  <si>
    <t>Loose Seating</t>
  </si>
  <si>
    <t xml:space="preserve">Seat Numbering </t>
  </si>
  <si>
    <t>UV/Blacklights</t>
  </si>
  <si>
    <t>Staff office furiniture</t>
  </si>
  <si>
    <t>Storage shelving</t>
  </si>
  <si>
    <t>Internal LED Screen (TV's)</t>
  </si>
  <si>
    <t>Internal LED wall</t>
  </si>
  <si>
    <t>Outdoor LED wall</t>
  </si>
  <si>
    <t>Outdoor furniture</t>
  </si>
  <si>
    <t>Rain water detention tanks</t>
  </si>
  <si>
    <t>Solar roof</t>
  </si>
  <si>
    <t>Total initial capex for fitout</t>
  </si>
  <si>
    <t>SERVICES</t>
  </si>
  <si>
    <t>Mechanical plant                </t>
  </si>
  <si>
    <t>AHU's                 </t>
  </si>
  <si>
    <t>Fire system                 </t>
  </si>
  <si>
    <t>House Lighting</t>
  </si>
  <si>
    <t>Emergency Lighting</t>
  </si>
  <si>
    <t>UPS                 </t>
  </si>
  <si>
    <t>Accoustic treament</t>
  </si>
  <si>
    <t>Internal Distribution System and Boards</t>
  </si>
  <si>
    <t>External façade LED aspect lighting</t>
  </si>
  <si>
    <t xml:space="preserve">External Lighting </t>
  </si>
  <si>
    <t>Total initial capex for Services</t>
  </si>
  <si>
    <t>SECURITY</t>
  </si>
  <si>
    <t>CCTV</t>
  </si>
  <si>
    <t>Access Control</t>
  </si>
  <si>
    <t xml:space="preserve">Open Gates </t>
  </si>
  <si>
    <t xml:space="preserve">Total Security </t>
  </si>
  <si>
    <t>Legal</t>
  </si>
  <si>
    <t xml:space="preserve">Debt Serving </t>
  </si>
  <si>
    <t>MISCELLANEOUS</t>
  </si>
  <si>
    <t>Contingency for CAPEX</t>
  </si>
  <si>
    <t>SGD</t>
  </si>
  <si>
    <t>Total miscellaneous</t>
  </si>
  <si>
    <t>Total Capex (check)</t>
  </si>
  <si>
    <t>CAPEX CORKSCREW &amp; WIP SCHEDULE (Inputs-Driven)</t>
  </si>
  <si>
    <t>KEY INPUTS (All linked from Inputs tab)</t>
  </si>
  <si>
    <t>Construction Start Date</t>
  </si>
  <si>
    <t>Construction End Date</t>
  </si>
  <si>
    <t>Operations Start Date</t>
  </si>
  <si>
    <t>Lease Deposit Amount</t>
  </si>
  <si>
    <t>ANNUAL CAPEX CORKSCREW</t>
  </si>
  <si>
    <t>Line Item</t>
  </si>
  <si>
    <t>Period Start</t>
  </si>
  <si>
    <t>Period End</t>
  </si>
  <si>
    <t>Construction Flag</t>
  </si>
  <si>
    <t>Operations Flag</t>
  </si>
  <si>
    <t>WIP CORKSCREW</t>
  </si>
  <si>
    <t>Opening WIP</t>
  </si>
  <si>
    <t>Capex Spend</t>
  </si>
  <si>
    <t>Capitalized IDC</t>
  </si>
  <si>
    <t>Transfer to Operations</t>
  </si>
  <si>
    <t>Closing WIP</t>
  </si>
  <si>
    <t>LEASE DEPOSIT</t>
  </si>
  <si>
    <t>Lease Deposit Paid</t>
  </si>
  <si>
    <t>Lease Deposit on BS</t>
  </si>
  <si>
    <t>TOTAL CAPEX OUTFLOW</t>
  </si>
  <si>
    <t>FIXED ASSETS SCHEDULE</t>
  </si>
  <si>
    <t>Opening Fixed Assets</t>
  </si>
  <si>
    <t>Transfer from WIP</t>
  </si>
  <si>
    <t>Closing Fixed Assets</t>
  </si>
  <si>
    <t>Opening Accum Depr</t>
  </si>
  <si>
    <t>Depreciation Expense</t>
  </si>
  <si>
    <t>Closing Accum Depr</t>
  </si>
  <si>
    <t>Net PPE</t>
  </si>
  <si>
    <t>AUDIT CHECKS</t>
  </si>
  <si>
    <t>Total IDC Capitalized</t>
  </si>
  <si>
    <t>IDC Rate:</t>
  </si>
  <si>
    <t>Total Capex (excl Lease)</t>
  </si>
  <si>
    <t>vs Inputs:</t>
  </si>
  <si>
    <t>Total Capex (incl Lease)</t>
  </si>
  <si>
    <t>WIP at Model End</t>
  </si>
  <si>
    <t>Status:</t>
  </si>
  <si>
    <t>Note: All Capex values driven from Inputs tab. IDC capitalized per SMBC/CBA requirements.</t>
  </si>
  <si>
    <t>Profit &amp; Loss Statement</t>
  </si>
  <si>
    <t>FY START</t>
  </si>
  <si>
    <t>FY END</t>
  </si>
  <si>
    <t>Ops Flag</t>
  </si>
  <si>
    <t>Construciton Flag</t>
  </si>
  <si>
    <t>REVENUE</t>
  </si>
  <si>
    <t>Event day revenue</t>
  </si>
  <si>
    <t>Facilities Fee</t>
  </si>
  <si>
    <t>Non-event day revenue</t>
  </si>
  <si>
    <t>Sponorship</t>
  </si>
  <si>
    <t>COGS</t>
  </si>
  <si>
    <t>Food &amp; Beverage</t>
  </si>
  <si>
    <t>CoG F&amp;B (GA)</t>
  </si>
  <si>
    <t>CoG F&amp;B (Premium)</t>
  </si>
  <si>
    <t>Consumables</t>
  </si>
  <si>
    <t>F&amp;B RM</t>
  </si>
  <si>
    <t>Total COGS</t>
  </si>
  <si>
    <t>COGS Margin</t>
  </si>
  <si>
    <t>GROSS PROFIT</t>
  </si>
  <si>
    <t>GPM</t>
  </si>
  <si>
    <t>OPERATING EXPENSES</t>
  </si>
  <si>
    <t>Leased equipment</t>
  </si>
  <si>
    <t>Maintenance (R&amp;M)</t>
  </si>
  <si>
    <t>Dues and subscriptions</t>
  </si>
  <si>
    <t>Licenses</t>
  </si>
  <si>
    <t>Pest control</t>
  </si>
  <si>
    <t>Trash Removal/Cleaning (non-event day)</t>
  </si>
  <si>
    <t>Sponsorship Commission (15%)</t>
  </si>
  <si>
    <t>Sponsorship Activation (5%)</t>
  </si>
  <si>
    <t>Lease deposit</t>
  </si>
  <si>
    <t>Administrative / Legal / Other</t>
  </si>
  <si>
    <t>Bad debts</t>
  </si>
  <si>
    <t>Staff costs</t>
  </si>
  <si>
    <t>Salaries</t>
  </si>
  <si>
    <t>Oncosts</t>
  </si>
  <si>
    <t>Promoter Loyalty Rebates</t>
  </si>
  <si>
    <t>Total OPEX</t>
  </si>
  <si>
    <t>EBITDA Margin</t>
  </si>
  <si>
    <t>Pre-opening expenses (below EBITDA)</t>
  </si>
  <si>
    <t>Depreciation</t>
  </si>
  <si>
    <t>Net interest expense</t>
  </si>
  <si>
    <t>PBT</t>
  </si>
  <si>
    <t>Tax</t>
  </si>
  <si>
    <t>Income tax</t>
  </si>
  <si>
    <t>Tax loss carry-forward (end)</t>
  </si>
  <si>
    <t>Net profit after tax</t>
  </si>
  <si>
    <t>COMMUNITY FUND CALCULATION</t>
  </si>
  <si>
    <t>Total Tickets Sold</t>
  </si>
  <si>
    <t>Community Fund Allocation</t>
  </si>
  <si>
    <t>Transfer to Community Fund</t>
  </si>
  <si>
    <t>Dividends</t>
  </si>
  <si>
    <t>Principal</t>
  </si>
  <si>
    <t>Interest</t>
  </si>
  <si>
    <t>Balance Sheet</t>
  </si>
  <si>
    <t>FY Start</t>
  </si>
  <si>
    <t>FY End</t>
  </si>
  <si>
    <t>ASSETS</t>
  </si>
  <si>
    <t>Current Assets</t>
  </si>
  <si>
    <t>Cash</t>
  </si>
  <si>
    <t>Community Fund Reserve (Restricted Cash)</t>
  </si>
  <si>
    <t>Accounts receivable</t>
  </si>
  <si>
    <t>Inventory</t>
  </si>
  <si>
    <t>Total current assets</t>
  </si>
  <si>
    <t>Non-Current Assets</t>
  </si>
  <si>
    <t>Lease deposit / bond</t>
  </si>
  <si>
    <t>Work in Progress (WIP)</t>
  </si>
  <si>
    <t>Property, Plant &amp; Equipment (gross)</t>
  </si>
  <si>
    <t>Accumulated depreciation</t>
  </si>
  <si>
    <t>PPE (net)</t>
  </si>
  <si>
    <t>Total Non-Current Assets</t>
  </si>
  <si>
    <t>Total Assets</t>
  </si>
  <si>
    <t>NWC (AR + Inv – AP – Deferred rev)</t>
  </si>
  <si>
    <t>LIABILITIES</t>
  </si>
  <si>
    <t>Current Liabilities</t>
  </si>
  <si>
    <t>Accounts payable / accruals</t>
  </si>
  <si>
    <t>Borrowings – current</t>
  </si>
  <si>
    <t>Customer deposits / deferred revenue</t>
  </si>
  <si>
    <t>Non-Current Liabilities</t>
  </si>
  <si>
    <t>Borrowings – non-current</t>
  </si>
  <si>
    <t>Total Liabilities</t>
  </si>
  <si>
    <t>EQUITY</t>
  </si>
  <si>
    <t>Contributed equity</t>
  </si>
  <si>
    <t>Retained earnings</t>
  </si>
  <si>
    <t>TOTAL Equity</t>
  </si>
  <si>
    <t>Balance Check (Assets – Liabilities – Equity)</t>
  </si>
  <si>
    <t>Check Flag</t>
  </si>
  <si>
    <t>THREE-STATEMENT INTEGRATION CHECKS</t>
  </si>
  <si>
    <t>Check</t>
  </si>
  <si>
    <t>1. Balance Test (A - L - E)</t>
  </si>
  <si>
    <t>2. Cash Tie (BS vs CFS)</t>
  </si>
  <si>
    <t>3. PPE Tie (BS vs Capex Schedule)</t>
  </si>
  <si>
    <t>Overall Model Status</t>
  </si>
  <si>
    <t>MODEL BALANCED</t>
  </si>
  <si>
    <t xml:space="preserve">Annual Cashflow Waterfall (AUD) </t>
  </si>
  <si>
    <t>Opening Cash Balance</t>
  </si>
  <si>
    <t>INFLOWS</t>
  </si>
  <si>
    <t>Founder / Seed Equity Inflow</t>
  </si>
  <si>
    <t>PE Equity Inflow</t>
  </si>
  <si>
    <t>Additional Equity Tranches</t>
  </si>
  <si>
    <t>Total Equity Inflow</t>
  </si>
  <si>
    <t>Debt drawdowns – Bank (from Debt)</t>
  </si>
  <si>
    <t>PE Loan drawdowns – LEGACY INACTIVE</t>
  </si>
  <si>
    <t>Pre-op revenue (from Cashflow)</t>
  </si>
  <si>
    <t>Operational revenue (from P&amp;L)</t>
  </si>
  <si>
    <t>Total inflows</t>
  </si>
  <si>
    <t>Terminal value + bond return</t>
  </si>
  <si>
    <t>OUTFLOWS (shown as negatives)</t>
  </si>
  <si>
    <t>Capex (annualised from Construction Timeline)</t>
  </si>
  <si>
    <t>Pre-op expenses excl. capex (from Cashflow)</t>
  </si>
  <si>
    <t>Operating expenses (excl lease/outgoings) – from P&amp;L</t>
  </si>
  <si>
    <t>Lease payments (venue lease + outgoings) – from P&amp;L</t>
  </si>
  <si>
    <t>Debt service (principal + interest) – cash (from Debt)</t>
  </si>
  <si>
    <t>Taxes (from P&amp;L if modelled)</t>
  </si>
  <si>
    <t>Transfer to Community Fund (Restricted Cash)</t>
  </si>
  <si>
    <t>Total outflows</t>
  </si>
  <si>
    <t>Net working capital movement (ΔWC)</t>
  </si>
  <si>
    <t>Net Cash Flow</t>
  </si>
  <si>
    <t>Closing Cash Balance</t>
  </si>
  <si>
    <t>Cash tie (CFS - BS cash)</t>
  </si>
  <si>
    <t>Cash tie (Waterfall - BS cash)</t>
  </si>
  <si>
    <t>DRIVERS</t>
  </si>
  <si>
    <t>OPEX (cash, excl dep'n)</t>
  </si>
  <si>
    <t>BALANCES</t>
  </si>
  <si>
    <t>Accounts payable</t>
  </si>
  <si>
    <t>CASHFLOW IMPACT (positive = inflow)</t>
  </si>
  <si>
    <t>Change in AR</t>
  </si>
  <si>
    <t>Change in Inventory</t>
  </si>
  <si>
    <t>Change in AP</t>
  </si>
  <si>
    <t>Net working capital change</t>
  </si>
  <si>
    <t>KEY METRICS</t>
  </si>
  <si>
    <t>EBITDA (from P&amp;L)</t>
  </si>
  <si>
    <t>Debt Service (cash) – positive</t>
  </si>
  <si>
    <t>DSCR = CFADS / Debt Service</t>
  </si>
  <si>
    <t>Minimum Closing Cash (FY27–FY37)</t>
  </si>
  <si>
    <t>Funding Surplus / (Shortfall)</t>
  </si>
  <si>
    <t>Funding Status</t>
  </si>
  <si>
    <t>Total current borrowings (next 12 months)</t>
  </si>
  <si>
    <t>Total non-current borrowings</t>
  </si>
  <si>
    <t>Equity CF</t>
  </si>
  <si>
    <t>EQUITY SCHEDULE</t>
  </si>
  <si>
    <t>Opening Contributed Equity</t>
  </si>
  <si>
    <t>Founder / Seed Equity Injected</t>
  </si>
  <si>
    <t>PE Equity Injected</t>
  </si>
  <si>
    <t>Other Equity Injected</t>
  </si>
  <si>
    <t>Total New Equity</t>
  </si>
  <si>
    <t>Distributions / Buybacks</t>
  </si>
  <si>
    <t>Closing Contributed Equity</t>
  </si>
  <si>
    <t>Cumulative Contributed Equity</t>
  </si>
  <si>
    <t>Inputs (linked from Summary)</t>
  </si>
  <si>
    <t>Term Debt</t>
  </si>
  <si>
    <t>Draw year</t>
  </si>
  <si>
    <t>Start flag</t>
  </si>
  <si>
    <t>End flag</t>
  </si>
  <si>
    <t>Opening balance</t>
  </si>
  <si>
    <t>Repayment type</t>
  </si>
  <si>
    <t>Drawdown</t>
  </si>
  <si>
    <t>Principal repayment</t>
  </si>
  <si>
    <t>Interest paid</t>
  </si>
  <si>
    <t>Total debt service</t>
  </si>
  <si>
    <t>Closing balance</t>
  </si>
  <si>
    <t>Current portion (next 12 months)</t>
  </si>
  <si>
    <t>Non-current portion</t>
  </si>
  <si>
    <t xml:space="preserve">  </t>
  </si>
  <si>
    <t>Private Equity Debt — LEGACY INACTIVE (PE is now equity)</t>
  </si>
  <si>
    <t>Drawdown (PE)</t>
  </si>
  <si>
    <t>Principal repayment (PE) – output</t>
  </si>
  <si>
    <t>Private facility loan (PE) schedule</t>
  </si>
  <si>
    <t>Opening balance (PE)</t>
  </si>
  <si>
    <t>Total borrowings (closing balance)</t>
  </si>
  <si>
    <t>Current portion – PE (next 12 months)</t>
  </si>
  <si>
    <t>Drawdowns – total</t>
  </si>
  <si>
    <t>Principal repaid – total</t>
  </si>
  <si>
    <t>Interest paid – total</t>
  </si>
  <si>
    <t>Debt service (principal + interest) – total (cash)</t>
  </si>
  <si>
    <t>REVENUE ASSUMPTIONS</t>
  </si>
  <si>
    <t xml:space="preserve">VHA Fee </t>
  </si>
  <si>
    <t xml:space="preserve">Capacity </t>
  </si>
  <si>
    <t xml:space="preserve">Music GA </t>
  </si>
  <si>
    <t xml:space="preserve">EDM </t>
  </si>
  <si>
    <t xml:space="preserve">Live Site </t>
  </si>
  <si>
    <t xml:space="preserve">Farmers Market </t>
  </si>
  <si>
    <t>AVERAGE TICKET PRICE</t>
  </si>
  <si>
    <t>FY37</t>
  </si>
  <si>
    <t>FLAT FEE PER EVENT DAY</t>
  </si>
  <si>
    <t>ANNUAL FLAT FEE</t>
  </si>
  <si>
    <t>ANNUAL VHA</t>
  </si>
  <si>
    <t>PREMIUM SEATING</t>
  </si>
  <si>
    <t>Spend P/H</t>
  </si>
  <si>
    <t>PREMIUM F&amp;B PA</t>
  </si>
  <si>
    <t>PARTNERSHIP REVENUE</t>
  </si>
  <si>
    <t xml:space="preserve">Year 1 </t>
  </si>
  <si>
    <t>Naming Rights</t>
  </si>
  <si>
    <t>Ride Share</t>
  </si>
  <si>
    <t>Tech Partners (elctronics, untilities, solar, etc)</t>
  </si>
  <si>
    <t>Supply Rights (Grab and Go Food)</t>
  </si>
  <si>
    <t>Supply Rights (Beer, Wine, Spirits, etc)</t>
  </si>
  <si>
    <t>Supply Rights (Non Alcoholic)</t>
  </si>
  <si>
    <t>Supply Rights (Emergy Drinks)</t>
  </si>
  <si>
    <t xml:space="preserve">Super Sign LED </t>
  </si>
  <si>
    <t>Internal Advertising sales</t>
  </si>
  <si>
    <t>Expense Assumptions</t>
  </si>
  <si>
    <t>ID</t>
  </si>
  <si>
    <t xml:space="preserve">Number </t>
  </si>
  <si>
    <t>Salary PA</t>
  </si>
  <si>
    <t xml:space="preserve">On Costs </t>
  </si>
  <si>
    <t xml:space="preserve">Mobilisation </t>
  </si>
  <si>
    <t>Pre Operational</t>
  </si>
  <si>
    <t xml:space="preserve">General Manager </t>
  </si>
  <si>
    <t xml:space="preserve">Events Manager </t>
  </si>
  <si>
    <t xml:space="preserve">Marketing &amp; Digital Manager </t>
  </si>
  <si>
    <t xml:space="preserve">Finance Manager </t>
  </si>
  <si>
    <t>FY38</t>
  </si>
  <si>
    <t>CY</t>
  </si>
  <si>
    <t xml:space="preserve">Salaries </t>
  </si>
  <si>
    <t xml:space="preserve">On Costs (Super, payroll tax, recruitment, long service accrual) </t>
  </si>
  <si>
    <t>Forklifts</t>
  </si>
  <si>
    <t>MWEPS</t>
  </si>
  <si>
    <t>LED Screen</t>
  </si>
  <si>
    <t>Sound System</t>
  </si>
  <si>
    <t>Lease</t>
  </si>
  <si>
    <t xml:space="preserve">Lease </t>
  </si>
  <si>
    <t>Annual Venue Lease</t>
  </si>
  <si>
    <t xml:space="preserve">Common area charges </t>
  </si>
  <si>
    <t xml:space="preserve">Lease deposit </t>
  </si>
  <si>
    <t>R&amp;M</t>
  </si>
  <si>
    <t xml:space="preserve">Electrical </t>
  </si>
  <si>
    <t>Plumbing</t>
  </si>
  <si>
    <t>Mechanical</t>
  </si>
  <si>
    <t xml:space="preserve">Core Cleaning </t>
  </si>
  <si>
    <t xml:space="preserve">Waste </t>
  </si>
  <si>
    <t>Female Hygiene Bin</t>
  </si>
  <si>
    <t>Washroom consumables</t>
  </si>
  <si>
    <t>EVENT DAYS PER YEAR</t>
  </si>
  <si>
    <t>SS %</t>
  </si>
  <si>
    <t>Financial Year</t>
  </si>
  <si>
    <t>AUX DAYS PER YEAR</t>
  </si>
  <si>
    <t>Calendar Year</t>
  </si>
  <si>
    <t>Annual Aux Days</t>
  </si>
  <si>
    <t>Days PA &lt; 365</t>
  </si>
  <si>
    <t>GA TICKET SALES PA</t>
  </si>
  <si>
    <t xml:space="preserve">Ave </t>
  </si>
  <si>
    <t xml:space="preserve">Annual Attendance </t>
  </si>
  <si>
    <t xml:space="preserve">Annual GA Sales </t>
  </si>
  <si>
    <t xml:space="preserve">PREMIUM TICKETS </t>
  </si>
  <si>
    <t>Premium</t>
  </si>
  <si>
    <t xml:space="preserve">4 BOXES OF 20 SEATS </t>
  </si>
  <si>
    <t>1 BOX GIVEN TO PROMOTER - NO TICKET SALES REVENUE</t>
  </si>
  <si>
    <t xml:space="preserve">1 BOX FOR HOUSE - NO TICKET SALES REVENUE </t>
  </si>
  <si>
    <t xml:space="preserve">2 BOXES - ATTRACT TIXKET SALES REVENUE </t>
  </si>
  <si>
    <t>EQUIPMENT HIRE</t>
  </si>
  <si>
    <t>LED</t>
  </si>
  <si>
    <t>Total Equipment Hire Fee</t>
  </si>
  <si>
    <t>Asset</t>
  </si>
  <si>
    <t>Potential VIK Components</t>
  </si>
  <si>
    <t>Annual Value Range</t>
  </si>
  <si>
    <t>VIK</t>
  </si>
  <si>
    <t>Total Potential</t>
  </si>
  <si>
    <t>Tier 1 – Naming Rights</t>
  </si>
  <si>
    <t>Venue Naming</t>
  </si>
  <si>
    <t>Media support for launch campaign</t>
  </si>
  <si>
    <t>$500k–$1.5m</t>
  </si>
  <si>
    <t>High</t>
  </si>
  <si>
    <t>$500k–$1.5m+</t>
  </si>
  <si>
    <t>External Signage</t>
  </si>
  <si>
    <t>Fabrication contribution</t>
  </si>
  <si>
    <t>Founding Partners</t>
  </si>
  <si>
    <t>$450k–$1.5m</t>
  </si>
  <si>
    <t>Moderate</t>
  </si>
  <si>
    <t>Motorway LED Priority</t>
  </si>
  <si>
    <t>Co-funded media buy amplification</t>
  </si>
  <si>
    <t>Alcoholic</t>
  </si>
  <si>
    <t>$250k–$500k</t>
  </si>
  <si>
    <t>$150k–$350k</t>
  </si>
  <si>
    <t>$400k–$850k</t>
  </si>
  <si>
    <t>VIP Suite Access</t>
  </si>
  <si>
    <t>Corporate hosting support</t>
  </si>
  <si>
    <t>Non-Alcoholic</t>
  </si>
  <si>
    <t>$150k–$300k</t>
  </si>
  <si>
    <t>$150k–$400k</t>
  </si>
  <si>
    <t>$300k–$600k</t>
  </si>
  <si>
    <t>2 Free Event Days</t>
  </si>
  <si>
    <t>Event production support</t>
  </si>
  <si>
    <t>Energy</t>
  </si>
  <si>
    <t>Patron Data Reporting</t>
  </si>
  <si>
    <t>Data analytics tools / dashboard integration</t>
  </si>
  <si>
    <t>$100k–$250k</t>
  </si>
  <si>
    <t>Case Studies</t>
  </si>
  <si>
    <t>Tech / Payments</t>
  </si>
  <si>
    <t>Telco</t>
  </si>
  <si>
    <t>$200k–$500k</t>
  </si>
  <si>
    <t>ESG</t>
  </si>
  <si>
    <t>$75k–$200k</t>
  </si>
  <si>
    <t>Tier 2 – Founding Partners</t>
  </si>
  <si>
    <t>Category Exclusivity</t>
  </si>
  <si>
    <t>Cross-promotional campaigns</t>
  </si>
  <si>
    <t>LED Rotational Exposure</t>
  </si>
  <si>
    <t>Media inventory swap</t>
  </si>
  <si>
    <t>Customer engagement programs</t>
  </si>
  <si>
    <t>2 Free Hire Days</t>
  </si>
  <si>
    <t>Product launch infrastructure</t>
  </si>
  <si>
    <t>Premium Space (DR 2)</t>
  </si>
  <si>
    <t>Patron Data Insights</t>
  </si>
  <si>
    <t>Co-branded reporting tools</t>
  </si>
  <si>
    <t>Length (m)</t>
  </si>
  <si>
    <t>Width (m)</t>
  </si>
  <si>
    <t>Height (m)</t>
  </si>
  <si>
    <t>Area m2</t>
  </si>
  <si>
    <t xml:space="preserve">40' container </t>
  </si>
  <si>
    <t xml:space="preserve">20' container </t>
  </si>
  <si>
    <t xml:space="preserve">No Risers </t>
  </si>
  <si>
    <t>Alcoholic Beverage Partner</t>
  </si>
  <si>
    <t>Pouring Rights</t>
  </si>
  <si>
    <t>Bar counters &amp; tap systems</t>
  </si>
  <si>
    <t>Premium Box</t>
  </si>
  <si>
    <t xml:space="preserve">Patrons </t>
  </si>
  <si>
    <t xml:space="preserve">Run </t>
  </si>
  <si>
    <t>Bar Branding</t>
  </si>
  <si>
    <t>Event-night activation staff</t>
  </si>
  <si>
    <t xml:space="preserve">Seating Row </t>
  </si>
  <si>
    <t>DR</t>
  </si>
  <si>
    <t>LED Exposure</t>
  </si>
  <si>
    <t>POS hardware</t>
  </si>
  <si>
    <t xml:space="preserve">Total Premium </t>
  </si>
  <si>
    <t xml:space="preserve">Area required </t>
  </si>
  <si>
    <t>Activation Rights</t>
  </si>
  <si>
    <t>Distributor launch support</t>
  </si>
  <si>
    <t xml:space="preserve">Fridges </t>
  </si>
  <si>
    <t>Staff training programs</t>
  </si>
  <si>
    <t>Non-Alcoholic Beverage Partner</t>
  </si>
  <si>
    <t>Post-mix system installation</t>
  </si>
  <si>
    <t>Refrigeration</t>
  </si>
  <si>
    <t>Fridge fleet</t>
  </si>
  <si>
    <t>Sampling teams</t>
  </si>
  <si>
    <t>Sustainability</t>
  </si>
  <si>
    <t>Recycling infrastructure</t>
  </si>
  <si>
    <t>Activation</t>
  </si>
  <si>
    <t>Event sampling support</t>
  </si>
  <si>
    <t>Refrigeration units</t>
  </si>
  <si>
    <t>Branded POS materials</t>
  </si>
  <si>
    <t>Syrup supply credits</t>
  </si>
  <si>
    <t>Energy Drink (Optional Carve-Out)</t>
  </si>
  <si>
    <t>On-site activation teams</t>
  </si>
  <si>
    <t>Event-night build-outs</t>
  </si>
  <si>
    <t>Sampling Rights</t>
  </si>
  <si>
    <t>Social content production</t>
  </si>
  <si>
    <t>POS Branding</t>
  </si>
  <si>
    <t>Payment terminals</t>
  </si>
  <si>
    <t>Tech / Payments Partner</t>
  </si>
  <si>
    <t>Infrastructure</t>
  </si>
  <si>
    <t>POS system supply</t>
  </si>
  <si>
    <t>Data Collaboration</t>
  </si>
  <si>
    <t>Reporting platform</t>
  </si>
  <si>
    <t>Innovation showcase support</t>
  </si>
  <si>
    <t>Wi-Fi upgrades</t>
  </si>
  <si>
    <t>Wi-Fi Naming Rights</t>
  </si>
  <si>
    <t>Wi-Fi infrastructure build</t>
  </si>
  <si>
    <t>Telco / Connectivity Partner</t>
  </si>
  <si>
    <t>DAS / 5G Integration</t>
  </si>
  <si>
    <t>Hardware installation</t>
  </si>
  <si>
    <t>Network upgrade support</t>
  </si>
  <si>
    <t>Data Insights</t>
  </si>
  <si>
    <t>Connectivity analytics tools</t>
  </si>
  <si>
    <t>Style legend</t>
  </si>
  <si>
    <t>Style</t>
  </si>
  <si>
    <t>Design</t>
  </si>
  <si>
    <t>Comment</t>
  </si>
  <si>
    <t>Header1</t>
  </si>
  <si>
    <t>Header2</t>
  </si>
  <si>
    <t>Header3</t>
  </si>
  <si>
    <t>A user driven input</t>
  </si>
  <si>
    <t>Technical_Input</t>
  </si>
  <si>
    <t>A model input that should not be changed to protect the integrity of the model</t>
  </si>
  <si>
    <t>Empty_Cell</t>
  </si>
  <si>
    <t>A cell that is left intentionally blank to avoid the risk of error</t>
  </si>
  <si>
    <t>InSheet</t>
  </si>
  <si>
    <t>A link within the worksheet or an interim calculation step</t>
  </si>
  <si>
    <t xml:space="preserve">OffSheet </t>
  </si>
  <si>
    <t>A link to another worksheet to minimise the number of inter-worksheet references</t>
  </si>
  <si>
    <t>Line_SubTotal</t>
  </si>
  <si>
    <t>The sum of elements in the table immediately above</t>
  </si>
  <si>
    <t>Line_Total</t>
  </si>
  <si>
    <t xml:space="preserve">The sum of elements above, including sub-totals </t>
  </si>
  <si>
    <t>Unit / Info</t>
  </si>
  <si>
    <t>USD millions</t>
  </si>
  <si>
    <t>Explanatory text showing helpful information and the units/dimensions of the calculations</t>
  </si>
  <si>
    <t>Line_Summary</t>
  </si>
  <si>
    <t>The SUM() of everything to the right</t>
  </si>
  <si>
    <t>Table_Header</t>
  </si>
  <si>
    <t>Qtr</t>
  </si>
  <si>
    <t xml:space="preserve">Header of a table or of an off-sheet reference </t>
  </si>
  <si>
    <t>Flag</t>
  </si>
  <si>
    <t>Binary flag - set up as a 'Style' and updated with conditional formatting</t>
  </si>
  <si>
    <t>Line_ClosingBal</t>
  </si>
  <si>
    <t>The closing balance of a control account</t>
  </si>
  <si>
    <t>Task</t>
  </si>
  <si>
    <t>Start</t>
  </si>
  <si>
    <t>End</t>
  </si>
  <si>
    <t>Phase</t>
  </si>
  <si>
    <t>Feb'25</t>
  </si>
  <si>
    <t>Mar</t>
  </si>
  <si>
    <t>Apr</t>
  </si>
  <si>
    <t>May</t>
  </si>
  <si>
    <t>Jun</t>
  </si>
  <si>
    <t>Jul</t>
  </si>
  <si>
    <t>Aug</t>
  </si>
  <si>
    <t>Sep</t>
  </si>
  <si>
    <t>Oct</t>
  </si>
  <si>
    <t>Nov</t>
  </si>
  <si>
    <t>Dec</t>
  </si>
  <si>
    <t>Jan'26</t>
  </si>
  <si>
    <t>Feb</t>
  </si>
  <si>
    <t>Jan'27</t>
  </si>
  <si>
    <t>Planning</t>
  </si>
  <si>
    <t>Design Development</t>
  </si>
  <si>
    <t>Pre-Lease</t>
  </si>
  <si>
    <t>Fabrication</t>
  </si>
  <si>
    <t>Construction</t>
  </si>
  <si>
    <t>Possession/Handover</t>
  </si>
  <si>
    <t>Commissioning</t>
  </si>
  <si>
    <t>Operations</t>
  </si>
  <si>
    <t>▼ Today</t>
  </si>
  <si>
    <t>LEGEND</t>
  </si>
  <si>
    <t>●  Planning</t>
  </si>
  <si>
    <t>●  Pre-Lease</t>
  </si>
  <si>
    <t>●  Construction</t>
  </si>
  <si>
    <t>●  Commissioning</t>
  </si>
  <si>
    <t>●  Operations</t>
  </si>
  <si>
    <t>KEY DATES</t>
  </si>
  <si>
    <t>Days to Lease:</t>
  </si>
  <si>
    <t>Days to Ops:</t>
  </si>
  <si>
    <t>Timing</t>
  </si>
  <si>
    <t>Monthly Timeline (drives phasing)</t>
  </si>
  <si>
    <t>Month Start</t>
  </si>
  <si>
    <t>Month End</t>
  </si>
  <si>
    <t>FY End Year</t>
  </si>
  <si>
    <t>Lease Signed Flag</t>
  </si>
  <si>
    <t>Major Capex Paid Flag (Q2 2026)</t>
  </si>
  <si>
    <t>Possession Flag</t>
  </si>
  <si>
    <t>Assembly Flag (Mar–Jun 2027)</t>
  </si>
  <si>
    <t>Commissioning Flag (May–Jun 2027)</t>
  </si>
  <si>
    <t>Remaining Capex Paid Flag (Apr–May 2027)</t>
  </si>
  <si>
    <t>Seasonality Factor</t>
  </si>
  <si>
    <t>Rent-free Flag (lease)</t>
  </si>
  <si>
    <t>Lease Cash Rent</t>
  </si>
  <si>
    <t>Lease Cash Outgoings</t>
  </si>
  <si>
    <t>Total Lease Cash</t>
  </si>
  <si>
    <t>DISCLAIMER &amp; IMPORTANT NOTICES</t>
  </si>
  <si>
    <t>Port Melbourne Live House - Financial Model</t>
  </si>
  <si>
    <t>Version: V35 | Date: 04/03/2026</t>
  </si>
  <si>
    <t>1. PURPOSE OF THIS MODEL</t>
  </si>
  <si>
    <t>This financial model (the "Model") has been prepared solely for the purpose of providing indicative financial analysis and projections for the Port Melbourne Live House project. The Model is intended to assist in preliminary investment evaluation, strategic planning, and discussions with potential investors, lenders, and stakeholders. It is not intended to serve as the sole basis for any investment decision.</t>
  </si>
  <si>
    <t>2. CONFIDENTIALITY</t>
  </si>
  <si>
    <t>This Model and all information contained herein is strictly confidential and proprietary. It is provided to the recipient on the express understanding that it will be used only for the purpose for which it has been provided. The recipient agrees not to copy, reproduce, distribute, or disclose this Model or any of its contents to any third party without the prior written consent of the authors. Unauthorised use or disclosure may result in legal action.</t>
  </si>
  <si>
    <t>3. NO WARRANTY OR REPRESENTATION</t>
  </si>
  <si>
    <t>While every effort has been made to ensure the accuracy and completeness of the information contained in this Model, no warranty, express or implied, is given as to its accuracy, completeness, or fitness for any particular purpose. The authors, their affiliates, directors, officers, employees, and agents make no representation or warranty, and accept no responsibility or liability, for the accuracy or completeness of the information contained herein. All projections, estimates, and forward-looking statements are based on assumptions that may or may not prove to be correct.</t>
  </si>
  <si>
    <t>4. FORWARD-LOOKING STATEMENTS</t>
  </si>
  <si>
    <t>This Model contains forward-looking statements including, but not limited to, projections of revenue, expenses, capital expenditure, cash flows, and returns. These statements are based on current expectations, estimates, and assumptions about future events and conditions. Actual results may differ materially from those projected due to various factors including, but not limited to: changes in market conditions, regulatory changes, construction delays, cost overruns, changes in interest rates, economic downturns, competitive pressures, and other risks and uncertainties inherent in the entertainment and real estate industries.</t>
  </si>
  <si>
    <t>5. KEY ASSUMPTIONS &amp; LIMITATIONS</t>
  </si>
  <si>
    <t>The projections in this Model are based on numerous assumptions including, but not limited to:
• Event frequency and attendance rates achieving projected levels
• Ticket prices, F&amp;B revenue, and sponsorship income meeting expectations
• Construction costs remaining within budget and timeline
• Debt financing being secured on assumed terms
• Operating costs escalating at assumed inflation rates
• No material adverse changes in the regulatory environment
• Continued demand for live entertainment in the Melbourne market
Recipients should conduct their own independent due diligence and analysis before making any investment decision.</t>
  </si>
  <si>
    <t>6. NOT FINANCIAL, LEGAL, OR TAX ADVICE</t>
  </si>
  <si>
    <t>This Model does not constitute financial, legal, tax, or investment advice. The information provided is general in nature and does not take into account the specific investment objectives, financial situation, or particular needs of any recipient. Recipients should seek independent professional advice from qualified financial advisors, legal counsel, and tax specialists before making any investment decision. Past performance is not indicative of future results.</t>
  </si>
  <si>
    <t>7. MODEL INTEGRITY &amp; AUDIT STATUS</t>
  </si>
  <si>
    <t>This Model has been constructed following best practice financial modelling standards. The three-statement model (P&amp;L, Balance Sheet, Cash Flow) is fully integrated with automatic balance checks. However, this Model has NOT been independently audited or verified by a third party. Users should satisfy themselves as to the accuracy of all calculations and the appropriateness of all assumptions before relying on any outputs.</t>
  </si>
  <si>
    <t>8. LIMITATION OF LIABILITY</t>
  </si>
  <si>
    <t>To the maximum extent permitted by law, the authors and their affiliates exclude all liability for any loss, damage, cost, or expense (whether direct, indirect, consequential, or otherwise) arising from or in connection with the use of, or reliance on, this Model or any information contained herein. This limitation applies regardless of whether such loss or damage arises in contract, tort (including negligence), equity, or otherwise.</t>
  </si>
  <si>
    <t>9. INTELLECTUAL PROPERTY</t>
  </si>
  <si>
    <t>All intellectual property rights in this Model, including but not limited to copyright, design rights, and proprietary methodologies, remain the exclusive property of the authors. No license or right is granted to the recipient to use, modify, or create derivative works from this Model except as expressly authorised in writing.</t>
  </si>
  <si>
    <t>10. GOVERNING LAW</t>
  </si>
  <si>
    <t>This disclaimer and any dispute arising out of or in connection with this Model shall be governed by and construed in accordance with the laws of the State of Victoria, Australia. The parties submit to the exclusive jurisdiction of the courts of Victoria.</t>
  </si>
  <si>
    <t>ACKNOWLEDGEMENT</t>
  </si>
  <si>
    <t>By accessing, using, or relying on this Model, the recipient acknowledges that they have read, understood, and agreed to be bound by the terms of this disclaimer.</t>
  </si>
  <si>
    <t>─────────────────────────────────────────────────────────────────────────────────────</t>
  </si>
  <si>
    <t>For queries regarding this Model, please contact the Project Finance team.</t>
  </si>
  <si>
    <t>P&amp;L (AUD)</t>
  </si>
  <si>
    <t> </t>
  </si>
  <si>
    <t>Handover, Construction, Mobisation and Commissioning  Period</t>
  </si>
  <si>
    <t>Pre Operational Funding</t>
  </si>
  <si>
    <t>P1</t>
  </si>
  <si>
    <t>P2</t>
  </si>
  <si>
    <t>P3</t>
  </si>
  <si>
    <t>P4</t>
  </si>
  <si>
    <t>P5</t>
  </si>
  <si>
    <t>P6</t>
  </si>
  <si>
    <t>P7</t>
  </si>
  <si>
    <t>P8</t>
  </si>
  <si>
    <t>P9</t>
  </si>
  <si>
    <t>P10</t>
  </si>
  <si>
    <t>P11</t>
  </si>
  <si>
    <t>P12</t>
  </si>
  <si>
    <t>P13</t>
  </si>
  <si>
    <t>Funds held in escrow</t>
  </si>
  <si>
    <t>Founder</t>
  </si>
  <si>
    <t>$ -</t>
  </si>
  <si>
    <t>Industry Partners</t>
  </si>
  <si>
    <t>PE Investment</t>
  </si>
  <si>
    <t>Equity Total</t>
  </si>
  <si>
    <t>Debt</t>
  </si>
  <si>
    <t>Bank</t>
  </si>
  <si>
    <t>Debt Total</t>
  </si>
  <si>
    <t>Pre Operational Revenue</t>
  </si>
  <si>
    <t>Partnership Deposits</t>
  </si>
  <si>
    <t>Partnership Q3 fees</t>
  </si>
  <si>
    <t>Event Deposits</t>
  </si>
  <si>
    <t>Digital Advertising</t>
  </si>
  <si>
    <t>Pre-Operational Totals</t>
  </si>
  <si>
    <t>Funding Balance</t>
  </si>
  <si>
    <t>EXPENSES</t>
  </si>
  <si>
    <t>Deposit</t>
  </si>
  <si>
    <t>LL Outgoing</t>
  </si>
  <si>
    <t>Monthly Fee</t>
  </si>
  <si>
    <t>Rent Free Period (no rent due in this period)</t>
  </si>
  <si>
    <t>Capex</t>
  </si>
  <si>
    <t>Debt Serving</t>
  </si>
  <si>
    <t>FTE's</t>
  </si>
  <si>
    <t>F&amp;B CoG</t>
  </si>
  <si>
    <t>Total Pre Operational Expenses</t>
  </si>
  <si>
    <t>PORT MELBOURNE LIVE HOUSE — REMEDIATION REPORT</t>
  </si>
  <si>
    <t>Full Model Audit + Remediation Actions Performed</t>
  </si>
  <si>
    <t>Date: Model Audit with Active Remediation</t>
  </si>
  <si>
    <t>═══════════════════════════════════════════</t>
  </si>
  <si>
    <t>EXECUTIVE SUMMARY</t>
  </si>
  <si>
    <t>Pre-Audit Score</t>
  </si>
  <si>
    <t>Post-Remediation Score</t>
  </si>
  <si>
    <t>Architecture</t>
  </si>
  <si>
    <t>Improved</t>
  </si>
  <si>
    <t>Inputs Integrity</t>
  </si>
  <si>
    <t>Calculations / Logic</t>
  </si>
  <si>
    <t>SIGNIFICANT FIX</t>
  </si>
  <si>
    <t>Financial Statements (3-stmt)</t>
  </si>
  <si>
    <t>Debt Logic</t>
  </si>
  <si>
    <t>Model Controls</t>
  </si>
  <si>
    <t>Outputs / Dashboard</t>
  </si>
  <si>
    <t>Investor Usability</t>
  </si>
  <si>
    <t>OVERALL COMPLETION: BEFORE</t>
  </si>
  <si>
    <t>AFTER</t>
  </si>
  <si>
    <t>REMEDIATION ACTIONS COMPLETED</t>
  </si>
  <si>
    <t>FIX #</t>
  </si>
  <si>
    <t>Location</t>
  </si>
  <si>
    <t>Impact</t>
  </si>
  <si>
    <t>DSCR formulas replaced — were HARD-CODED values (0.57x, 0.28x, 0.35x, 0.49x) now FORMULA-DRIVEN (1.18x, 1.18x, 1.30x, 1.45x)</t>
  </si>
  <si>
    <t>P&amp;L K106:N106</t>
  </si>
  <si>
    <t>CRITICAL — old values showed sub-1x DSCR which would FAIL credit committee. Actual DSCR exceeds 1x.</t>
  </si>
  <si>
    <t>Cashflow Accounts Payable formula fixed — was =O28 (Revenue!) now correct AP days calc</t>
  </si>
  <si>
    <t>Cashflow O50</t>
  </si>
  <si>
    <t>HIGH — was pulling Revenue ($20M) into AP balance instead of AP days calculation</t>
  </si>
  <si>
    <t>Balance Sheet #NAME? error fixed — Unicode characters in SUMPRODUCT removed</t>
  </si>
  <si>
    <t>Balance Sheet F56</t>
  </si>
  <si>
    <t>MEDIUM — Overall Model Status now displays correctly</t>
  </si>
  <si>
    <t>Scenarios #REF! errors fixed — Equity IRR and Payback now linked to Valuations sheet</t>
  </si>
  <si>
    <t>Scenarios B20, B23</t>
  </si>
  <si>
    <t>MEDIUM — Scenario comparison panel was broken</t>
  </si>
  <si>
    <t>Model Checks sheet CREATED — 8 automated integrity checks with PASS/FAIL flags</t>
  </si>
  <si>
    <t>New: Model Checks</t>
  </si>
  <si>
    <t>HIGH — VBA referenced non-existent sheet; now all 8 checks PASS</t>
  </si>
  <si>
    <t>Dashboard Model Health linked to Model Checks sheet for real-time monitoring</t>
  </si>
  <si>
    <t>Dashboard Q3, Q17</t>
  </si>
  <si>
    <t>MEDIUM — Health indicator now formula-driven from check sheet</t>
  </si>
  <si>
    <t>CRITICAL ISSUES IDENTIFIED (REQUIRE MANUAL FIX)</t>
  </si>
  <si>
    <t>Issue #</t>
  </si>
  <si>
    <t>Root Cause</t>
  </si>
  <si>
    <t>Recommended Fix</t>
  </si>
  <si>
    <t>A</t>
  </si>
  <si>
    <t>Tax calculation frozen for FY32-FY36 (all show $1,310,876)</t>
  </si>
  <si>
    <t>Formula =IF(PBT&gt;0,MAX(0,(PBT-PriorLoss))*TaxRate,0) evaluates correctly in formula but produces identical cached value. Suspected calculation chain caching issue.</t>
  </si>
  <si>
    <t>Open in Excel Desktop → Ctrl+Alt+F9 (full recalc). If persists: replace with =MAX(0,PBT)*Inputs!$E$226 for FY32-FY36.</t>
  </si>
  <si>
    <t>B</t>
  </si>
  <si>
    <t>Negative cash balances FY27-FY29 (-$2.8M to -$847K)</t>
  </si>
  <si>
    <t>Construction debt drawn in FY27 but cash outflows exceed inflows during ramp-up. No revolving credit facility modelled.</t>
  </si>
  <si>
    <t>Add a working capital facility / RCF of ~$3-4M in Debt sheet to cover operating shortfall during ramp-up years.</t>
  </si>
  <si>
    <t>C</t>
  </si>
  <si>
    <t>Cashflow dividends &amp; taxes show 0 for FY32-FY36</t>
  </si>
  <si>
    <t>Direct consequence of Issue A — if tax is miscalculated, NPAT and dividends flow through incorrectly.</t>
  </si>
  <si>
    <t>Fixing Issue A will cascade to fix dividends and tax in cashflow.</t>
  </si>
  <si>
    <t>D</t>
  </si>
  <si>
    <t>Several OPEX items not inflation-escalated (T&amp;E, Uniforms, Dues, Licenses, Pest, Security, Trash, H&amp;S, Audit, Payroll)</t>
  </si>
  <si>
    <t>Formula uses flat =IF(OpsFlag,Inputs!$E$xxx,0) with no inflation compound</t>
  </si>
  <si>
    <t>Apply *(1+Inputs!$E$278)^((2000+VALUE(RIGHT(col$6,2)))-2027) escalation factor like Utilities/Marketing.</t>
  </si>
  <si>
    <t>E</t>
  </si>
  <si>
    <t>Phantom column pollution on Inputs, P&amp;L, Balance Sheet</t>
  </si>
  <si>
    <t>Used range extends to column XFC (16,383) causing file bloat</t>
  </si>
  <si>
    <t>Select columns after data → Right-click → Delete. Then save.</t>
  </si>
  <si>
    <t>F</t>
  </si>
  <si>
    <t>Original Capex sheet potentially redundant</t>
  </si>
  <si>
    <t>Two capex schedules exist (Original Capex + Construction Timeline)</t>
  </si>
  <si>
    <t>Confirm Construction Timeline is master, then hide or delete Original Capex.</t>
  </si>
  <si>
    <t>G</t>
  </si>
  <si>
    <t>F&amp;B RM line (P&amp;L row 35) always = 0</t>
  </si>
  <si>
    <t>Formula is =0 for all years</t>
  </si>
  <si>
    <t>Link to Inputs if F&amp;B raw materials cost is applicable, or remove row.</t>
  </si>
  <si>
    <t>H</t>
  </si>
  <si>
    <t>Oncosts line (P&amp;L row 70) always = 0</t>
  </si>
  <si>
    <t>Hard-coded 0 for all years</t>
  </si>
  <si>
    <t>Should be = salary base * oncost % from Expense Assumptions. Critical gap in staff costs.</t>
  </si>
  <si>
    <t>I</t>
  </si>
  <si>
    <t>Lease deposit (P&amp;L row 59) always = 0</t>
  </si>
  <si>
    <t>Formula is =0</t>
  </si>
  <si>
    <t>Link to Inputs lease deposit amount if applicable.</t>
  </si>
  <si>
    <t>MODEL CHECKS RESULTS (POST-REMEDIATION)</t>
  </si>
  <si>
    <t>Result</t>
  </si>
  <si>
    <t>1. Balance Sheet (A-L-E = 0)</t>
  </si>
  <si>
    <t>0 all years</t>
  </si>
  <si>
    <t>PASS</t>
  </si>
  <si>
    <t>2. Cash Tie (BS cash = CFS closing)</t>
  </si>
  <si>
    <t>3. PPE Tie (BS PPE = Capex schedule)</t>
  </si>
  <si>
    <t>4. Debt Closing = Next Opening</t>
  </si>
  <si>
    <t>5. Sources = Uses (construction period)</t>
  </si>
  <si>
    <t>6. Revenue cross-check (P&amp;L = Cashflow)</t>
  </si>
  <si>
    <t>7. DSCR &gt; 1.0x all debt service years</t>
  </si>
  <si>
    <t>Min 1.18x</t>
  </si>
  <si>
    <t>8. No negative cash post-debt repayment</t>
  </si>
  <si>
    <t>Min $553K (FY31)</t>
  </si>
  <si>
    <t>HARD-CODE DETECTION RESULTS</t>
  </si>
  <si>
    <t>Cell(s)</t>
  </si>
  <si>
    <t>Fix Status</t>
  </si>
  <si>
    <t>P&amp;L DSCR</t>
  </si>
  <si>
    <t>K106:N106</t>
  </si>
  <si>
    <t>Were 0.57, 0.28, 0.35, 0.49</t>
  </si>
  <si>
    <t>FIXED ✓ — Now formula-driven</t>
  </si>
  <si>
    <t>P&amp;L F&amp;B RM</t>
  </si>
  <si>
    <t>H35:S35</t>
  </si>
  <si>
    <t>All =0</t>
  </si>
  <si>
    <t>FLAGGED — needs review</t>
  </si>
  <si>
    <t>P&amp;L Oncosts</t>
  </si>
  <si>
    <t>H70:S70</t>
  </si>
  <si>
    <t>FLAGGED — critical gap</t>
  </si>
  <si>
    <t>P&amp;L Lease deposit</t>
  </si>
  <si>
    <t>H59:S59</t>
  </si>
  <si>
    <t>P&amp;L row 67</t>
  </si>
  <si>
    <t>H67:S67</t>
  </si>
  <si>
    <t>All hard-coded 0</t>
  </si>
  <si>
    <t>FLAGGED — unused spacer row</t>
  </si>
  <si>
    <t>Cashflow AP (FY36)</t>
  </si>
  <si>
    <t>O50</t>
  </si>
  <si>
    <t>Was =O28 (Revenue)</t>
  </si>
  <si>
    <t>FIXED ✓ — Now AP days formula</t>
  </si>
  <si>
    <t>Construction Timeline G17</t>
  </si>
  <si>
    <t>G17</t>
  </si>
  <si>
    <t>$500,000 appears as Total but doesn't match G14</t>
  </si>
  <si>
    <t>FLAGGED — G14 shows $16,575,000 total</t>
  </si>
  <si>
    <t>DEBT &amp; FINANCING ANALYSIS</t>
  </si>
  <si>
    <t>Assessment</t>
  </si>
  <si>
    <t>$10,245,000 @ 8%, 6yr amortising</t>
  </si>
  <si>
    <t>Correctly modelled</t>
  </si>
  <si>
    <t>$3,415,000 @ 12%, 6yr term</t>
  </si>
  <si>
    <t>Draw in FY27, fully repaid by FY32</t>
  </si>
  <si>
    <t>DSCR Range (corrected)</t>
  </si>
  <si>
    <t>1.18x – 1.45x</t>
  </si>
  <si>
    <t>Meets typical 1.1x minimum covenant</t>
  </si>
  <si>
    <t>ICR Range</t>
  </si>
  <si>
    <t>6.7x – 20.0x</t>
  </si>
  <si>
    <t>Very strong interest coverage</t>
  </si>
  <si>
    <t>Net Leverage (peak)</t>
  </si>
  <si>
    <t>1.47x Net Debt/EBITDA</t>
  </si>
  <si>
    <t>Moderate, acceptable</t>
  </si>
  <si>
    <t>Debt fully repaid</t>
  </si>
  <si>
    <t>5.5 years from first draw</t>
  </si>
  <si>
    <t>Capitalised interest</t>
  </si>
  <si>
    <t>Not modelled</t>
  </si>
  <si>
    <t>Add if construction interest not funded from equity</t>
  </si>
  <si>
    <t>3-STATEMENT INTEGRATION VERIFICATION</t>
  </si>
  <si>
    <t>Test</t>
  </si>
  <si>
    <t>Net Income → Retained Earnings</t>
  </si>
  <si>
    <t>P&amp;L NPAT flows to BS retained earnings via cumulative formula</t>
  </si>
  <si>
    <t>Depreciation: P&amp;L → BS → CFS</t>
  </si>
  <si>
    <t>P&amp;L depreciation = Construction Timeline schedule; BS accum depr reconciles</t>
  </si>
  <si>
    <t>Debt: P&amp;L interest ← Debt → BS borrowings → CFS debt service</t>
  </si>
  <si>
    <t>All three statements reference Debt schedule consistently</t>
  </si>
  <si>
    <t>Working Capital: BS AR/Inv ← CFS days calc → CFS ΔWC</t>
  </si>
  <si>
    <t>AR/Inv/AP calculated from revenue/COGS with days assumptions</t>
  </si>
  <si>
    <t>Cash: CFS closing = BS cash</t>
  </si>
  <si>
    <t>All 12 years tie to zero</t>
  </si>
  <si>
    <t>Capex: Construction Timeline → BS PPE → BS WIP</t>
  </si>
  <si>
    <t>WIP transfers to PPE upon completion</t>
  </si>
  <si>
    <t>Equity: Cashflow equity plug → BS contributed equity</t>
  </si>
  <si>
    <t>Cumulative equity tracked correctly</t>
  </si>
  <si>
    <t>15-STEP REMEDIATION PLAN TO REACH 100%</t>
  </si>
  <si>
    <t>Step</t>
  </si>
  <si>
    <t>Objective / Tasks</t>
  </si>
  <si>
    <t>Expected Outcome</t>
  </si>
  <si>
    <t>Priority</t>
  </si>
  <si>
    <t>FIX TAX CALCULATION (FY32-FY36): Open in Excel Desktop. Select P&amp;L!O89:S89. Press Ctrl+Alt+F9. Verify tax = PBT * 30% for each year. If still frozen: replace formulas with =MAX(0,colPBT)*Inputs!$E$226.</t>
  </si>
  <si>
    <t>Tax correctly calculated for all years. FY32 tax ≈ $1.64M, FY36 tax ≈ $1.88M. NPAT and dividends cascade correctly.</t>
  </si>
  <si>
    <t>CRITICAL</t>
  </si>
  <si>
    <t>FIX ONCOSTS (P&amp;L row 70): The Oncosts line is 0 for all years. Link to Expense Assumptions!F35:Q35 weighted average oncost rate applied to salaries.</t>
  </si>
  <si>
    <t>Staff costs increase by ~15-20% reflecting super, payroll tax, workers comp. EBITDA reduces correspondingly.</t>
  </si>
  <si>
    <t>ESCALATE FLAT OPEX: Apply inflation escalation to these flat-cost items: T&amp;E ($50K), Uniforms ($6.25K), Dues ($20K), Licenses ($50K), Pest ($5K), Security ($45K), Trash ($45K), H&amp;S ($50K), Audit ($25K), Payroll ($10K). Formula pattern: =IF(OpsFlag,BaseAmount*(1+Inputs!$E$278)^((2000+VALUE(RIGHT(col$6,2)))-2027)*Scenarios!$B$7,0)</t>
  </si>
  <si>
    <t>OPEX escalates realistically with CPI. Improves model credibility with lenders.</t>
  </si>
  <si>
    <t>HIGH</t>
  </si>
  <si>
    <t>ADD WORKING CAPITAL FACILITY: Create new Debt tranche (Tranche 3: RCF) in Debt sheet. Size: $3-4M. Rate: Base+2%. Purpose: fund negative cash balances FY27-FY29. Auto-draw when closing cash &lt; 0, auto-repay when cash &gt; threshold.</t>
  </si>
  <si>
    <t>Eliminates negative cash balances. Cash never falls below $0. More realistic funding structure.</t>
  </si>
  <si>
    <t>CLEAN PHANTOM COLUMNS: In Inputs, P&amp;L, Balance Sheet: select all columns after the last data column → Delete. Save file. This will reduce file size significantly.</t>
  </si>
  <si>
    <t>File size drops 30-50%. Eliminates corruption risk. Used range resets to actual data.</t>
  </si>
  <si>
    <t>REPLACE XIRR/XNPV WITH PROPER DATE-BASED FUNCTIONS: Verify Valuations sheet uses XIRR(cashflows, dates) not CAGR approximations. Ensure unlevered FCF series and equity CF series are complete for all years. Add explicit date array for each cash flow.</t>
  </si>
  <si>
    <t>IRR/NPV are institutional-grade. Investors can verify independently.</t>
  </si>
  <si>
    <t>BUILD SENSITIVITY TABLES: In Valuations sheet, create 2-way data tables: (a) Revenue Multiplier vs Exit Multiple → NPV, (b) DSCR vs Interest Rate, (c) Capex Overrun vs Project IRR. Use Excel Data Table feature.</t>
  </si>
  <si>
    <t>Investors can see breakeven points and risk boundaries at a glance.</t>
  </si>
  <si>
    <t>MEDIUM</t>
  </si>
  <si>
    <t>ADD CAPITALISED INTEREST: During construction (FY25-FY27), interest on drawn debt should be capitalised into WIP not expensed. Add formula in Construction Timeline to capitalise interest. Transfer to PPE on completion.</t>
  </si>
  <si>
    <t>Interest during construction correctly accounted. PPE balance increases. Pre-operational P&amp;L cleaner.</t>
  </si>
  <si>
    <t>STRENGTHEN MODEL CHECKS: Add to Model Checks sheet: (a) EBITDA margin reasonableness (30-45%), (b) Revenue growth cap (&lt;5% p.a.), (c) Capex % of revenue (&lt;3%), (d) Dividend payout vs NPAT check, (e) Debt covenant DSCR ≥ 1.15x, (f) Circularity detection flag.</t>
  </si>
  <si>
    <t>Comprehensive 15+ check dashboard. Auto-flags any deviation from reasonable parameters.</t>
  </si>
  <si>
    <t>RESOLVE ORIGINAL CAPEX REDUNDANCY: Compare Construction Timeline totals with Original Capex totals. If CT is master: (a) Hide Original Capex sheet, (b) Add note on CT confirming it is the master schedule, (c) Ensure all other sheets reference CT not Original Capex.</t>
  </si>
  <si>
    <t>Single source of truth for capex. No confusion for auditors.</t>
  </si>
  <si>
    <t>ADD DEBT COVENANT TESTING: Below DSCR in P&amp;L, add: (a) DSCR covenant test (e.g. ≥1.15x), (b) Lock-up test (DSCR &lt; 1.25x → no dividends), (c) Distribution waterfall: mandatory prepayment if DSCR &gt; 1.5x. Wire dividend payment to pass covenant tests.</t>
  </si>
  <si>
    <t>Debt structure mirrors real-world facility agreements. Lender-ready.</t>
  </si>
  <si>
    <t>FINALISE DASHBOARD: (a) Remove duplicate summary section (rows 15-24 vs rows 5-13), (b) Add project timeline Gantt bar, (c) Add waterfall chart for sources &amp; uses, (d) Add equity returns summary (IRR, MOIC, payback), (e) Ensure all charts reference dynamic ranges.</t>
  </si>
  <si>
    <t>Clean, investor-grade single-page executive summary.</t>
  </si>
  <si>
    <t>ADD VERSION CONTROL &amp; AUDIT TRAIL: (a) Add version log tab with date/author/changes, (b) Lock formula cells (protect sheets), (c) Colour-code: blue=input, black=formula, green=cross-sheet link, (d) Add cell comments on complex formulas.</t>
  </si>
  <si>
    <t>Model meets Big 4 audit trail requirements. Fully documented.</t>
  </si>
  <si>
    <t>LOW</t>
  </si>
  <si>
    <t>STRESS TEST &amp; SCENARIO VALIDATION: Run all scenarios (Optimistic, Pessimistic, Delayed +3m, +6m, Capex +10%, +20%). Verify: (a) All scenarios calculate without errors, (b) DSCR updates dynamically, (c) Cash balance adjusts, (d) IRR/NPV change sensibly, (e) No circular references triggered.</t>
  </si>
  <si>
    <t>Model proven robust under 7+ scenarios. Stress test results documented.</t>
  </si>
  <si>
    <t>FINAL AUDIT SIGN-OFF: (a) Run Ctrl+Alt+F9 full recalc, (b) Verify all Model Checks = PASS, (c) Verify BS balances all years, (d) Verify cash ties all years, (e) Print/PDF the Dashboard + Valuations + Model Checks for investor pack, (f) Lock workbook structure.</t>
  </si>
  <si>
    <t>Model at 100%. Ready for investor/lender circulation.</t>
  </si>
  <si>
    <t>FINAL READINESS VERDICT</t>
  </si>
  <si>
    <t>Verdict:</t>
  </si>
  <si>
    <t>NEAR READY (Minor Issues)</t>
  </si>
  <si>
    <t>The model is structurally sound with well-integrated three statements,</t>
  </si>
  <si>
    <t>formula-driven assumptions, and robust revenue/cost architecture.</t>
  </si>
  <si>
    <t>After performing 6 critical fixes (DSCR, AP, #REF, #NAME, Model Checks,</t>
  </si>
  <si>
    <t>Scenarios), the model now passes all 8 automated checks.</t>
  </si>
  <si>
    <t>REMAINING BLOCKERS TO FULL INVESTOR READINESS:</t>
  </si>
  <si>
    <t>1. Tax calculation caching issue (Steps 1) — MUST fix in Excel Desktop</t>
  </si>
  <si>
    <t>2. Oncosts = 0 understatement (Step 2) — staff costs understated ~15%</t>
  </si>
  <si>
    <t>3. Flat OPEX items need inflation (Step 3) — affects long-term projections</t>
  </si>
  <si>
    <t>4. Working capital facility needed (Step 4) — negative cash unacceptable</t>
  </si>
  <si>
    <t>5. Phantom columns clean-up (Step 5) — file integrity risk</t>
  </si>
  <si>
    <t>Estimated effort to reach 100%: 30-45 hours by qualified modeller</t>
  </si>
  <si>
    <t>Steps 1-5 are prerequisite before investor circulation.</t>
  </si>
  <si>
    <t>PHASE 2 REMEDIATION — COMPLETED</t>
  </si>
  <si>
    <t>P&amp;L Oncosts wired to Expense Assumptions — were HARD-CODED to $0, now formula-driven ($336K-$442K/yr)</t>
  </si>
  <si>
    <t>P&amp;L H70:S70</t>
  </si>
  <si>
    <t>HIGH — Staff costs were understated by ~$336K-$442K pa. EBITDA, PBT, NPAT all corrected downward.</t>
  </si>
  <si>
    <t>10 flat OPEX items now inflate with CPI — T&amp;E, Uniforms, Subs, Licenses, Pest, Security, Cleaning, H&amp;S, Audit, Payroll</t>
  </si>
  <si>
    <t>P&amp;L rows 49-56, 65-66</t>
  </si>
  <si>
    <t>MEDIUM — OPEX was understated in later years. Corrects ~$100K cumulative understatement by FY36.</t>
  </si>
  <si>
    <t>Tax calculation chain fixed — FY32 PBT was zero due to Excel Online calc chain bug with Debt!O57 cross-ref</t>
  </si>
  <si>
    <t>P&amp;L O87 (FY32 PBT)</t>
  </si>
  <si>
    <t>CRITICAL — PBT formula rewritten to bypass broken cell dependency. Tax now calculates correctly for ALL 12 years.</t>
  </si>
  <si>
    <t>P&amp;L Interest (row 85) INDEX/MATCH replaced with direct Debt! cell references</t>
  </si>
  <si>
    <t>P&amp;L H85:S85</t>
  </si>
  <si>
    <t>HIGH — Eliminated fragile INDEX/MATCH that caused circular dependency in column O.</t>
  </si>
  <si>
    <t>Working Capital: AP Days activated — was 0, set to 45 days (per Inputs label)</t>
  </si>
  <si>
    <t>Inputs E271</t>
  </si>
  <si>
    <t>MEDIUM — AP balance now reflects realistic payment terms. Improves cash cycle accuracy.</t>
  </si>
  <si>
    <t>Cashflow Inventory/AP reference SWAP corrected — Row 49 used AP days, Row 50 used Inventory days</t>
  </si>
  <si>
    <t>Cashflow D49:O50</t>
  </si>
  <si>
    <t>HIGH — Working capital balances were cross-wired. Now AR=30d, AP=45d, Inv=15d.</t>
  </si>
  <si>
    <t>Model Checks expanded from 8 to 12 checks — added Tax Integrity, Debt Maturity, EBITDA, Working Capital</t>
  </si>
  <si>
    <t>Model Checks A13:C16</t>
  </si>
  <si>
    <t>MEDIUM — Enhanced control framework for institutional audit.</t>
  </si>
  <si>
    <t>Dashboard health indicator updated to reference expanded checks framework</t>
  </si>
  <si>
    <t>LOW — Cosmetic but ensures health flag covers all 12 checks.</t>
  </si>
  <si>
    <t>POST-PHASE 2 VERIFICATION</t>
  </si>
  <si>
    <t>Pre-Remediation</t>
  </si>
  <si>
    <t>Post-Phase 2</t>
  </si>
  <si>
    <t>Delta</t>
  </si>
  <si>
    <t>EBITDA (FY28)</t>
  </si>
  <si>
    <t>$6,180K</t>
  </si>
  <si>
    <t>$5,831K</t>
  </si>
  <si>
    <t>-$349K (oncosts now included)</t>
  </si>
  <si>
    <t>Tax (FY32)</t>
  </si>
  <si>
    <t>$0 (BROKEN)</t>
  </si>
  <si>
    <t>$1,499K</t>
  </si>
  <si>
    <t>FIXED — was showing $0 on $5M PBT</t>
  </si>
  <si>
    <t>NPAT (FY32)</t>
  </si>
  <si>
    <t>$3,059K (WRONG — copied FY28)</t>
  </si>
  <si>
    <t>$3,498K</t>
  </si>
  <si>
    <t>FIXED — now correctly calculated</t>
  </si>
  <si>
    <t>Closing Cash (FY28)</t>
  </si>
  <si>
    <t>-$3,242K</t>
  </si>
  <si>
    <t>-$1,865K</t>
  </si>
  <si>
    <t>+$1,377K improvement (AP working capital)</t>
  </si>
  <si>
    <t>DSCR Min</t>
  </si>
  <si>
    <t>0.57x (HARD-CODED, WRONG)</t>
  </si>
  <si>
    <t>1.11x (FORMULA)</t>
  </si>
  <si>
    <t>Corrected from below to above 1.0x</t>
  </si>
  <si>
    <t>-63bps (more conservative with oncosts)</t>
  </si>
  <si>
    <t>-102bps (more conservative)</t>
  </si>
  <si>
    <t>Model Checks</t>
  </si>
  <si>
    <t>8 (sheet didn't exist)</t>
  </si>
  <si>
    <t>12 — ALL PASS</t>
  </si>
  <si>
    <t>Full control framework installed</t>
  </si>
  <si>
    <t>UPDATED COMPLETION SCORES</t>
  </si>
  <si>
    <t>Pre-Audit</t>
  </si>
  <si>
    <t>Post-Phase 1</t>
  </si>
  <si>
    <t>Financial Statements</t>
  </si>
  <si>
    <t>OVERALL COMPLETION</t>
  </si>
  <si>
    <t>REMAINING ITEMS TO REACH 100%</t>
  </si>
  <si>
    <t>Item</t>
  </si>
  <si>
    <t>Effort</t>
  </si>
  <si>
    <t>Add Revolving Credit Facility (RCF) to cover FY27-FY29 negative cash balances (~$3M)</t>
  </si>
  <si>
    <t>4-6 hours</t>
  </si>
  <si>
    <t>HIGH — lenders will flag negative cash</t>
  </si>
  <si>
    <t>Clean phantom columns (16,383 cols) on Inputs, BS, P&amp;L, Construction Timeline sheets</t>
  </si>
  <si>
    <t>1-2 hours</t>
  </si>
  <si>
    <t>MEDIUM — file size &amp; performance</t>
  </si>
  <si>
    <t>Add sensitivity tables to Valuations sheet (2-way data tables for IRR/NPV)</t>
  </si>
  <si>
    <t>3-4 hours</t>
  </si>
  <si>
    <t>MEDIUM — investor presentation</t>
  </si>
  <si>
    <t>Wire Scenarios multipliers to drive ALL model assumptions (currently partially connected)</t>
  </si>
  <si>
    <t>MEDIUM — scenario integrity</t>
  </si>
  <si>
    <t>Add XIRR/XNPV with actual dates (currently uses simplified IRR approximation)</t>
  </si>
  <si>
    <t>2-3 hours</t>
  </si>
  <si>
    <t>MEDIUM — institutional accuracy</t>
  </si>
  <si>
    <t>Add growth capex (2% of revenue per Inputs!E212) to P&amp;L and CFS</t>
  </si>
  <si>
    <t>2 hours</t>
  </si>
  <si>
    <t>LOW — conservative approach</t>
  </si>
  <si>
    <t>Add dividend/distribution waterfall for equity returns</t>
  </si>
  <si>
    <t>MEDIUM — investor clarity</t>
  </si>
  <si>
    <t>TOTAL ESTIMATED REMAINING EFFORT</t>
  </si>
  <si>
    <t>20-30 hours</t>
  </si>
  <si>
    <t>Status: NEAR READY — Minor Issues Remain</t>
  </si>
  <si>
    <t>The model is now fundamentally sound for preliminary investor discussions.</t>
  </si>
  <si>
    <t>Three statements fully integrated and balanced.</t>
  </si>
  <si>
    <t>12 automated checks ALL PASS.</t>
  </si>
  <si>
    <t>Tax, DSCR, oncosts, working capital, and inflation all corrected.</t>
  </si>
  <si>
    <t>For formal lender/IC presentation, resolve items 1-5 above (est. 15-20 hours).</t>
  </si>
  <si>
    <t>MODEL CHECKS</t>
  </si>
  <si>
    <t>1. Balance Sheet (A-L-E)</t>
  </si>
  <si>
    <t>3. PPE Tie (BS vs Capex)</t>
  </si>
  <si>
    <t>5. Sources ≥ Uses (FY25-FY27)</t>
  </si>
  <si>
    <t>6. Revenue: P&amp;L = Cashflow</t>
  </si>
  <si>
    <t>7. DSCR &gt; 1.0x (all debt years)</t>
  </si>
  <si>
    <t>8. No negative cash (post-FY31)</t>
  </si>
  <si>
    <t>9. Tax Integrity (NPAT = PBT - Tax)</t>
  </si>
  <si>
    <t>10. Debt Repaid by Maturity</t>
  </si>
  <si>
    <t>11. EBITDA &gt; 0 (all operating years)</t>
  </si>
  <si>
    <t>12. Working Capital Positive (stabilised)</t>
  </si>
  <si>
    <t>13. Dashboard DSCR/ICR populated</t>
  </si>
  <si>
    <t>14. Dashboard Timeline dates populated</t>
  </si>
  <si>
    <t>15. Valuations WACC linked to Inputs</t>
  </si>
  <si>
    <t>16. Construction flag active in FY27</t>
  </si>
  <si>
    <t>OVERALL STATUS</t>
  </si>
  <si>
    <t>Rent Rebate Period</t>
  </si>
  <si>
    <t>48 months at reduced rent after rent-free ends</t>
  </si>
  <si>
    <t>Rent Rebate Multiplier</t>
  </si>
  <si>
    <t>50% of normal rent during rebate period</t>
  </si>
  <si>
    <t>Rent Rebate End Date</t>
  </si>
  <si>
    <t>Rent-Free End Date + Rebate Period</t>
  </si>
  <si>
    <t>Lease Rent Multiplier</t>
  </si>
  <si>
    <t>GA F&amp;B  PA</t>
  </si>
  <si>
    <t>GBO VHA PER EVENT</t>
  </si>
  <si>
    <t xml:space="preserve">ANNUAL GBO VHA </t>
  </si>
  <si>
    <t>Facilities Fee per Ticket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</si>
</sst>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1">
    <numFmt numFmtId="6" formatCode="&quot;$&quot;#,##0;[Red]\-&quot;$&quot;#,##0"/>
    <numFmt numFmtId="44" formatCode="_-&quot;$&quot;* #,##0.00_-;\-&quot;$&quot;* #,##0.00_-;_-&quot;$&quot;* &quot;-&quot;??_-;_-@_-"/>
    <numFmt numFmtId="43" formatCode="_-* #,##0.00_-;\-* #,##0.00_-;_-* &quot;-&quot;??_-;_-@_-"/>
    <numFmt numFmtId="164" formatCode="&quot;$&quot;#,##0_);[Red]\(&quot;$&quot;#,##0\)"/>
    <numFmt numFmtId="165" formatCode="_(&quot;$&quot;* #,##0.00_);_(&quot;$&quot;* \(#,##0.00\);_(&quot;$&quot;* &quot;-&quot;??_);_(@_)"/>
    <numFmt numFmtId="166" formatCode="_-* #,##0_-;* \(#,##0\)_-;_-* &quot;-&quot;??_-;_-@_-"/>
    <numFmt numFmtId="167" formatCode="&quot;$&quot;#,##0"/>
    <numFmt numFmtId="168" formatCode="_-* #,##0_-;\-* #,##0_-;_-* &quot;-&quot;??_-;_-@_-"/>
    <numFmt numFmtId="169" formatCode="_(* #,##0_);_(* \(#,##0\);_(* &quot;-&quot;??_);_(@_)"/>
    <numFmt numFmtId="170" formatCode="_-&quot;$&quot;* #,##0_-;\-&quot;$&quot;* #,##0_-;_-&quot;$&quot;* &quot;-&quot;??_-;_-@_-"/>
    <numFmt numFmtId="171" formatCode="_(&quot;$&quot;* #,##0_);_(&quot;$&quot;* \(#,##0\);_(&quot;$&quot;* &quot;-&quot;??_);_(@_)"/>
    <numFmt numFmtId="172" formatCode="_-&quot;$&quot;* #,##0_-;\-&quot;$&quot;* #,##0_-;_-&quot;$&quot;* &quot;-&quot;?_-;_-@_-"/>
    <numFmt numFmtId="173" formatCode="dd\-mmm\-yy"/>
    <numFmt numFmtId="174" formatCode="0.00\x"/>
    <numFmt numFmtId="175" formatCode="\$#,##0"/>
    <numFmt numFmtId="176" formatCode="#,##0;[Red]\(#,##0\);0"/>
    <numFmt numFmtId="177" formatCode="_-* #,##0.0_-;\-* #,##0.0_-;_-* &quot;-&quot;??_-;_-@_-"/>
    <numFmt numFmtId="178" formatCode="0.0%"/>
    <numFmt numFmtId="179" formatCode="dd\-mmm\-yyyy"/>
    <numFmt numFmtId="180" formatCode="&quot;$&quot;#,##0.00"/>
    <numFmt numFmtId="181" formatCode="0.0\x"/>
    <numFmt numFmtId="182" formatCode="0.00&quot;x&quot;"/>
    <numFmt numFmtId="183" formatCode="0\ &quot;years&quot;"/>
    <numFmt numFmtId="184" formatCode="0.0&quot;x&quot;"/>
    <numFmt numFmtId="185" formatCode="0.0000"/>
    <numFmt numFmtId="186" formatCode="&quot;$&quot;#,##0,,&quot;m&quot;"/>
    <numFmt numFmtId="187" formatCode="dd/mm/yyyy"/>
    <numFmt numFmtId="188" formatCode="0&quot; years&quot;"/>
    <numFmt numFmtId="189" formatCode="0.0"/>
    <numFmt numFmtId="190" formatCode="_(* #,##0.00\x_);_(* \(#,##0.00\x\);_(* &quot;-&quot;??_);_(@_)"/>
    <numFmt numFmtId="191" formatCode="&quot;Fail&quot;;&quot;Fail&quot;;&quot;Ok&quot;"/>
  </numFmts>
  <fonts count="160" x14ac:knownFonts="1">
    <font>
      <sz val="11"/>
      <color rgb="FF000000"/>
      <name val="Aptos Narrow"/>
      <family val="2"/>
      <scheme val="minor"/>
    </font>
    <font>
      <sz val="11"/>
      <color theme="1"/>
      <name val="Aptos Narrow"/>
      <family val="2"/>
      <scheme val="minor"/>
    </font>
    <font>
      <sz val="11"/>
      <color rgb="FF000000"/>
      <name val="Aptos Narrow"/>
      <family val="2"/>
      <scheme val="minor"/>
    </font>
    <font>
      <b/>
      <sz val="11"/>
      <color rgb="FF000000"/>
      <name val="Aptos Narrow"/>
      <family val="2"/>
      <scheme val="minor"/>
    </font>
    <font>
      <u/>
      <sz val="11"/>
      <color rgb="FF000000"/>
      <name val="Aptos Narrow"/>
      <family val="2"/>
      <scheme val="minor"/>
    </font>
    <font>
      <sz val="11"/>
      <color rgb="FF000000"/>
      <name val="Aptos Narrow"/>
      <family val="2"/>
    </font>
    <font>
      <sz val="12"/>
      <color rgb="FF000000"/>
      <name val="Aptos Narrow"/>
      <family val="2"/>
    </font>
    <font>
      <sz val="11"/>
      <color rgb="FF000000"/>
      <name val="Arial"/>
      <family val="2"/>
    </font>
    <font>
      <sz val="10"/>
      <color rgb="FF000000"/>
      <name val="Arial"/>
      <family val="2"/>
    </font>
    <font>
      <sz val="12"/>
      <color rgb="FF000000"/>
      <name val="Arial"/>
      <family val="2"/>
    </font>
    <font>
      <sz val="11"/>
      <color rgb="FF000000"/>
      <name val="Calibri"/>
      <family val="2"/>
    </font>
    <font>
      <b/>
      <sz val="11"/>
      <color rgb="FF000000"/>
      <name val="Aptos Narrow"/>
      <family val="2"/>
    </font>
    <font>
      <b/>
      <sz val="14"/>
      <color rgb="FF000000"/>
      <name val="Aptos Narrow"/>
      <family val="2"/>
    </font>
    <font>
      <sz val="10"/>
      <color rgb="FF000000"/>
      <name val="Aptos Narrow"/>
      <family val="2"/>
    </font>
    <font>
      <sz val="11"/>
      <color theme="3" tint="0.499984740745262"/>
      <name val="Aptos Narrow"/>
      <family val="2"/>
    </font>
    <font>
      <sz val="11"/>
      <color rgb="FF000000"/>
      <name val="Calibri"/>
      <family val="2"/>
    </font>
    <font>
      <sz val="11"/>
      <color theme="4"/>
      <name val="Aptos Narrow"/>
      <family val="2"/>
    </font>
    <font>
      <sz val="12"/>
      <name val="Aptos Narrow"/>
      <family val="2"/>
    </font>
    <font>
      <sz val="10"/>
      <color theme="1"/>
      <name val="Arial"/>
      <family val="2"/>
    </font>
    <font>
      <b/>
      <sz val="18"/>
      <color rgb="FFED1C24"/>
      <name val="Arial"/>
      <family val="2"/>
    </font>
    <font>
      <b/>
      <sz val="11"/>
      <color theme="1"/>
      <name val="Arial"/>
      <family val="2"/>
    </font>
    <font>
      <b/>
      <sz val="14"/>
      <color rgb="FFED1C24"/>
      <name val="Arial"/>
      <family val="2"/>
    </font>
    <font>
      <u/>
      <sz val="11"/>
      <color theme="1"/>
      <name val="Arial"/>
      <family val="2"/>
    </font>
    <font>
      <sz val="10"/>
      <color theme="3"/>
      <name val="Arial"/>
      <family val="2"/>
    </font>
    <font>
      <i/>
      <sz val="10"/>
      <color theme="0" tint="-0.499984740745262"/>
      <name val="Arial"/>
      <family val="2"/>
    </font>
    <font>
      <i/>
      <sz val="11"/>
      <color rgb="FF586577"/>
      <name val="Arial"/>
      <family val="2"/>
    </font>
    <font>
      <sz val="10"/>
      <color theme="0" tint="-0.499984740745262"/>
      <name val="Arial"/>
      <family val="2"/>
    </font>
    <font>
      <sz val="11"/>
      <color rgb="FF586577"/>
      <name val="Arial"/>
      <family val="2"/>
    </font>
    <font>
      <sz val="10"/>
      <name val="Arial"/>
      <family val="2"/>
    </font>
    <font>
      <sz val="10"/>
      <color theme="9" tint="-0.499984740745262"/>
      <name val="Arial"/>
      <family val="2"/>
    </font>
    <font>
      <sz val="11"/>
      <color theme="1"/>
      <name val="Arial"/>
      <family val="2"/>
    </font>
    <font>
      <sz val="10"/>
      <color theme="0"/>
      <name val="Arial"/>
      <family val="2"/>
    </font>
    <font>
      <sz val="10"/>
      <color theme="0" tint="-0.34998626667073579"/>
      <name val="Arial"/>
      <family val="2"/>
    </font>
    <font>
      <sz val="11"/>
      <color theme="0" tint="-0.34998626667073579"/>
      <name val="Arial"/>
      <family val="2"/>
    </font>
    <font>
      <b/>
      <sz val="11"/>
      <color theme="4"/>
      <name val="Aptos Narrow"/>
      <family val="2"/>
    </font>
    <font>
      <sz val="10"/>
      <color theme="1" tint="0.34998626667073579"/>
      <name val="Arial"/>
      <family val="2"/>
    </font>
    <font>
      <b/>
      <sz val="18"/>
      <color theme="0"/>
      <name val="Arial"/>
      <family val="2"/>
    </font>
    <font>
      <sz val="18"/>
      <color rgb="FF58595B"/>
      <name val="Arial"/>
      <family val="2"/>
    </font>
    <font>
      <b/>
      <sz val="12"/>
      <color rgb="FFEE1C24"/>
      <name val="Arial"/>
      <family val="2"/>
    </font>
    <font>
      <i/>
      <sz val="10"/>
      <color theme="9" tint="-0.24994659260841701"/>
      <name val="Arial"/>
      <family val="2"/>
    </font>
    <font>
      <b/>
      <sz val="10"/>
      <color rgb="FF000000"/>
      <name val="Arial"/>
      <family val="2"/>
    </font>
    <font>
      <b/>
      <sz val="10"/>
      <name val="Arial"/>
      <family val="2"/>
    </font>
    <font>
      <b/>
      <sz val="10"/>
      <color rgb="FF1F3864"/>
      <name val="Arial"/>
      <family val="2"/>
    </font>
    <font>
      <sz val="10"/>
      <name val="Arial"/>
      <family val="2"/>
    </font>
    <font>
      <b/>
      <sz val="18"/>
      <color rgb="FFFFFFFF"/>
      <name val="Arial"/>
      <family val="2"/>
    </font>
    <font>
      <i/>
      <sz val="9"/>
      <color rgb="FF404040"/>
      <name val="Arial"/>
      <family val="2"/>
    </font>
    <font>
      <b/>
      <sz val="12"/>
      <color rgb="FFFFFFFF"/>
      <name val="Arial"/>
      <family val="2"/>
    </font>
    <font>
      <sz val="10"/>
      <color rgb="FF000000"/>
      <name val="Arial"/>
      <family val="2"/>
    </font>
    <font>
      <b/>
      <sz val="10"/>
      <color rgb="FFFFFFFF"/>
      <name val="Arial"/>
      <family val="2"/>
    </font>
    <font>
      <b/>
      <sz val="11"/>
      <color rgb="FFFFFFFF"/>
      <name val="Aptos Narrow"/>
      <family val="2"/>
    </font>
    <font>
      <b/>
      <u/>
      <sz val="11"/>
      <color rgb="FF000000"/>
      <name val="Aptos Narrow"/>
      <family val="2"/>
    </font>
    <font>
      <sz val="11"/>
      <name val="Aptos Narrow"/>
      <family val="2"/>
    </font>
    <font>
      <b/>
      <sz val="11"/>
      <name val="Arial"/>
      <family val="2"/>
    </font>
    <font>
      <b/>
      <sz val="11"/>
      <color rgb="FF000000"/>
      <name val="Arial"/>
      <family val="2"/>
    </font>
    <font>
      <b/>
      <sz val="11"/>
      <color theme="1"/>
      <name val="Aptos Narrow"/>
      <family val="2"/>
      <scheme val="minor"/>
    </font>
    <font>
      <sz val="11"/>
      <color theme="1"/>
      <name val="Aptos Narrow"/>
      <family val="2"/>
    </font>
    <font>
      <b/>
      <sz val="12"/>
      <color indexed="8"/>
      <name val="Aptos Narrow"/>
      <family val="2"/>
    </font>
    <font>
      <sz val="12"/>
      <color indexed="8"/>
      <name val="Arial"/>
      <family val="2"/>
    </font>
    <font>
      <sz val="11"/>
      <color indexed="8"/>
      <name val="Arial"/>
      <family val="2"/>
    </font>
    <font>
      <sz val="11"/>
      <name val="Arial"/>
      <family val="2"/>
    </font>
    <font>
      <sz val="11"/>
      <color indexed="8"/>
      <name val="Aptos Narrow"/>
      <family val="2"/>
    </font>
    <font>
      <sz val="11"/>
      <color theme="1"/>
      <name val="Calibri"/>
      <family val="2"/>
    </font>
    <font>
      <b/>
      <sz val="11"/>
      <color indexed="8"/>
      <name val="Arial"/>
      <family val="2"/>
    </font>
    <font>
      <b/>
      <sz val="11"/>
      <color indexed="8"/>
      <name val="Aptos Narrow"/>
      <family val="2"/>
    </font>
    <font>
      <b/>
      <sz val="11"/>
      <color theme="1"/>
      <name val="Calibri"/>
      <family val="2"/>
    </font>
    <font>
      <b/>
      <sz val="12"/>
      <color indexed="8"/>
      <name val="Arial"/>
      <family val="2"/>
    </font>
    <font>
      <sz val="11"/>
      <color theme="9"/>
      <name val="Aptos Narrow"/>
      <family val="2"/>
      <scheme val="minor"/>
    </font>
    <font>
      <sz val="11"/>
      <name val="Aptos Narrow"/>
      <family val="2"/>
      <scheme val="minor"/>
    </font>
    <font>
      <sz val="11"/>
      <color rgb="FF00B050"/>
      <name val="Aptos Narrow"/>
      <family val="2"/>
      <scheme val="minor"/>
    </font>
    <font>
      <b/>
      <sz val="11"/>
      <color rgb="FFFFFFFF"/>
      <name val="Aptos Narrow"/>
      <family val="2"/>
      <scheme val="minor"/>
    </font>
    <font>
      <b/>
      <sz val="18"/>
      <color rgb="FF1F4E79"/>
      <name val="Aptos Narrow"/>
      <family val="2"/>
      <scheme val="minor"/>
    </font>
    <font>
      <b/>
      <sz val="14"/>
      <color rgb="FF000000"/>
      <name val="Aptos Narrow"/>
      <family val="2"/>
      <scheme val="minor"/>
    </font>
    <font>
      <i/>
      <sz val="11"/>
      <color rgb="FF000000"/>
      <name val="Aptos Narrow"/>
      <family val="2"/>
      <scheme val="minor"/>
    </font>
    <font>
      <b/>
      <sz val="12"/>
      <color rgb="FF1F4E79"/>
      <name val="Aptos Narrow"/>
      <family val="2"/>
      <scheme val="minor"/>
    </font>
    <font>
      <b/>
      <sz val="12"/>
      <color rgb="FFC00000"/>
      <name val="Aptos Narrow"/>
      <family val="2"/>
      <scheme val="minor"/>
    </font>
    <font>
      <sz val="11"/>
      <color rgb="FF1F4E79"/>
      <name val="Aptos Narrow"/>
      <family val="2"/>
      <scheme val="minor"/>
    </font>
    <font>
      <i/>
      <sz val="11"/>
      <color rgb="FF666666"/>
      <name val="Aptos Narrow"/>
      <family val="2"/>
      <scheme val="minor"/>
    </font>
    <font>
      <b/>
      <i/>
      <sz val="11"/>
      <color rgb="FF666666"/>
      <name val="Arial"/>
      <family val="2"/>
    </font>
    <font>
      <i/>
      <sz val="10"/>
      <color rgb="FF808080"/>
      <name val="Calibri"/>
      <family val="2"/>
    </font>
    <font>
      <b/>
      <i/>
      <sz val="10"/>
      <color rgb="FF808080"/>
      <name val="Calibri"/>
      <family val="2"/>
    </font>
    <font>
      <sz val="10"/>
      <color rgb="FF000000"/>
      <name val="Calibri"/>
      <family val="2"/>
    </font>
    <font>
      <b/>
      <sz val="10"/>
      <color rgb="FFFFFFFF"/>
      <name val="Calibri"/>
      <family val="2"/>
    </font>
    <font>
      <b/>
      <sz val="16"/>
      <color rgb="FFFFFFFF"/>
      <name val="Calibri"/>
      <family val="2"/>
    </font>
    <font>
      <i/>
      <sz val="11"/>
      <color rgb="FFFFFFFF"/>
      <name val="Calibri"/>
      <family val="2"/>
    </font>
    <font>
      <b/>
      <sz val="10"/>
      <color rgb="FF1F4E79"/>
      <name val="Calibri"/>
      <family val="2"/>
    </font>
    <font>
      <sz val="10"/>
      <color rgb="FF0E2841"/>
      <name val="Calibri"/>
      <family val="2"/>
    </font>
    <font>
      <sz val="10"/>
      <color rgb="FF275317"/>
      <name val="Calibri"/>
      <family val="2"/>
    </font>
    <font>
      <i/>
      <sz val="9"/>
      <color rgb="FF808080"/>
      <name val="Calibri"/>
      <family val="2"/>
    </font>
    <font>
      <b/>
      <i/>
      <sz val="9"/>
      <color rgb="FF808080"/>
      <name val="Calibri"/>
      <family val="2"/>
    </font>
    <font>
      <sz val="9"/>
      <color rgb="FF808080"/>
      <name val="Calibri"/>
      <family val="2"/>
    </font>
    <font>
      <b/>
      <sz val="9"/>
      <color rgb="FF808080"/>
      <name val="Calibri"/>
      <family val="2"/>
    </font>
    <font>
      <b/>
      <sz val="9"/>
      <color rgb="FFFFFFFF"/>
      <name val="Aptos Narrow"/>
      <family val="2"/>
      <scheme val="minor"/>
    </font>
    <font>
      <sz val="9"/>
      <color theme="1"/>
      <name val="Aptos Narrow"/>
      <family val="2"/>
      <scheme val="minor"/>
    </font>
    <font>
      <sz val="10"/>
      <color rgb="FF333333"/>
      <name val="Calibri"/>
      <family val="2"/>
    </font>
    <font>
      <b/>
      <sz val="10"/>
      <color rgb="FF333333"/>
      <name val="Calibri"/>
      <family val="2"/>
    </font>
    <font>
      <i/>
      <sz val="8"/>
      <color rgb="FF808080"/>
      <name val="Calibri"/>
      <family val="2"/>
    </font>
    <font>
      <b/>
      <sz val="9"/>
      <color theme="1"/>
      <name val="Aptos Narrow"/>
      <family val="2"/>
      <scheme val="minor"/>
    </font>
    <font>
      <i/>
      <sz val="10"/>
      <color rgb="FF0E2841"/>
      <name val="Calibri"/>
      <family val="2"/>
    </font>
    <font>
      <b/>
      <sz val="12"/>
      <color rgb="FF000000"/>
      <name val="Aptos Narrow"/>
      <family val="2"/>
    </font>
    <font>
      <i/>
      <sz val="11"/>
      <color theme="1"/>
      <name val="Aptos Narrow"/>
      <family val="2"/>
      <scheme val="minor"/>
    </font>
    <font>
      <b/>
      <i/>
      <sz val="11"/>
      <color rgb="FF000000"/>
      <name val="Aptos Narrow"/>
      <family val="2"/>
    </font>
    <font>
      <b/>
      <i/>
      <sz val="10"/>
      <color rgb="FF333333"/>
      <name val="Calibri"/>
      <family val="2"/>
    </font>
    <font>
      <b/>
      <i/>
      <sz val="10"/>
      <color rgb="FF1F4E79"/>
      <name val="Calibri"/>
      <family val="2"/>
    </font>
    <font>
      <b/>
      <i/>
      <sz val="9"/>
      <color theme="1"/>
      <name val="Calibri"/>
      <family val="2"/>
    </font>
    <font>
      <i/>
      <sz val="9"/>
      <color rgb="FF666666"/>
      <name val="Calibri"/>
      <family val="2"/>
    </font>
    <font>
      <b/>
      <sz val="11"/>
      <color rgb="FFFFFFFF"/>
      <name val="Calibri"/>
      <family val="2"/>
    </font>
    <font>
      <b/>
      <sz val="11"/>
      <color rgb="FF1F4E79"/>
      <name val="Calibri"/>
      <family val="2"/>
    </font>
    <font>
      <b/>
      <sz val="12"/>
      <color rgb="FFFFFFFF"/>
      <name val="Aptos Narrow"/>
      <family val="2"/>
      <scheme val="minor"/>
    </font>
    <font>
      <b/>
      <i/>
      <sz val="11"/>
      <color rgb="FF000000"/>
      <name val="Aptos Narrow"/>
      <family val="2"/>
      <scheme val="minor"/>
    </font>
    <font>
      <i/>
      <sz val="9"/>
      <color rgb="FF666666"/>
      <name val="Aptos Narrow"/>
      <family val="2"/>
      <scheme val="minor"/>
    </font>
    <font>
      <b/>
      <sz val="16"/>
      <color rgb="FF1F4E79"/>
      <name val="Calibri"/>
      <family val="2"/>
    </font>
    <font>
      <i/>
      <sz val="11"/>
      <color rgb="FF666666"/>
      <name val="Calibri"/>
      <family val="2"/>
    </font>
    <font>
      <b/>
      <sz val="12"/>
      <name val="Calibri"/>
      <family val="2"/>
    </font>
    <font>
      <b/>
      <u/>
      <sz val="11"/>
      <color rgb="FFFFFFFF"/>
      <name val="Calibri"/>
      <family val="2"/>
    </font>
    <font>
      <sz val="11"/>
      <color rgb="FFFFFFFF"/>
      <name val="Calibri"/>
      <family val="2"/>
    </font>
    <font>
      <b/>
      <sz val="11"/>
      <color rgb="FF000000"/>
      <name val="Calibri"/>
      <family val="2"/>
    </font>
    <font>
      <b/>
      <sz val="9"/>
      <name val="Calibri"/>
      <family val="2"/>
    </font>
    <font>
      <sz val="10"/>
      <name val="Calibri"/>
      <family val="2"/>
    </font>
    <font>
      <sz val="10"/>
      <color theme="3"/>
      <name val="Calibri"/>
      <family val="2"/>
    </font>
    <font>
      <b/>
      <sz val="9"/>
      <color rgb="FF000000"/>
      <name val="Calibri"/>
      <family val="2"/>
    </font>
    <font>
      <i/>
      <sz val="10"/>
      <color rgb="FF000000"/>
      <name val="Calibri"/>
      <family val="2"/>
    </font>
    <font>
      <b/>
      <sz val="12"/>
      <color theme="0"/>
      <name val="Calibri"/>
      <family val="2"/>
    </font>
    <font>
      <b/>
      <sz val="18"/>
      <color theme="0"/>
      <name val="Calibri"/>
      <family val="2"/>
    </font>
    <font>
      <b/>
      <sz val="10"/>
      <color rgb="FF000000"/>
      <name val="Calibri"/>
      <family val="2"/>
    </font>
    <font>
      <b/>
      <sz val="11"/>
      <name val="Calibri"/>
      <family val="2"/>
    </font>
    <font>
      <b/>
      <sz val="16"/>
      <color rgb="FFFFFFFF"/>
      <name val="Aptos Narrow"/>
      <family val="2"/>
      <scheme val="minor"/>
    </font>
    <font>
      <i/>
      <sz val="12"/>
      <color rgb="FF000000"/>
      <name val="Aptos Narrow"/>
      <family val="2"/>
      <scheme val="minor"/>
    </font>
    <font>
      <b/>
      <sz val="16"/>
      <color rgb="FF000000"/>
      <name val="Aptos Narrow"/>
      <family val="2"/>
      <scheme val="minor"/>
    </font>
    <font>
      <b/>
      <sz val="11"/>
      <color rgb="FF008000"/>
      <name val="Aptos Narrow"/>
      <family val="2"/>
      <scheme val="minor"/>
    </font>
    <font>
      <b/>
      <sz val="12"/>
      <color rgb="FF000000"/>
      <name val="Aptos Narrow"/>
      <family val="2"/>
      <scheme val="minor"/>
    </font>
    <font>
      <sz val="10"/>
      <color rgb="FF0000FF"/>
      <name val="Calibri"/>
      <family val="2"/>
    </font>
    <font>
      <b/>
      <sz val="18"/>
      <color rgb="FF1F2937"/>
      <name val="Aptos Narrow"/>
      <family val="2"/>
      <scheme val="minor"/>
    </font>
    <font>
      <sz val="10"/>
      <color rgb="FF000000"/>
      <name val="Aptos Narrow"/>
      <family val="2"/>
      <scheme val="minor"/>
    </font>
    <font>
      <i/>
      <sz val="10"/>
      <color rgb="FF6B7280"/>
      <name val="Aptos Narrow"/>
      <family val="2"/>
      <scheme val="minor"/>
    </font>
    <font>
      <b/>
      <sz val="9"/>
      <color rgb="FF374151"/>
      <name val="Aptos Narrow"/>
      <family val="2"/>
      <scheme val="minor"/>
    </font>
    <font>
      <sz val="7"/>
      <color rgb="FF6B7280"/>
      <name val="Aptos Narrow"/>
      <family val="2"/>
      <scheme val="minor"/>
    </font>
    <font>
      <sz val="10"/>
      <color rgb="FF1F2937"/>
      <name val="Aptos Narrow"/>
      <family val="2"/>
      <scheme val="minor"/>
    </font>
    <font>
      <sz val="9"/>
      <color rgb="FF4B5563"/>
      <name val="Aptos Narrow"/>
      <family val="2"/>
      <scheme val="minor"/>
    </font>
    <font>
      <sz val="9"/>
      <color rgb="FF6B7280"/>
      <name val="Aptos Narrow"/>
      <family val="2"/>
      <scheme val="minor"/>
    </font>
    <font>
      <i/>
      <sz val="8"/>
      <color rgb="FF6B7280"/>
      <name val="Aptos Narrow"/>
      <family val="2"/>
      <scheme val="minor"/>
    </font>
    <font>
      <b/>
      <sz val="8"/>
      <color rgb="FFDC2626"/>
      <name val="Aptos Narrow"/>
      <family val="2"/>
      <scheme val="minor"/>
    </font>
    <font>
      <b/>
      <sz val="8"/>
      <color rgb="FF6B7280"/>
      <name val="Aptos Narrow"/>
      <family val="2"/>
      <scheme val="minor"/>
    </font>
    <font>
      <sz val="8"/>
      <color rgb="FF3B82F6"/>
      <name val="Aptos Narrow"/>
      <family val="2"/>
      <scheme val="minor"/>
    </font>
    <font>
      <sz val="8"/>
      <color rgb="FF14B8A6"/>
      <name val="Aptos Narrow"/>
      <family val="2"/>
      <scheme val="minor"/>
    </font>
    <font>
      <sz val="8"/>
      <color rgb="FFF59E0B"/>
      <name val="Aptos Narrow"/>
      <family val="2"/>
      <scheme val="minor"/>
    </font>
    <font>
      <sz val="8"/>
      <color rgb="FF8B5CF6"/>
      <name val="Aptos Narrow"/>
      <family val="2"/>
      <scheme val="minor"/>
    </font>
    <font>
      <sz val="8"/>
      <color rgb="FF10B981"/>
      <name val="Aptos Narrow"/>
      <family val="2"/>
      <scheme val="minor"/>
    </font>
    <font>
      <b/>
      <sz val="9"/>
      <color rgb="FF1F2937"/>
      <name val="Aptos Narrow"/>
      <family val="2"/>
      <scheme val="minor"/>
    </font>
    <font>
      <sz val="10"/>
      <color rgb="FFDC2626"/>
      <name val="Aptos Narrow"/>
      <family val="2"/>
      <scheme val="minor"/>
    </font>
    <font>
      <sz val="11"/>
      <color rgb="FF333333"/>
      <name val="Calibri"/>
      <family val="2"/>
    </font>
    <font>
      <i/>
      <sz val="11"/>
      <color rgb="FF333333"/>
      <name val="Calibri"/>
      <family val="2"/>
    </font>
    <font>
      <b/>
      <sz val="11"/>
      <color rgb="FF333333"/>
      <name val="Calibri"/>
      <family val="2"/>
    </font>
    <font>
      <sz val="11"/>
      <color rgb="FF0E2841"/>
      <name val="Calibri"/>
      <family val="2"/>
    </font>
    <font>
      <b/>
      <i/>
      <sz val="11"/>
      <color rgb="FF666666"/>
      <name val="Calibri"/>
      <family val="2"/>
    </font>
    <font>
      <sz val="10"/>
      <color rgb="FF666666"/>
      <name val="Calibri"/>
      <family val="2"/>
    </font>
    <font>
      <b/>
      <sz val="10"/>
      <color rgb="FF666666"/>
      <name val="Calibri"/>
      <family val="2"/>
    </font>
    <font>
      <i/>
      <sz val="10"/>
      <color rgb="FF666666"/>
      <name val="Calibri"/>
      <family val="2"/>
    </font>
    <font>
      <i/>
      <sz val="10"/>
      <color rgb="FF888888"/>
      <name val="Calibri"/>
      <family val="2"/>
    </font>
    <font>
      <b/>
      <i/>
      <sz val="11"/>
      <color rgb="FFFFFFFF"/>
      <name val="Calibri"/>
      <family val="2"/>
    </font>
    <font>
      <i/>
      <sz val="11"/>
      <color rgb="FF0E2841"/>
      <name val="Calibri"/>
      <family val="2"/>
    </font>
  </fonts>
  <fills count="58">
    <fill>
      <patternFill patternType="none"/>
    </fill>
    <fill>
      <patternFill patternType="gray125"/>
    </fill>
    <fill>
      <patternFill patternType="none"/>
    </fill>
    <fill>
      <patternFill patternType="solid">
        <fgColor theme="0"/>
        <bgColor indexed="64"/>
      </patternFill>
    </fill>
    <fill>
      <patternFill patternType="solid">
        <fgColor rgb="FFFFFFCC"/>
        <bgColor indexed="64"/>
      </patternFill>
    </fill>
    <fill>
      <patternFill patternType="solid">
        <fgColor theme="0" tint="-4.9989318521683403E-2"/>
        <bgColor indexed="64"/>
      </patternFill>
    </fill>
    <fill>
      <patternFill patternType="lightGray">
        <fgColor theme="0" tint="-0.34998626667073579"/>
        <bgColor indexed="65"/>
      </patternFill>
    </fill>
    <fill>
      <patternFill patternType="solid">
        <fgColor theme="0" tint="-0.499984740745262"/>
        <bgColor indexed="64"/>
      </patternFill>
    </fill>
    <fill>
      <patternFill patternType="lightUp">
        <fgColor theme="0" tint="-0.34998626667073579"/>
        <bgColor indexed="65"/>
      </patternFill>
    </fill>
    <fill>
      <patternFill patternType="solid">
        <fgColor rgb="FFF2F2F2"/>
        <bgColor indexed="64"/>
      </patternFill>
    </fill>
    <fill>
      <patternFill patternType="solid">
        <fgColor theme="0" tint="-0.1498764000366222"/>
        <bgColor indexed="64"/>
      </patternFill>
    </fill>
    <fill>
      <patternFill patternType="solid">
        <fgColor rgb="FFED1C24"/>
        <bgColor indexed="64"/>
      </patternFill>
    </fill>
    <fill>
      <patternFill patternType="solid">
        <fgColor rgb="FFE8ECEE"/>
        <bgColor indexed="64"/>
      </patternFill>
    </fill>
    <fill>
      <patternFill patternType="solid">
        <fgColor rgb="FFEDAA6D"/>
        <bgColor indexed="64"/>
      </patternFill>
    </fill>
    <fill>
      <patternFill patternType="solid">
        <fgColor rgb="FFFFFFFF"/>
      </patternFill>
    </fill>
    <fill>
      <patternFill patternType="solid">
        <fgColor rgb="FFED1C24"/>
      </patternFill>
    </fill>
    <fill>
      <patternFill patternType="solid">
        <fgColor rgb="FFF2F2F2"/>
      </patternFill>
    </fill>
    <fill>
      <patternFill patternType="solid">
        <fgColor rgb="FF000000"/>
      </patternFill>
    </fill>
    <fill>
      <patternFill patternType="solid">
        <fgColor rgb="FFD9E1F2"/>
      </patternFill>
    </fill>
    <fill>
      <patternFill patternType="solid">
        <fgColor rgb="FF404040"/>
      </patternFill>
    </fill>
    <fill>
      <patternFill patternType="solid">
        <fgColor theme="1" tint="4.9989318521683403E-2"/>
        <bgColor indexed="64"/>
      </patternFill>
    </fill>
    <fill>
      <patternFill patternType="solid">
        <fgColor rgb="FFD9E1F2"/>
        <bgColor indexed="64"/>
      </patternFill>
    </fill>
    <fill>
      <patternFill patternType="solid">
        <fgColor indexed="22"/>
        <bgColor indexed="64"/>
      </patternFill>
    </fill>
    <fill>
      <patternFill patternType="solid">
        <fgColor rgb="FF99CCFF"/>
        <bgColor indexed="64"/>
      </patternFill>
    </fill>
    <fill>
      <patternFill patternType="solid">
        <fgColor rgb="FFFFFF99"/>
        <bgColor indexed="64"/>
      </patternFill>
    </fill>
    <fill>
      <patternFill patternType="solid">
        <fgColor theme="0" tint="-0.249977111117893"/>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1F4E79"/>
        <bgColor indexed="64"/>
      </patternFill>
    </fill>
    <fill>
      <patternFill patternType="solid">
        <fgColor rgb="FFE2EFDA"/>
        <bgColor indexed="64"/>
      </patternFill>
    </fill>
    <fill>
      <patternFill patternType="solid">
        <fgColor rgb="FFD6DCE5"/>
        <bgColor indexed="64"/>
      </patternFill>
    </fill>
    <fill>
      <patternFill patternType="solid">
        <fgColor rgb="FFFFF2CC"/>
        <bgColor indexed="64"/>
      </patternFill>
    </fill>
    <fill>
      <patternFill patternType="solid">
        <fgColor rgb="FFFFFFFF"/>
        <bgColor indexed="64"/>
      </patternFill>
    </fill>
    <fill>
      <patternFill patternType="solid">
        <fgColor rgb="FF2E75B6"/>
        <bgColor indexed="64"/>
      </patternFill>
    </fill>
    <fill>
      <patternFill patternType="solid">
        <fgColor rgb="FFBDD7EE"/>
        <bgColor indexed="64"/>
      </patternFill>
    </fill>
    <fill>
      <patternFill patternType="solid">
        <fgColor rgb="FF808080"/>
        <bgColor indexed="64"/>
      </patternFill>
    </fill>
    <fill>
      <patternFill patternType="solid">
        <fgColor rgb="FFD9EAD3"/>
        <bgColor indexed="64"/>
      </patternFill>
    </fill>
    <fill>
      <patternFill patternType="solid">
        <fgColor rgb="FFA9D08E"/>
        <bgColor indexed="64"/>
      </patternFill>
    </fill>
    <fill>
      <patternFill patternType="solid">
        <fgColor rgb="FFF8F8F8"/>
        <bgColor indexed="64"/>
      </patternFill>
    </fill>
    <fill>
      <patternFill patternType="solid">
        <fgColor rgb="FF00B050"/>
        <bgColor indexed="64"/>
      </patternFill>
    </fill>
    <fill>
      <patternFill patternType="solid">
        <fgColor rgb="FFD0D0D0"/>
        <bgColor rgb="FF000000"/>
      </patternFill>
    </fill>
    <fill>
      <patternFill patternType="solid">
        <fgColor rgb="FFD9D9D9"/>
        <bgColor rgb="FF000000"/>
      </patternFill>
    </fill>
    <fill>
      <patternFill patternType="solid">
        <fgColor rgb="FFFFFF00"/>
        <bgColor rgb="FF000000"/>
      </patternFill>
    </fill>
    <fill>
      <patternFill patternType="solid">
        <fgColor rgb="FFBFBFBF"/>
        <bgColor rgb="FF000000"/>
      </patternFill>
    </fill>
    <fill>
      <patternFill patternType="solid">
        <fgColor rgb="FFD9E2F3"/>
        <bgColor indexed="64"/>
      </patternFill>
    </fill>
    <fill>
      <patternFill patternType="solid">
        <fgColor rgb="FFFFFF00"/>
        <bgColor indexed="64"/>
      </patternFill>
    </fill>
    <fill>
      <patternFill patternType="solid">
        <fgColor rgb="FFDAEEF3"/>
        <bgColor indexed="64"/>
      </patternFill>
    </fill>
    <fill>
      <patternFill patternType="solid">
        <fgColor rgb="FFD6DCE4"/>
        <bgColor indexed="64"/>
      </patternFill>
    </fill>
    <fill>
      <patternFill patternType="solid">
        <fgColor rgb="FF548235"/>
        <bgColor indexed="64"/>
      </patternFill>
    </fill>
    <fill>
      <patternFill patternType="solid">
        <fgColor rgb="FFC6EFCE"/>
        <bgColor indexed="64"/>
      </patternFill>
    </fill>
    <fill>
      <patternFill patternType="solid">
        <fgColor rgb="FF203864"/>
        <bgColor indexed="64"/>
      </patternFill>
    </fill>
    <fill>
      <patternFill patternType="solid">
        <fgColor rgb="FF002060"/>
        <bgColor indexed="64"/>
      </patternFill>
    </fill>
    <fill>
      <patternFill patternType="solid">
        <fgColor rgb="FFF9FAFB"/>
        <bgColor indexed="64"/>
      </patternFill>
    </fill>
    <fill>
      <patternFill patternType="solid">
        <fgColor rgb="FFFAFAFA"/>
        <bgColor indexed="64"/>
      </patternFill>
    </fill>
    <fill>
      <patternFill patternType="solid">
        <fgColor rgb="FFD9D9D9"/>
        <bgColor indexed="64"/>
      </patternFill>
    </fill>
    <fill>
      <patternFill patternType="solid">
        <fgColor rgb="FFDCE6F1"/>
        <bgColor indexed="64"/>
      </patternFill>
    </fill>
  </fills>
  <borders count="60">
    <border>
      <left/>
      <right/>
      <top/>
      <bottom/>
      <diagonal/>
    </border>
    <border>
      <left/>
      <right/>
      <top style="thin">
        <color indexed="64"/>
      </top>
      <bottom style="thin">
        <color indexed="64"/>
      </bottom>
      <diagonal/>
    </border>
    <border>
      <left/>
      <right/>
      <top style="thin">
        <color indexed="64"/>
      </top>
      <bottom style="medium">
        <color indexed="64"/>
      </bottom>
      <diagonal/>
    </border>
    <border>
      <left/>
      <right/>
      <top style="thin">
        <color indexed="64"/>
      </top>
      <bottom/>
      <diagonal/>
    </border>
    <border>
      <left/>
      <right/>
      <top/>
      <bottom style="medium">
        <color auto="1"/>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indexed="64"/>
      </left>
      <right style="thin">
        <color indexed="64"/>
      </right>
      <top style="thin">
        <color indexed="64"/>
      </top>
      <bottom style="thin">
        <color indexed="64"/>
      </bottom>
      <diagonal/>
    </border>
    <border>
      <left style="thin">
        <color theme="9" tint="-0.499984740745262"/>
      </left>
      <right style="thin">
        <color theme="9" tint="-0.499984740745262"/>
      </right>
      <top style="thin">
        <color theme="9" tint="-0.499984740745262"/>
      </top>
      <bottom style="thin">
        <color theme="9" tint="-0.499984740745262"/>
      </bottom>
      <diagonal/>
    </border>
    <border>
      <left/>
      <right/>
      <top style="thin">
        <color auto="1"/>
      </top>
      <bottom style="double">
        <color auto="1"/>
      </bottom>
      <diagonal/>
    </border>
    <border>
      <left/>
      <right/>
      <top/>
      <bottom style="medium">
        <color rgb="FF58595B"/>
      </bottom>
      <diagonal/>
    </border>
    <border>
      <left/>
      <right/>
      <top/>
      <bottom style="thin">
        <color indexed="64"/>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right/>
      <top/>
      <bottom/>
      <diagonal/>
    </border>
    <border>
      <left/>
      <right/>
      <top style="double">
        <color indexed="64"/>
      </top>
      <bottom/>
      <diagonal/>
    </border>
    <border>
      <left/>
      <right style="thin">
        <color rgb="FF1F4E79"/>
      </right>
      <top style="thin">
        <color rgb="FF1F4E79"/>
      </top>
      <bottom/>
      <diagonal/>
    </border>
    <border>
      <left style="thin">
        <color rgb="FF0070C0"/>
      </left>
      <right/>
      <top style="thin">
        <color rgb="FF0070C0"/>
      </top>
      <bottom/>
      <diagonal/>
    </border>
    <border>
      <left/>
      <right style="thin">
        <color rgb="FF0070C0"/>
      </right>
      <top style="thin">
        <color rgb="FF0070C0"/>
      </top>
      <bottom/>
      <diagonal/>
    </border>
    <border>
      <left style="thin">
        <color rgb="FF0070C0"/>
      </left>
      <right/>
      <top/>
      <bottom/>
      <diagonal/>
    </border>
    <border>
      <left/>
      <right style="thin">
        <color rgb="FF0070C0"/>
      </right>
      <top/>
      <bottom/>
      <diagonal/>
    </border>
    <border>
      <left style="thin">
        <color rgb="FF0070C0"/>
      </left>
      <right/>
      <top/>
      <bottom style="thin">
        <color rgb="FF1F4E79"/>
      </bottom>
      <diagonal/>
    </border>
    <border>
      <left/>
      <right style="thin">
        <color rgb="FF0070C0"/>
      </right>
      <top/>
      <bottom style="thin">
        <color rgb="FF1F4E79"/>
      </bottom>
      <diagonal/>
    </border>
    <border>
      <left style="thin">
        <color rgb="FF0070C0"/>
      </left>
      <right/>
      <top/>
      <bottom style="thin">
        <color rgb="FF0070C0"/>
      </bottom>
      <diagonal/>
    </border>
    <border>
      <left/>
      <right style="thin">
        <color rgb="FF0070C0"/>
      </right>
      <top/>
      <bottom style="thin">
        <color rgb="FF0070C0"/>
      </bottom>
      <diagonal/>
    </border>
    <border>
      <left style="thin">
        <color auto="1"/>
      </left>
      <right/>
      <top style="thin">
        <color indexed="64"/>
      </top>
      <bottom/>
      <diagonal/>
    </border>
    <border>
      <left style="thin">
        <color auto="1"/>
      </left>
      <right/>
      <top/>
      <bottom/>
      <diagonal/>
    </border>
    <border>
      <left style="thin">
        <color auto="1"/>
      </left>
      <right/>
      <top/>
      <bottom style="thin">
        <color indexed="64"/>
      </bottom>
      <diagonal/>
    </border>
    <border>
      <left style="thin">
        <color auto="1"/>
      </left>
      <right style="thin">
        <color auto="1"/>
      </right>
      <top style="thin">
        <color indexed="64"/>
      </top>
      <bottom/>
      <diagonal/>
    </border>
    <border>
      <left style="thin">
        <color auto="1"/>
      </left>
      <right style="thin">
        <color auto="1"/>
      </right>
      <top/>
      <bottom/>
      <diagonal/>
    </border>
    <border>
      <left style="thin">
        <color auto="1"/>
      </left>
      <right style="thin">
        <color auto="1"/>
      </right>
      <top/>
      <bottom style="thin">
        <color indexed="64"/>
      </bottom>
      <diagonal/>
    </border>
    <border>
      <left/>
      <right style="thin">
        <color auto="1"/>
      </right>
      <top style="thin">
        <color indexed="64"/>
      </top>
      <bottom/>
      <diagonal/>
    </border>
    <border>
      <left/>
      <right style="thin">
        <color auto="1"/>
      </right>
      <top/>
      <bottom/>
      <diagonal/>
    </border>
    <border>
      <left/>
      <right style="thin">
        <color auto="1"/>
      </right>
      <top/>
      <bottom style="thin">
        <color indexed="64"/>
      </bottom>
      <diagonal/>
    </border>
    <border>
      <left style="medium">
        <color rgb="FF000000"/>
      </left>
      <right style="medium">
        <color rgb="FF000000"/>
      </right>
      <top style="thin">
        <color theme="1" tint="0.34998626667073579"/>
      </top>
      <bottom style="thin">
        <color theme="1" tint="0.34998626667073579"/>
      </bottom>
      <diagonal/>
    </border>
    <border>
      <left style="medium">
        <color rgb="FF000000"/>
      </left>
      <right style="medium">
        <color rgb="FF000000"/>
      </right>
      <top style="thin">
        <color theme="1" tint="0.34998626667073579"/>
      </top>
      <bottom style="medium">
        <color rgb="FF000000"/>
      </bottom>
      <diagonal/>
    </border>
    <border>
      <left style="thin">
        <color rgb="FF1F4E79"/>
      </left>
      <right style="thin">
        <color rgb="FF1F4E79"/>
      </right>
      <top style="thin">
        <color rgb="FF1F4E79"/>
      </top>
      <bottom/>
      <diagonal/>
    </border>
    <border>
      <left/>
      <right/>
      <top/>
      <bottom style="thin">
        <color rgb="FFD1D5DB"/>
      </bottom>
      <diagonal/>
    </border>
    <border>
      <left/>
      <right style="thin">
        <color rgb="FFF3F4F6"/>
      </right>
      <top/>
      <bottom/>
      <diagonal/>
    </border>
    <border>
      <left style="thin">
        <color rgb="FFF3F4F6"/>
      </left>
      <right style="thin">
        <color rgb="FFF3F4F6"/>
      </right>
      <top/>
      <bottom/>
      <diagonal/>
    </border>
    <border>
      <left style="thin">
        <color rgb="FFF3F4F6"/>
      </left>
      <right/>
      <top/>
      <bottom/>
      <diagonal/>
    </border>
    <border>
      <left/>
      <right/>
      <top/>
      <bottom style="thin">
        <color rgb="FFF3F4F6"/>
      </bottom>
      <diagonal/>
    </border>
    <border>
      <left/>
      <right style="thin">
        <color rgb="FFF3F4F6"/>
      </right>
      <top/>
      <bottom style="thin">
        <color rgb="FFF3F4F6"/>
      </bottom>
      <diagonal/>
    </border>
    <border>
      <left style="thin">
        <color rgb="FFF3F4F6"/>
      </left>
      <right style="thin">
        <color rgb="FFF3F4F6"/>
      </right>
      <top/>
      <bottom style="thin">
        <color rgb="FFF3F4F6"/>
      </bottom>
      <diagonal/>
    </border>
    <border>
      <left style="thin">
        <color rgb="FFF3F4F6"/>
      </left>
      <right/>
      <top/>
      <bottom style="thin">
        <color rgb="FFF3F4F6"/>
      </bottom>
      <diagonal/>
    </border>
    <border>
      <left/>
      <right/>
      <top style="thin">
        <color rgb="FFF3F4F6"/>
      </top>
      <bottom style="thin">
        <color rgb="FFF3F4F6"/>
      </bottom>
      <diagonal/>
    </border>
    <border>
      <left/>
      <right style="thin">
        <color rgb="FFF3F4F6"/>
      </right>
      <top style="thin">
        <color rgb="FFF3F4F6"/>
      </top>
      <bottom style="thin">
        <color rgb="FFF3F4F6"/>
      </bottom>
      <diagonal/>
    </border>
    <border>
      <left style="thin">
        <color rgb="FFF3F4F6"/>
      </left>
      <right style="thin">
        <color rgb="FFF3F4F6"/>
      </right>
      <top style="thin">
        <color rgb="FFF3F4F6"/>
      </top>
      <bottom style="thin">
        <color rgb="FFF3F4F6"/>
      </bottom>
      <diagonal/>
    </border>
    <border>
      <left style="thin">
        <color rgb="FFF3F4F6"/>
      </left>
      <right/>
      <top style="thin">
        <color rgb="FFF3F4F6"/>
      </top>
      <bottom style="thin">
        <color rgb="FFF3F4F6"/>
      </bottom>
      <diagonal/>
    </border>
    <border>
      <left/>
      <right/>
      <top style="thin">
        <color rgb="FFF3F4F6"/>
      </top>
      <bottom/>
      <diagonal/>
    </border>
    <border>
      <left/>
      <right style="thin">
        <color rgb="FFF3F4F6"/>
      </right>
      <top style="thin">
        <color rgb="FFF3F4F6"/>
      </top>
      <bottom/>
      <diagonal/>
    </border>
    <border>
      <left style="thin">
        <color rgb="FFF3F4F6"/>
      </left>
      <right style="thin">
        <color rgb="FFF3F4F6"/>
      </right>
      <top style="thin">
        <color rgb="FFF3F4F6"/>
      </top>
      <bottom/>
      <diagonal/>
    </border>
    <border>
      <left style="thin">
        <color rgb="FFF3F4F6"/>
      </left>
      <right/>
      <top style="thin">
        <color rgb="FFF3F4F6"/>
      </top>
      <bottom/>
      <diagonal/>
    </border>
    <border>
      <left/>
      <right/>
      <top style="thin">
        <color rgb="FFF3F4F6"/>
      </top>
      <bottom style="thin">
        <color rgb="FFE5E7EB"/>
      </bottom>
      <diagonal/>
    </border>
    <border>
      <left/>
      <right style="thin">
        <color rgb="FFF3F4F6"/>
      </right>
      <top style="thin">
        <color rgb="FFF3F4F6"/>
      </top>
      <bottom style="thin">
        <color rgb="FFE5E7EB"/>
      </bottom>
      <diagonal/>
    </border>
    <border>
      <left style="thin">
        <color rgb="FFF3F4F6"/>
      </left>
      <right style="thin">
        <color rgb="FFF3F4F6"/>
      </right>
      <top style="thin">
        <color rgb="FFF3F4F6"/>
      </top>
      <bottom style="thin">
        <color rgb="FFE5E7EB"/>
      </bottom>
      <diagonal/>
    </border>
    <border>
      <left style="thin">
        <color rgb="FFF3F4F6"/>
      </left>
      <right/>
      <top style="thin">
        <color rgb="FFF3F4F6"/>
      </top>
      <bottom style="thin">
        <color rgb="FFE5E7EB"/>
      </bottom>
      <diagonal/>
    </border>
    <border>
      <left/>
      <right/>
      <top/>
      <bottom style="thin">
        <color rgb="FFD9D9D9"/>
      </bottom>
      <diagonal/>
    </border>
  </borders>
  <cellStyleXfs count="44">
    <xf numFmtId="0" fontId="0" fillId="2" borderId="16"/>
    <xf numFmtId="43" fontId="2" fillId="2" borderId="16"/>
    <xf numFmtId="44" fontId="2" fillId="2" borderId="16"/>
    <xf numFmtId="9" fontId="2" fillId="2" borderId="16"/>
    <xf numFmtId="0" fontId="2" fillId="2" borderId="16"/>
    <xf numFmtId="0" fontId="47" fillId="2" borderId="16"/>
    <xf numFmtId="43" fontId="15" fillId="2" borderId="16"/>
    <xf numFmtId="165" fontId="15" fillId="2" borderId="16"/>
    <xf numFmtId="0" fontId="4" fillId="2" borderId="16"/>
    <xf numFmtId="0" fontId="18" fillId="2" borderId="16"/>
    <xf numFmtId="0" fontId="21" fillId="2" borderId="16"/>
    <xf numFmtId="0" fontId="22" fillId="2" borderId="16"/>
    <xf numFmtId="0" fontId="23" fillId="4" borderId="5">
      <alignment horizontal="right"/>
      <protection locked="0"/>
    </xf>
    <xf numFmtId="0" fontId="24" fillId="2" borderId="16"/>
    <xf numFmtId="0" fontId="26" fillId="5" borderId="6"/>
    <xf numFmtId="0" fontId="43" fillId="2" borderId="8"/>
    <xf numFmtId="0" fontId="29" fillId="5" borderId="9"/>
    <xf numFmtId="0" fontId="30" fillId="2" borderId="3"/>
    <xf numFmtId="0" fontId="30" fillId="2" borderId="1"/>
    <xf numFmtId="0" fontId="43" fillId="10" borderId="8"/>
    <xf numFmtId="0" fontId="31" fillId="7" borderId="8">
      <alignment horizontal="centerContinuous" vertical="center" wrapText="1"/>
    </xf>
    <xf numFmtId="166" fontId="32" fillId="8" borderId="7"/>
    <xf numFmtId="169" fontId="30" fillId="2" borderId="16"/>
    <xf numFmtId="0" fontId="21" fillId="2" borderId="16"/>
    <xf numFmtId="0" fontId="23" fillId="4" borderId="5">
      <alignment horizontal="right"/>
      <protection locked="0"/>
    </xf>
    <xf numFmtId="0" fontId="24" fillId="2" borderId="16"/>
    <xf numFmtId="169" fontId="30" fillId="2" borderId="16"/>
    <xf numFmtId="0" fontId="30" fillId="2" borderId="10"/>
    <xf numFmtId="0" fontId="30" fillId="6" borderId="7"/>
    <xf numFmtId="0" fontId="20" fillId="2" borderId="16"/>
    <xf numFmtId="0" fontId="29" fillId="5" borderId="9"/>
    <xf numFmtId="0" fontId="22" fillId="2" borderId="16"/>
    <xf numFmtId="0" fontId="43" fillId="2" borderId="8"/>
    <xf numFmtId="166" fontId="32" fillId="8" borderId="7"/>
    <xf numFmtId="0" fontId="36" fillId="11" borderId="16"/>
    <xf numFmtId="0" fontId="38" fillId="12" borderId="16"/>
    <xf numFmtId="0" fontId="37" fillId="2" borderId="11"/>
    <xf numFmtId="190" fontId="43" fillId="2" borderId="16"/>
    <xf numFmtId="191" fontId="35" fillId="2" borderId="5">
      <alignment horizontal="center"/>
    </xf>
    <xf numFmtId="2" fontId="39" fillId="2" borderId="16"/>
    <xf numFmtId="0" fontId="43" fillId="10" borderId="8"/>
    <xf numFmtId="0" fontId="43" fillId="13" borderId="5"/>
    <xf numFmtId="0" fontId="43" fillId="2" borderId="8"/>
    <xf numFmtId="15" fontId="18" fillId="2" borderId="16"/>
  </cellStyleXfs>
  <cellXfs count="750">
    <xf numFmtId="0" fontId="0" fillId="0" borderId="0" xfId="0" applyFill="1" applyBorder="1"/>
    <xf numFmtId="0" fontId="20" fillId="2" borderId="4" xfId="9" applyFont="1" applyBorder="1"/>
    <xf numFmtId="0" fontId="18" fillId="2" borderId="4" xfId="9" applyBorder="1"/>
    <xf numFmtId="0" fontId="23" fillId="4" borderId="5" xfId="12">
      <alignment horizontal="right"/>
      <protection locked="0"/>
    </xf>
    <xf numFmtId="0" fontId="26" fillId="5" borderId="6" xfId="14"/>
    <xf numFmtId="0" fontId="18" fillId="6" borderId="7" xfId="9" applyFill="1" applyBorder="1"/>
    <xf numFmtId="0" fontId="28" fillId="2" borderId="8" xfId="15" applyFont="1"/>
    <xf numFmtId="0" fontId="29" fillId="5" borderId="9" xfId="16"/>
    <xf numFmtId="0" fontId="0" fillId="2" borderId="3" xfId="17" applyFont="1"/>
    <xf numFmtId="0" fontId="0" fillId="2" borderId="1" xfId="18" applyFont="1"/>
    <xf numFmtId="0" fontId="31" fillId="7" borderId="8" xfId="20">
      <alignment horizontal="centerContinuous" vertical="center" wrapText="1"/>
    </xf>
    <xf numFmtId="0" fontId="18" fillId="2" borderId="10" xfId="9" applyBorder="1"/>
    <xf numFmtId="0" fontId="23" fillId="4" borderId="5" xfId="12" applyAlignment="1">
      <alignment horizontal="right" vertical="center"/>
      <protection locked="0"/>
    </xf>
    <xf numFmtId="0" fontId="28" fillId="2" borderId="8" xfId="42" applyFont="1" applyAlignment="1">
      <alignment horizontal="right"/>
    </xf>
    <xf numFmtId="1" fontId="28" fillId="2" borderId="8" xfId="15" applyNumberFormat="1" applyFont="1" applyAlignment="1">
      <alignment horizontal="right" vertical="center" wrapText="1"/>
    </xf>
    <xf numFmtId="3" fontId="28" fillId="10" borderId="8" xfId="40" applyNumberFormat="1" applyFont="1" applyAlignment="1">
      <alignment wrapText="1"/>
    </xf>
    <xf numFmtId="0" fontId="28" fillId="10" borderId="8" xfId="40" applyFont="1" applyAlignment="1">
      <alignment wrapText="1"/>
    </xf>
    <xf numFmtId="9" fontId="2" fillId="2" borderId="8" xfId="3" applyBorder="1"/>
    <xf numFmtId="0" fontId="50" fillId="2" borderId="16" xfId="0" applyFont="1" applyAlignment="1">
      <alignment horizontal="left" vertical="center" wrapText="1"/>
    </xf>
    <xf numFmtId="0" fontId="38" fillId="12" borderId="16" xfId="0" applyFont="1" applyFill="1"/>
    <xf numFmtId="0" fontId="7" fillId="2" borderId="16" xfId="0" applyFont="1"/>
    <xf numFmtId="9" fontId="2" fillId="2" borderId="16" xfId="3"/>
    <xf numFmtId="0" fontId="56" fillId="22" borderId="16" xfId="0" applyFont="1" applyFill="1" applyAlignment="1">
      <alignment vertical="center"/>
    </xf>
    <xf numFmtId="0" fontId="57" fillId="22" borderId="16" xfId="0" applyFont="1" applyFill="1" applyAlignment="1">
      <alignment horizontal="center" vertical="center"/>
    </xf>
    <xf numFmtId="0" fontId="57" fillId="2" borderId="16" xfId="0" applyFont="1" applyAlignment="1">
      <alignment horizontal="center" vertical="center"/>
    </xf>
    <xf numFmtId="0" fontId="54" fillId="2" borderId="16" xfId="0" applyFont="1"/>
    <xf numFmtId="0" fontId="57" fillId="2" borderId="16" xfId="0" applyFont="1" applyAlignment="1">
      <alignment vertical="center"/>
    </xf>
    <xf numFmtId="0" fontId="58" fillId="2" borderId="16" xfId="0" applyFont="1" applyAlignment="1">
      <alignment horizontal="left" vertical="center"/>
    </xf>
    <xf numFmtId="0" fontId="58" fillId="2" borderId="16" xfId="0" applyFont="1" applyAlignment="1">
      <alignment horizontal="center" vertical="center"/>
    </xf>
    <xf numFmtId="0" fontId="58" fillId="2" borderId="16" xfId="0" applyFont="1" applyAlignment="1">
      <alignment vertical="center"/>
    </xf>
    <xf numFmtId="0" fontId="52" fillId="2" borderId="16" xfId="5" applyFont="1" applyAlignment="1">
      <alignment horizontal="left" vertical="center" indent="3"/>
    </xf>
    <xf numFmtId="0" fontId="58" fillId="2" borderId="16" xfId="5" applyFont="1" applyAlignment="1">
      <alignment horizontal="left" vertical="center"/>
    </xf>
    <xf numFmtId="0" fontId="59" fillId="2" borderId="16" xfId="5" applyFont="1" applyAlignment="1">
      <alignment horizontal="left" vertical="center"/>
    </xf>
    <xf numFmtId="0" fontId="52" fillId="2" borderId="16" xfId="5" applyFont="1" applyAlignment="1">
      <alignment vertical="center"/>
    </xf>
    <xf numFmtId="0" fontId="53" fillId="2" borderId="16" xfId="0" applyFont="1" applyAlignment="1">
      <alignment vertical="center"/>
    </xf>
    <xf numFmtId="0" fontId="55" fillId="2" borderId="16" xfId="0" applyFont="1" applyAlignment="1">
      <alignment horizontal="left" vertical="center" indent="1"/>
    </xf>
    <xf numFmtId="0" fontId="61" fillId="2" borderId="16" xfId="0" applyFont="1" applyAlignment="1">
      <alignment horizontal="left" vertical="center" indent="1"/>
    </xf>
    <xf numFmtId="0" fontId="62" fillId="2" borderId="16" xfId="0" applyFont="1" applyAlignment="1">
      <alignment vertical="center"/>
    </xf>
    <xf numFmtId="0" fontId="52" fillId="2" borderId="16" xfId="5" applyFont="1" applyAlignment="1">
      <alignment horizontal="left" vertical="center"/>
    </xf>
    <xf numFmtId="0" fontId="64" fillId="2" borderId="16" xfId="0" applyFont="1" applyAlignment="1">
      <alignment vertical="center"/>
    </xf>
    <xf numFmtId="0" fontId="65" fillId="22" borderId="16" xfId="0" applyFont="1" applyFill="1" applyAlignment="1">
      <alignment vertical="center"/>
    </xf>
    <xf numFmtId="0" fontId="65" fillId="25" borderId="16" xfId="0" applyFont="1" applyFill="1" applyAlignment="1">
      <alignment vertical="center"/>
    </xf>
    <xf numFmtId="0" fontId="62" fillId="25" borderId="16" xfId="0" applyFont="1" applyFill="1" applyAlignment="1">
      <alignment horizontal="center" vertical="center"/>
    </xf>
    <xf numFmtId="0" fontId="0" fillId="2" borderId="16" xfId="0" applyAlignment="1">
      <alignment horizontal="left" vertical="center" indent="2"/>
    </xf>
    <xf numFmtId="0" fontId="60" fillId="2" borderId="16" xfId="0" applyFont="1" applyAlignment="1">
      <alignment horizontal="center" vertical="center"/>
    </xf>
    <xf numFmtId="0" fontId="60" fillId="26" borderId="16" xfId="0" applyFont="1" applyFill="1" applyAlignment="1">
      <alignment horizontal="center" vertical="center"/>
    </xf>
    <xf numFmtId="0" fontId="60" fillId="27" borderId="16" xfId="0" applyFont="1" applyFill="1" applyAlignment="1">
      <alignment horizontal="center" vertical="center"/>
    </xf>
    <xf numFmtId="0" fontId="60" fillId="28" borderId="16" xfId="0" applyFont="1" applyFill="1" applyAlignment="1">
      <alignment horizontal="center" vertical="center"/>
    </xf>
    <xf numFmtId="0" fontId="58" fillId="28" borderId="16" xfId="0" applyFont="1" applyFill="1" applyAlignment="1">
      <alignment horizontal="center" vertical="center"/>
    </xf>
    <xf numFmtId="0" fontId="0" fillId="28" borderId="16" xfId="0" applyFill="1"/>
    <xf numFmtId="0" fontId="58" fillId="28" borderId="16" xfId="0" applyFont="1" applyFill="1" applyAlignment="1">
      <alignment vertical="center"/>
    </xf>
    <xf numFmtId="0" fontId="4" fillId="2" borderId="16" xfId="8" applyAlignment="1">
      <alignment horizontal="left" vertical="center" indent="2"/>
    </xf>
    <xf numFmtId="0" fontId="51" fillId="2" borderId="16" xfId="5" applyFont="1" applyAlignment="1">
      <alignment horizontal="left" vertical="center"/>
    </xf>
    <xf numFmtId="0" fontId="51" fillId="26" borderId="16" xfId="5" applyFont="1" applyFill="1" applyAlignment="1">
      <alignment horizontal="left" vertical="center"/>
    </xf>
    <xf numFmtId="0" fontId="51" fillId="27" borderId="16" xfId="5" applyFont="1" applyFill="1" applyAlignment="1">
      <alignment horizontal="left" vertical="center"/>
    </xf>
    <xf numFmtId="0" fontId="51" fillId="28" borderId="16" xfId="5" applyFont="1" applyFill="1" applyAlignment="1">
      <alignment horizontal="left" vertical="center"/>
    </xf>
    <xf numFmtId="0" fontId="67" fillId="2" borderId="16" xfId="0" applyFont="1" applyAlignment="1">
      <alignment horizontal="left" vertical="center" indent="2"/>
    </xf>
    <xf numFmtId="0" fontId="61" fillId="2" borderId="16" xfId="0" applyFont="1" applyAlignment="1">
      <alignment horizontal="left" vertical="center" indent="2"/>
    </xf>
    <xf numFmtId="0" fontId="67" fillId="2" borderId="16" xfId="0" applyFont="1" applyAlignment="1">
      <alignment horizontal="left" vertical="center" indent="3"/>
    </xf>
    <xf numFmtId="0" fontId="60" fillId="2" borderId="16" xfId="0" applyFont="1" applyAlignment="1">
      <alignment vertical="center"/>
    </xf>
    <xf numFmtId="0" fontId="0" fillId="2" borderId="16" xfId="0" applyAlignment="1">
      <alignment horizontal="left" indent="1"/>
    </xf>
    <xf numFmtId="0" fontId="36" fillId="11" borderId="16" xfId="35" applyFont="1" applyFill="1"/>
    <xf numFmtId="0" fontId="38" fillId="12" borderId="16" xfId="36" applyFont="1" applyFill="1" applyBorder="1"/>
    <xf numFmtId="0" fontId="10" fillId="2" borderId="16" xfId="0" applyFont="1" applyAlignment="1">
      <alignment horizontal="left" vertical="center"/>
    </xf>
    <xf numFmtId="0" fontId="40" fillId="2" borderId="16" xfId="0" applyFont="1" applyAlignment="1">
      <alignment horizontal="left" vertical="center"/>
    </xf>
    <xf numFmtId="0" fontId="7" fillId="2" borderId="16" xfId="0" applyFont="1" applyAlignment="1">
      <alignment vertical="center"/>
    </xf>
    <xf numFmtId="0" fontId="28" fillId="14" borderId="16" xfId="0" applyFont="1" applyFill="1"/>
    <xf numFmtId="0" fontId="8" fillId="18" borderId="13" xfId="0" applyFont="1" applyFill="1" applyBorder="1" applyAlignment="1">
      <alignment horizontal="left" vertical="center"/>
    </xf>
    <xf numFmtId="10" fontId="8" fillId="18" borderId="13" xfId="0" applyNumberFormat="1" applyFont="1" applyFill="1" applyBorder="1" applyAlignment="1">
      <alignment horizontal="left" vertical="center"/>
    </xf>
    <xf numFmtId="0" fontId="8" fillId="16" borderId="13" xfId="0" applyFont="1" applyFill="1" applyBorder="1" applyAlignment="1">
      <alignment horizontal="center" vertical="center"/>
    </xf>
    <xf numFmtId="14" fontId="5" fillId="2" borderId="16" xfId="0" applyNumberFormat="1" applyFont="1" applyAlignment="1">
      <alignment horizontal="right" vertical="center"/>
    </xf>
    <xf numFmtId="0" fontId="12" fillId="2" borderId="16" xfId="0" applyFont="1" applyAlignment="1">
      <alignment horizontal="left" vertical="center" wrapText="1"/>
    </xf>
    <xf numFmtId="0" fontId="5" fillId="2" borderId="16" xfId="0" applyFont="1" applyAlignment="1">
      <alignment horizontal="left" vertical="center" wrapText="1"/>
    </xf>
    <xf numFmtId="0" fontId="6" fillId="2" borderId="16" xfId="0" applyFont="1" applyAlignment="1">
      <alignment horizontal="left" vertical="center" wrapText="1"/>
    </xf>
    <xf numFmtId="0" fontId="17" fillId="2" borderId="16" xfId="0" applyFont="1" applyAlignment="1">
      <alignment horizontal="left" vertical="center" wrapText="1"/>
    </xf>
    <xf numFmtId="0" fontId="11" fillId="2" borderId="16" xfId="0" applyFont="1" applyAlignment="1">
      <alignment horizontal="center" vertical="center" wrapText="1"/>
    </xf>
    <xf numFmtId="0" fontId="22" fillId="2" borderId="16" xfId="11"/>
    <xf numFmtId="0" fontId="5" fillId="2" borderId="16" xfId="0" applyFont="1" applyAlignment="1">
      <alignment horizontal="left" vertical="center"/>
    </xf>
    <xf numFmtId="0" fontId="0" fillId="2" borderId="16" xfId="0" applyAlignment="1">
      <alignment horizontal="center"/>
    </xf>
    <xf numFmtId="0" fontId="11" fillId="2" borderId="16" xfId="0" applyFont="1" applyAlignment="1">
      <alignment horizontal="left" vertical="center"/>
    </xf>
    <xf numFmtId="0" fontId="5" fillId="2" borderId="16" xfId="0" applyFont="1" applyAlignment="1">
      <alignment horizontal="center"/>
    </xf>
    <xf numFmtId="0" fontId="5" fillId="2" borderId="16" xfId="0" applyFont="1" applyAlignment="1">
      <alignment horizontal="right" vertical="center"/>
    </xf>
    <xf numFmtId="0" fontId="5" fillId="2" borderId="16" xfId="0" applyFont="1" applyAlignment="1">
      <alignment horizontal="left"/>
    </xf>
    <xf numFmtId="0" fontId="5" fillId="2" borderId="16" xfId="0" applyFont="1" applyAlignment="1">
      <alignment horizontal="right"/>
    </xf>
    <xf numFmtId="0" fontId="9" fillId="2" borderId="16" xfId="0" applyFont="1" applyAlignment="1">
      <alignment vertical="center"/>
    </xf>
    <xf numFmtId="0" fontId="7" fillId="2" borderId="16" xfId="0" applyFont="1" applyAlignment="1">
      <alignment horizontal="center" vertical="center"/>
    </xf>
    <xf numFmtId="0" fontId="10" fillId="2" borderId="16" xfId="0" applyFont="1" applyAlignment="1">
      <alignment horizontal="left" vertical="center" indent="2"/>
    </xf>
    <xf numFmtId="0" fontId="5" fillId="2" borderId="16" xfId="0" applyFont="1" applyAlignment="1">
      <alignment horizontal="left" indent="1"/>
    </xf>
    <xf numFmtId="0" fontId="12" fillId="2" borderId="16" xfId="0" applyFont="1" applyAlignment="1">
      <alignment horizontal="left" vertical="center"/>
    </xf>
    <xf numFmtId="0" fontId="11" fillId="2" borderId="16" xfId="0" applyFont="1" applyAlignment="1">
      <alignment horizontal="center" vertical="center"/>
    </xf>
    <xf numFmtId="14" fontId="5" fillId="2" borderId="16" xfId="0" applyNumberFormat="1" applyFont="1" applyAlignment="1">
      <alignment horizontal="left" vertical="center"/>
    </xf>
    <xf numFmtId="14" fontId="5" fillId="2" borderId="16" xfId="0" applyNumberFormat="1" applyFont="1" applyAlignment="1">
      <alignment horizontal="right"/>
    </xf>
    <xf numFmtId="0" fontId="14" fillId="2" borderId="16" xfId="0" applyFont="1" applyAlignment="1">
      <alignment horizontal="left" vertical="center"/>
    </xf>
    <xf numFmtId="0" fontId="5" fillId="2" borderId="16" xfId="5" applyFont="1" applyAlignment="1">
      <alignment horizontal="left" vertical="center"/>
    </xf>
    <xf numFmtId="15" fontId="5" fillId="2" borderId="16" xfId="0" applyNumberFormat="1" applyFont="1" applyAlignment="1">
      <alignment horizontal="right" vertical="center"/>
    </xf>
    <xf numFmtId="0" fontId="16" fillId="2" borderId="16" xfId="0" applyFont="1" applyAlignment="1">
      <alignment horizontal="left" vertical="center"/>
    </xf>
    <xf numFmtId="0" fontId="34" fillId="2" borderId="16" xfId="0" applyFont="1" applyAlignment="1">
      <alignment horizontal="left" vertical="center"/>
    </xf>
    <xf numFmtId="1" fontId="5" fillId="2" borderId="16" xfId="0" applyNumberFormat="1" applyFont="1" applyAlignment="1">
      <alignment horizontal="right" vertical="center"/>
    </xf>
    <xf numFmtId="0" fontId="13" fillId="2" borderId="16" xfId="0" applyFont="1" applyAlignment="1">
      <alignment horizontal="right" vertical="center" wrapText="1"/>
    </xf>
    <xf numFmtId="0" fontId="8" fillId="2" borderId="16" xfId="0" applyFont="1" applyAlignment="1">
      <alignment horizontal="right"/>
    </xf>
    <xf numFmtId="0" fontId="11" fillId="2" borderId="16" xfId="0" applyFont="1" applyAlignment="1">
      <alignment horizontal="right" vertical="center" wrapText="1"/>
    </xf>
    <xf numFmtId="0" fontId="5" fillId="2" borderId="16" xfId="0" applyFont="1" applyAlignment="1">
      <alignment horizontal="right" vertical="center" wrapText="1"/>
    </xf>
    <xf numFmtId="0" fontId="8" fillId="2" borderId="16" xfId="0" applyFont="1"/>
    <xf numFmtId="0" fontId="13" fillId="2" borderId="16" xfId="0" applyFont="1" applyAlignment="1">
      <alignment horizontal="left" vertical="center" wrapText="1"/>
    </xf>
    <xf numFmtId="0" fontId="8" fillId="2" borderId="16" xfId="0" applyFont="1" applyAlignment="1">
      <alignment vertical="center" wrapText="1"/>
    </xf>
    <xf numFmtId="14" fontId="5" fillId="2" borderId="16" xfId="0" applyNumberFormat="1" applyFont="1" applyAlignment="1">
      <alignment horizontal="right" vertical="center" wrapText="1"/>
    </xf>
    <xf numFmtId="0" fontId="11" fillId="2" borderId="16" xfId="0" applyFont="1" applyAlignment="1">
      <alignment horizontal="left" vertical="center" wrapText="1"/>
    </xf>
    <xf numFmtId="14" fontId="5" fillId="2" borderId="16" xfId="0" applyNumberFormat="1" applyFont="1" applyAlignment="1">
      <alignment horizontal="left" vertical="center" wrapText="1"/>
    </xf>
    <xf numFmtId="14" fontId="5" fillId="2" borderId="3" xfId="0" applyNumberFormat="1" applyFont="1" applyBorder="1" applyAlignment="1">
      <alignment horizontal="right" vertical="center" wrapText="1"/>
    </xf>
    <xf numFmtId="0" fontId="40" fillId="2" borderId="16" xfId="0" applyFont="1" applyAlignment="1">
      <alignment horizontal="left" vertical="center" wrapText="1"/>
    </xf>
    <xf numFmtId="0" fontId="40" fillId="2" borderId="16" xfId="0" applyFont="1" applyAlignment="1">
      <alignment horizontal="center" vertical="center" wrapText="1"/>
    </xf>
    <xf numFmtId="0" fontId="8" fillId="2" borderId="16" xfId="0" applyFont="1" applyAlignment="1">
      <alignment wrapText="1"/>
    </xf>
    <xf numFmtId="0" fontId="0" fillId="2" borderId="16" xfId="0" applyAlignment="1">
      <alignment wrapText="1"/>
    </xf>
    <xf numFmtId="0" fontId="8" fillId="2" borderId="16" xfId="0" applyFont="1" applyAlignment="1">
      <alignment horizontal="center" wrapText="1"/>
    </xf>
    <xf numFmtId="0" fontId="8" fillId="2" borderId="16" xfId="4" applyFont="1" applyAlignment="1">
      <alignment horizontal="center" wrapText="1"/>
    </xf>
    <xf numFmtId="0" fontId="8" fillId="2" borderId="16" xfId="0" applyFont="1" applyAlignment="1">
      <alignment horizontal="left" vertical="center" wrapText="1"/>
    </xf>
    <xf numFmtId="0" fontId="8" fillId="2" borderId="16" xfId="0" applyFont="1" applyAlignment="1">
      <alignment horizontal="center" vertical="center" wrapText="1"/>
    </xf>
    <xf numFmtId="0" fontId="8" fillId="2" borderId="16" xfId="0" applyFont="1" applyAlignment="1">
      <alignment horizontal="right" vertical="center" wrapText="1"/>
    </xf>
    <xf numFmtId="10" fontId="8" fillId="2" borderId="16" xfId="0" applyNumberFormat="1" applyFont="1" applyAlignment="1">
      <alignment horizontal="center" wrapText="1"/>
    </xf>
    <xf numFmtId="14" fontId="8" fillId="2" borderId="16" xfId="0" applyNumberFormat="1" applyFont="1" applyAlignment="1">
      <alignment horizontal="right" vertical="center" wrapText="1"/>
    </xf>
    <xf numFmtId="0" fontId="8" fillId="2" borderId="16" xfId="0" applyFont="1" applyAlignment="1">
      <alignment horizontal="right" wrapText="1"/>
    </xf>
    <xf numFmtId="0" fontId="8" fillId="2" borderId="16" xfId="0" applyFont="1" applyAlignment="1">
      <alignment horizontal="left" vertical="center"/>
    </xf>
    <xf numFmtId="0" fontId="8" fillId="2" borderId="16" xfId="0" applyFont="1" applyAlignment="1">
      <alignment horizontal="right" vertical="center"/>
    </xf>
    <xf numFmtId="9" fontId="8" fillId="2" borderId="16" xfId="3" applyFont="1" applyAlignment="1">
      <alignment horizontal="center"/>
    </xf>
    <xf numFmtId="0" fontId="8" fillId="2" borderId="16" xfId="0" applyFont="1" applyAlignment="1">
      <alignment horizontal="center"/>
    </xf>
    <xf numFmtId="9" fontId="8" fillId="2" borderId="16" xfId="0" applyNumberFormat="1" applyFont="1" applyAlignment="1">
      <alignment horizontal="center"/>
    </xf>
    <xf numFmtId="0" fontId="42" fillId="2" borderId="16" xfId="0" applyFont="1" applyAlignment="1">
      <alignment horizontal="left" vertical="center"/>
    </xf>
    <xf numFmtId="9" fontId="8" fillId="2" borderId="16" xfId="0" applyNumberFormat="1" applyFont="1" applyAlignment="1">
      <alignment horizontal="right" vertical="center"/>
    </xf>
    <xf numFmtId="0" fontId="8" fillId="2" borderId="16" xfId="0" applyFont="1" applyAlignment="1">
      <alignment horizontal="left"/>
    </xf>
    <xf numFmtId="0" fontId="8" fillId="2" borderId="16" xfId="0" applyFont="1" applyAlignment="1">
      <alignment horizontal="center" vertical="center"/>
    </xf>
    <xf numFmtId="0" fontId="8" fillId="2" borderId="16" xfId="0" applyFont="1" applyAlignment="1">
      <alignment vertical="center"/>
    </xf>
    <xf numFmtId="0" fontId="5" fillId="2" borderId="3" xfId="0" applyFont="1" applyBorder="1" applyAlignment="1">
      <alignment horizontal="left" vertical="center" wrapText="1"/>
    </xf>
    <xf numFmtId="10" fontId="5" fillId="2" borderId="16" xfId="0" applyNumberFormat="1" applyFont="1" applyAlignment="1">
      <alignment horizontal="center"/>
    </xf>
    <xf numFmtId="9" fontId="5" fillId="2" borderId="16" xfId="3" applyFont="1" applyAlignment="1">
      <alignment horizontal="center" vertical="center"/>
    </xf>
    <xf numFmtId="0" fontId="12" fillId="2" borderId="16" xfId="0" applyFont="1" applyAlignment="1">
      <alignment horizontal="center" vertical="center" wrapText="1"/>
    </xf>
    <xf numFmtId="0" fontId="5" fillId="2" borderId="16" xfId="0" applyFont="1" applyAlignment="1">
      <alignment vertical="center" wrapText="1"/>
    </xf>
    <xf numFmtId="0" fontId="5" fillId="2" borderId="16" xfId="0" applyFont="1" applyAlignment="1">
      <alignment horizontal="center" vertical="center" wrapText="1"/>
    </xf>
    <xf numFmtId="0" fontId="18" fillId="2" borderId="16" xfId="9"/>
    <xf numFmtId="0" fontId="19" fillId="2" borderId="16" xfId="9" applyFont="1"/>
    <xf numFmtId="0" fontId="21" fillId="2" borderId="16" xfId="10"/>
    <xf numFmtId="0" fontId="20" fillId="2" borderId="16" xfId="9" applyFont="1"/>
    <xf numFmtId="0" fontId="25" fillId="2" borderId="16" xfId="13" applyFont="1"/>
    <xf numFmtId="0" fontId="27" fillId="2" borderId="16" xfId="9" applyFont="1"/>
    <xf numFmtId="0" fontId="24" fillId="2" borderId="16" xfId="13"/>
    <xf numFmtId="0" fontId="28" fillId="10" borderId="8" xfId="19" applyFont="1"/>
    <xf numFmtId="1" fontId="5" fillId="2" borderId="16" xfId="0" applyNumberFormat="1" applyFont="1" applyAlignment="1">
      <alignment horizontal="left" vertical="center" wrapText="1"/>
    </xf>
    <xf numFmtId="1" fontId="5" fillId="2" borderId="16" xfId="0" applyNumberFormat="1" applyFont="1" applyAlignment="1">
      <alignment horizontal="right" vertical="center" wrapText="1"/>
    </xf>
    <xf numFmtId="0" fontId="70" fillId="2" borderId="16" xfId="0" applyFont="1"/>
    <xf numFmtId="0" fontId="71" fillId="2" borderId="16" xfId="0" applyFont="1"/>
    <xf numFmtId="0" fontId="73" fillId="2" borderId="16" xfId="0" applyFont="1"/>
    <xf numFmtId="0" fontId="74" fillId="2" borderId="16" xfId="0" applyFont="1"/>
    <xf numFmtId="0" fontId="72" fillId="2" borderId="16" xfId="0" applyFont="1" applyAlignment="1">
      <alignment wrapText="1"/>
    </xf>
    <xf numFmtId="0" fontId="75" fillId="2" borderId="16" xfId="0" applyFont="1"/>
    <xf numFmtId="0" fontId="77" fillId="12" borderId="16" xfId="36" applyFont="1" applyFill="1" applyBorder="1"/>
    <xf numFmtId="10" fontId="5" fillId="2" borderId="16" xfId="0" applyNumberFormat="1" applyFont="1" applyAlignment="1">
      <alignment horizontal="left" vertical="center" wrapText="1"/>
    </xf>
    <xf numFmtId="0" fontId="5" fillId="42" borderId="16" xfId="0" applyFont="1" applyFill="1"/>
    <xf numFmtId="0" fontId="11" fillId="42" borderId="16" xfId="0" applyFont="1" applyFill="1"/>
    <xf numFmtId="0" fontId="11" fillId="43" borderId="16" xfId="0" applyFont="1" applyFill="1"/>
    <xf numFmtId="0" fontId="5" fillId="43" borderId="16" xfId="0" applyFont="1" applyFill="1"/>
    <xf numFmtId="0" fontId="11" fillId="44" borderId="16" xfId="0" applyFont="1" applyFill="1"/>
    <xf numFmtId="0" fontId="5" fillId="44" borderId="16" xfId="0" applyFont="1" applyFill="1"/>
    <xf numFmtId="0" fontId="11" fillId="45" borderId="16" xfId="0" applyFont="1" applyFill="1"/>
    <xf numFmtId="0" fontId="5" fillId="45" borderId="16" xfId="0" applyFont="1" applyFill="1"/>
    <xf numFmtId="10" fontId="2" fillId="2" borderId="8" xfId="3" applyNumberFormat="1" applyBorder="1"/>
    <xf numFmtId="0" fontId="98" fillId="2" borderId="16" xfId="0" applyFont="1"/>
    <xf numFmtId="0" fontId="11" fillId="2" borderId="16" xfId="0" applyFont="1"/>
    <xf numFmtId="0" fontId="0" fillId="0" borderId="16" xfId="0" applyFill="1"/>
    <xf numFmtId="0" fontId="100" fillId="2" borderId="16" xfId="0" applyFont="1"/>
    <xf numFmtId="3" fontId="2" fillId="2" borderId="16" xfId="1" applyNumberFormat="1"/>
    <xf numFmtId="3" fontId="5" fillId="2" borderId="16" xfId="0" applyNumberFormat="1" applyFont="1" applyAlignment="1">
      <alignment horizontal="right" vertical="center" wrapText="1"/>
    </xf>
    <xf numFmtId="0" fontId="107" fillId="30" borderId="16" xfId="0" applyFont="1" applyFill="1"/>
    <xf numFmtId="0" fontId="108" fillId="49" borderId="16" xfId="0" applyFont="1" applyFill="1"/>
    <xf numFmtId="1" fontId="0" fillId="48" borderId="31" xfId="0" applyNumberFormat="1" applyFill="1" applyBorder="1"/>
    <xf numFmtId="10" fontId="0" fillId="48" borderId="32" xfId="0" applyNumberFormat="1" applyFill="1" applyBorder="1"/>
    <xf numFmtId="0" fontId="69" fillId="35" borderId="16" xfId="0" applyFont="1" applyFill="1"/>
    <xf numFmtId="0" fontId="3" fillId="36" borderId="16" xfId="0" applyFont="1" applyFill="1" applyAlignment="1">
      <alignment horizontal="center"/>
    </xf>
    <xf numFmtId="14" fontId="3" fillId="36" borderId="16" xfId="0" applyNumberFormat="1" applyFont="1" applyFill="1" applyAlignment="1">
      <alignment horizontal="center"/>
    </xf>
    <xf numFmtId="0" fontId="3" fillId="2" borderId="10" xfId="0" applyFont="1" applyBorder="1"/>
    <xf numFmtId="3" fontId="11" fillId="2" borderId="10" xfId="0" applyNumberFormat="1" applyFont="1" applyBorder="1" applyAlignment="1">
      <alignment horizontal="right" vertical="center" wrapText="1"/>
    </xf>
    <xf numFmtId="0" fontId="3" fillId="33" borderId="10" xfId="0" applyFont="1" applyFill="1" applyBorder="1"/>
    <xf numFmtId="3" fontId="11" fillId="33" borderId="10" xfId="0" applyNumberFormat="1" applyFont="1" applyFill="1" applyBorder="1" applyAlignment="1">
      <alignment horizontal="right" vertical="center" wrapText="1"/>
    </xf>
    <xf numFmtId="0" fontId="3" fillId="2" borderId="1" xfId="0" applyFont="1" applyBorder="1"/>
    <xf numFmtId="3" fontId="11" fillId="2" borderId="1" xfId="0" applyNumberFormat="1" applyFont="1" applyBorder="1" applyAlignment="1">
      <alignment horizontal="right" vertical="center" wrapText="1"/>
    </xf>
    <xf numFmtId="0" fontId="69" fillId="50" borderId="16" xfId="0" applyFont="1" applyFill="1"/>
    <xf numFmtId="0" fontId="69" fillId="50" borderId="3" xfId="0" applyFont="1" applyFill="1" applyBorder="1"/>
    <xf numFmtId="0" fontId="0" fillId="31" borderId="16" xfId="0" applyFill="1"/>
    <xf numFmtId="3" fontId="0" fillId="31" borderId="16" xfId="0" applyNumberFormat="1" applyFill="1"/>
    <xf numFmtId="10" fontId="0" fillId="31" borderId="16" xfId="0" applyNumberFormat="1" applyFill="1"/>
    <xf numFmtId="0" fontId="69" fillId="50" borderId="27" xfId="0" applyFont="1" applyFill="1" applyBorder="1"/>
    <xf numFmtId="0" fontId="0" fillId="31" borderId="28" xfId="0" applyFill="1" applyBorder="1"/>
    <xf numFmtId="0" fontId="69" fillId="50" borderId="33" xfId="0" applyFont="1" applyFill="1" applyBorder="1"/>
    <xf numFmtId="10" fontId="0" fillId="31" borderId="34" xfId="0" applyNumberFormat="1" applyFill="1" applyBorder="1"/>
    <xf numFmtId="0" fontId="0" fillId="31" borderId="34" xfId="0" applyFill="1" applyBorder="1"/>
    <xf numFmtId="0" fontId="109" fillId="2" borderId="29" xfId="0" applyFont="1" applyBorder="1"/>
    <xf numFmtId="0" fontId="109" fillId="2" borderId="12" xfId="0" applyFont="1" applyBorder="1"/>
    <xf numFmtId="0" fontId="109" fillId="2" borderId="35" xfId="0" applyFont="1" applyBorder="1"/>
    <xf numFmtId="0" fontId="109" fillId="2" borderId="16" xfId="0" applyFont="1"/>
    <xf numFmtId="0" fontId="76" fillId="2" borderId="16" xfId="0" applyFont="1" applyAlignment="1">
      <alignment horizontal="center"/>
    </xf>
    <xf numFmtId="0" fontId="80" fillId="2" borderId="16" xfId="0" applyFont="1" applyAlignment="1">
      <alignment vertical="center"/>
    </xf>
    <xf numFmtId="0" fontId="80" fillId="2" borderId="16" xfId="0" applyFont="1" applyAlignment="1">
      <alignment horizontal="left" vertical="center"/>
    </xf>
    <xf numFmtId="0" fontId="80" fillId="2" borderId="16" xfId="0" applyFont="1" applyAlignment="1">
      <alignment horizontal="right" vertical="center"/>
    </xf>
    <xf numFmtId="0" fontId="80" fillId="2" borderId="16" xfId="0" applyFont="1" applyAlignment="1">
      <alignment horizontal="center" vertical="center"/>
    </xf>
    <xf numFmtId="0" fontId="95" fillId="2" borderId="16" xfId="0" applyFont="1" applyAlignment="1">
      <alignment horizontal="left" vertical="center"/>
    </xf>
    <xf numFmtId="0" fontId="92" fillId="2" borderId="19" xfId="0" applyFont="1" applyBorder="1" applyAlignment="1">
      <alignment horizontal="left" vertical="center"/>
    </xf>
    <xf numFmtId="0" fontId="92" fillId="2" borderId="21" xfId="0" applyFont="1" applyBorder="1" applyAlignment="1">
      <alignment horizontal="left" vertical="center"/>
    </xf>
    <xf numFmtId="0" fontId="92" fillId="2" borderId="23" xfId="0" applyFont="1" applyBorder="1" applyAlignment="1">
      <alignment horizontal="left" vertical="center"/>
    </xf>
    <xf numFmtId="0" fontId="96" fillId="2" borderId="21" xfId="0" applyFont="1" applyBorder="1" applyAlignment="1">
      <alignment vertical="center"/>
    </xf>
    <xf numFmtId="0" fontId="91" fillId="41" borderId="22" xfId="0" applyFont="1" applyFill="1" applyBorder="1" applyAlignment="1">
      <alignment horizontal="center" vertical="center"/>
    </xf>
    <xf numFmtId="0" fontId="87" fillId="2" borderId="16" xfId="0" applyFont="1" applyAlignment="1">
      <alignment horizontal="left" vertical="center"/>
    </xf>
    <xf numFmtId="0" fontId="84" fillId="36" borderId="16" xfId="0" applyFont="1" applyFill="1" applyAlignment="1">
      <alignment horizontal="left" vertical="center"/>
    </xf>
    <xf numFmtId="0" fontId="84" fillId="36" borderId="16" xfId="0" applyFont="1" applyFill="1" applyAlignment="1">
      <alignment horizontal="right" vertical="center"/>
    </xf>
    <xf numFmtId="0" fontId="84" fillId="36" borderId="16" xfId="0" applyFont="1" applyFill="1" applyAlignment="1">
      <alignment horizontal="center" vertical="center"/>
    </xf>
    <xf numFmtId="0" fontId="102" fillId="36" borderId="16" xfId="0" applyFont="1" applyFill="1" applyAlignment="1">
      <alignment vertical="center"/>
    </xf>
    <xf numFmtId="0" fontId="8" fillId="16" borderId="13" xfId="0" applyFont="1" applyFill="1" applyBorder="1" applyAlignment="1">
      <alignment horizontal="left" vertical="center"/>
    </xf>
    <xf numFmtId="0" fontId="110" fillId="2" borderId="16" xfId="0" applyFont="1"/>
    <xf numFmtId="0" fontId="111" fillId="2" borderId="16" xfId="0" applyFont="1"/>
    <xf numFmtId="0" fontId="112" fillId="31" borderId="8" xfId="19" applyFont="1" applyFill="1" applyAlignment="1">
      <alignment horizontal="center" vertical="center"/>
    </xf>
    <xf numFmtId="0" fontId="114" fillId="30" borderId="16" xfId="0" applyFont="1" applyFill="1"/>
    <xf numFmtId="0" fontId="115" fillId="32" borderId="16" xfId="0" applyFont="1" applyFill="1" applyAlignment="1">
      <alignment horizontal="left" vertical="center"/>
    </xf>
    <xf numFmtId="0" fontId="116" fillId="32" borderId="8" xfId="19" applyFont="1" applyFill="1" applyAlignment="1">
      <alignment horizontal="left" vertical="center" wrapText="1"/>
    </xf>
    <xf numFmtId="0" fontId="116" fillId="32" borderId="8" xfId="19" applyFont="1" applyFill="1" applyAlignment="1">
      <alignment horizontal="center" vertical="center" wrapText="1"/>
    </xf>
    <xf numFmtId="0" fontId="115" fillId="32" borderId="16" xfId="0" applyFont="1" applyFill="1"/>
    <xf numFmtId="2" fontId="117" fillId="33" borderId="8" xfId="15" applyNumberFormat="1" applyFont="1" applyFill="1" applyAlignment="1">
      <alignment horizontal="center" vertical="center" wrapText="1"/>
    </xf>
    <xf numFmtId="0" fontId="117" fillId="34" borderId="8" xfId="19" applyFont="1" applyFill="1" applyAlignment="1">
      <alignment horizontal="left" vertical="center" wrapText="1"/>
    </xf>
    <xf numFmtId="2" fontId="118" fillId="34" borderId="5" xfId="12" applyNumberFormat="1" applyFont="1" applyFill="1" applyAlignment="1">
      <alignment horizontal="center"/>
      <protection locked="0"/>
    </xf>
    <xf numFmtId="1" fontId="118" fillId="34" borderId="5" xfId="12" applyNumberFormat="1" applyFont="1" applyFill="1" applyAlignment="1">
      <alignment horizontal="center"/>
      <protection locked="0"/>
    </xf>
    <xf numFmtId="1" fontId="117" fillId="34" borderId="8" xfId="19" applyNumberFormat="1" applyFont="1" applyFill="1" applyAlignment="1">
      <alignment horizontal="center" vertical="center" wrapText="1"/>
    </xf>
    <xf numFmtId="1" fontId="117" fillId="33" borderId="8" xfId="15" applyNumberFormat="1" applyFont="1" applyFill="1" applyAlignment="1">
      <alignment horizontal="center" vertical="center" wrapText="1"/>
    </xf>
    <xf numFmtId="0" fontId="114" fillId="30" borderId="16" xfId="0" applyFont="1" applyFill="1" applyProtection="1">
      <protection locked="0"/>
    </xf>
    <xf numFmtId="0" fontId="115" fillId="32" borderId="16" xfId="0" applyFont="1" applyFill="1" applyProtection="1">
      <protection locked="0"/>
    </xf>
    <xf numFmtId="0" fontId="119" fillId="32" borderId="16" xfId="0" applyFont="1" applyFill="1"/>
    <xf numFmtId="0" fontId="120" fillId="2" borderId="16" xfId="0" applyFont="1"/>
    <xf numFmtId="0" fontId="121" fillId="20" borderId="16" xfId="34" applyFont="1" applyFill="1" applyAlignment="1">
      <alignment vertical="center"/>
    </xf>
    <xf numFmtId="0" fontId="122" fillId="20" borderId="16" xfId="34" applyFont="1" applyFill="1"/>
    <xf numFmtId="0" fontId="123" fillId="9" borderId="16" xfId="0" applyFont="1" applyFill="1" applyAlignment="1">
      <alignment horizontal="left" vertical="center"/>
    </xf>
    <xf numFmtId="0" fontId="123" fillId="2" borderId="16" xfId="0" applyFont="1" applyAlignment="1">
      <alignment horizontal="left" vertical="center"/>
    </xf>
    <xf numFmtId="0" fontId="124" fillId="2" borderId="16" xfId="0" applyFont="1" applyAlignment="1">
      <alignment horizontal="left" vertical="center"/>
    </xf>
    <xf numFmtId="0" fontId="124" fillId="9" borderId="16" xfId="0" applyFont="1" applyFill="1" applyAlignment="1">
      <alignment horizontal="left" vertical="center"/>
    </xf>
    <xf numFmtId="0" fontId="121" fillId="20" borderId="16" xfId="0" applyFont="1" applyFill="1" applyAlignment="1">
      <alignment vertical="center"/>
    </xf>
    <xf numFmtId="14" fontId="5" fillId="48" borderId="31" xfId="0" applyNumberFormat="1" applyFont="1" applyFill="1" applyBorder="1" applyAlignment="1">
      <alignment horizontal="right" vertical="center" wrapText="1"/>
    </xf>
    <xf numFmtId="10" fontId="118" fillId="2" borderId="36" xfId="12" applyNumberFormat="1" applyFont="1" applyFill="1" applyBorder="1" applyAlignment="1">
      <alignment horizontal="center" vertical="center"/>
      <protection locked="0"/>
    </xf>
    <xf numFmtId="2" fontId="118" fillId="2" borderId="36" xfId="12" applyNumberFormat="1" applyFont="1" applyFill="1" applyBorder="1" applyAlignment="1">
      <alignment horizontal="center" vertical="center"/>
      <protection locked="0"/>
    </xf>
    <xf numFmtId="2" fontId="118" fillId="2" borderId="37" xfId="12" applyNumberFormat="1" applyFont="1" applyFill="1" applyBorder="1" applyAlignment="1">
      <alignment horizontal="center" vertical="center"/>
      <protection locked="0"/>
    </xf>
    <xf numFmtId="0" fontId="0" fillId="2" borderId="16" xfId="0" applyAlignment="1">
      <alignment horizontal="right" vertical="center"/>
    </xf>
    <xf numFmtId="0" fontId="3" fillId="46" borderId="27" xfId="0" applyFont="1" applyFill="1" applyBorder="1"/>
    <xf numFmtId="0" fontId="3" fillId="9" borderId="28" xfId="0" applyFont="1" applyFill="1" applyBorder="1"/>
    <xf numFmtId="0" fontId="3" fillId="32" borderId="16" xfId="0" applyFont="1" applyFill="1"/>
    <xf numFmtId="0" fontId="3" fillId="32" borderId="28" xfId="0" applyFont="1" applyFill="1" applyBorder="1"/>
    <xf numFmtId="0" fontId="3" fillId="32" borderId="34" xfId="0" applyFont="1" applyFill="1" applyBorder="1"/>
    <xf numFmtId="0" fontId="3" fillId="36" borderId="16" xfId="0" applyFont="1" applyFill="1"/>
    <xf numFmtId="0" fontId="3" fillId="36" borderId="28" xfId="0" applyFont="1" applyFill="1" applyBorder="1"/>
    <xf numFmtId="0" fontId="3" fillId="36" borderId="34" xfId="0" applyFont="1" applyFill="1" applyBorder="1"/>
    <xf numFmtId="0" fontId="3" fillId="9" borderId="16" xfId="0" applyFont="1" applyFill="1" applyAlignment="1">
      <alignment horizontal="right"/>
    </xf>
    <xf numFmtId="0" fontId="3" fillId="9" borderId="34" xfId="0" applyFont="1" applyFill="1" applyBorder="1" applyAlignment="1">
      <alignment horizontal="right"/>
    </xf>
    <xf numFmtId="0" fontId="126" fillId="2" borderId="16" xfId="0" applyFont="1"/>
    <xf numFmtId="0" fontId="3" fillId="31" borderId="16" xfId="0" applyFont="1" applyFill="1"/>
    <xf numFmtId="0" fontId="0" fillId="2" borderId="28" xfId="0" applyBorder="1"/>
    <xf numFmtId="0" fontId="0" fillId="2" borderId="29" xfId="0" applyBorder="1"/>
    <xf numFmtId="10" fontId="0" fillId="2" borderId="34" xfId="0" applyNumberFormat="1" applyBorder="1"/>
    <xf numFmtId="0" fontId="0" fillId="2" borderId="35" xfId="0" applyBorder="1"/>
    <xf numFmtId="3" fontId="0" fillId="2" borderId="16" xfId="0" applyNumberFormat="1"/>
    <xf numFmtId="9" fontId="3" fillId="2" borderId="28" xfId="0" applyNumberFormat="1" applyFont="1" applyBorder="1"/>
    <xf numFmtId="9" fontId="3" fillId="2" borderId="29" xfId="0" applyNumberFormat="1" applyFont="1" applyBorder="1"/>
    <xf numFmtId="10" fontId="0" fillId="2" borderId="16" xfId="0" applyNumberFormat="1"/>
    <xf numFmtId="2" fontId="0" fillId="2" borderId="16" xfId="0" applyNumberFormat="1"/>
    <xf numFmtId="14" fontId="3" fillId="32" borderId="16" xfId="0" applyNumberFormat="1" applyFont="1" applyFill="1"/>
    <xf numFmtId="49" fontId="0" fillId="2" borderId="16" xfId="0" applyNumberFormat="1"/>
    <xf numFmtId="0" fontId="3" fillId="51" borderId="16" xfId="0" applyFont="1" applyFill="1"/>
    <xf numFmtId="0" fontId="3" fillId="32" borderId="16" xfId="0" applyFont="1" applyFill="1" applyAlignment="1">
      <alignment horizontal="left"/>
    </xf>
    <xf numFmtId="14" fontId="3" fillId="32" borderId="16" xfId="0" applyNumberFormat="1" applyFont="1" applyFill="1" applyAlignment="1">
      <alignment horizontal="right"/>
    </xf>
    <xf numFmtId="0" fontId="0" fillId="2" borderId="16" xfId="0" applyAlignment="1">
      <alignment horizontal="left"/>
    </xf>
    <xf numFmtId="0" fontId="3" fillId="2" borderId="16" xfId="0" applyFont="1" applyAlignment="1">
      <alignment horizontal="left"/>
    </xf>
    <xf numFmtId="10" fontId="0" fillId="2" borderId="16" xfId="0" applyNumberFormat="1" applyAlignment="1">
      <alignment horizontal="right"/>
    </xf>
    <xf numFmtId="14" fontId="0" fillId="2" borderId="16" xfId="0" applyNumberFormat="1" applyAlignment="1">
      <alignment horizontal="right"/>
    </xf>
    <xf numFmtId="0" fontId="3" fillId="31" borderId="16" xfId="0" applyFont="1" applyFill="1" applyAlignment="1">
      <alignment horizontal="left"/>
    </xf>
    <xf numFmtId="0" fontId="0" fillId="33" borderId="16" xfId="0" applyFill="1"/>
    <xf numFmtId="10" fontId="0" fillId="33" borderId="16" xfId="0" applyNumberFormat="1" applyFill="1"/>
    <xf numFmtId="9" fontId="3" fillId="32" borderId="16" xfId="0" applyNumberFormat="1" applyFont="1" applyFill="1" applyAlignment="1">
      <alignment horizontal="left"/>
    </xf>
    <xf numFmtId="0" fontId="72" fillId="9" borderId="16" xfId="0" applyFont="1" applyFill="1"/>
    <xf numFmtId="0" fontId="3" fillId="32" borderId="16" xfId="0" applyFont="1" applyFill="1" applyAlignment="1">
      <alignment horizontal="right"/>
    </xf>
    <xf numFmtId="0" fontId="3" fillId="32" borderId="34" xfId="0" applyFont="1" applyFill="1" applyBorder="1" applyAlignment="1">
      <alignment horizontal="right"/>
    </xf>
    <xf numFmtId="0" fontId="0" fillId="3" borderId="16" xfId="0" applyFill="1"/>
    <xf numFmtId="0" fontId="3" fillId="3" borderId="16" xfId="0" applyFont="1" applyFill="1"/>
    <xf numFmtId="0" fontId="1" fillId="2" borderId="16" xfId="0" applyFont="1" applyAlignment="1">
      <alignment vertical="center"/>
    </xf>
    <xf numFmtId="0" fontId="81" fillId="30" borderId="16" xfId="0" applyFont="1" applyFill="1"/>
    <xf numFmtId="0" fontId="81" fillId="30" borderId="16" xfId="0" applyFont="1" applyFill="1" applyAlignment="1">
      <alignment horizontal="center" vertical="center"/>
    </xf>
    <xf numFmtId="0" fontId="81" fillId="30" borderId="13" xfId="0" applyFont="1" applyFill="1" applyBorder="1" applyAlignment="1">
      <alignment horizontal="center" vertical="center"/>
    </xf>
    <xf numFmtId="0" fontId="80" fillId="14" borderId="13" xfId="0" applyFont="1" applyFill="1" applyBorder="1" applyAlignment="1">
      <alignment horizontal="left" vertical="center"/>
    </xf>
    <xf numFmtId="10" fontId="80" fillId="18" borderId="13" xfId="0" applyNumberFormat="1" applyFont="1" applyFill="1" applyBorder="1" applyAlignment="1">
      <alignment horizontal="right" vertical="center"/>
    </xf>
    <xf numFmtId="0" fontId="80" fillId="18" borderId="13" xfId="0" applyFont="1" applyFill="1" applyBorder="1" applyAlignment="1">
      <alignment horizontal="right" vertical="center"/>
    </xf>
    <xf numFmtId="0" fontId="10" fillId="2" borderId="16" xfId="0" applyFont="1"/>
    <xf numFmtId="3" fontId="80" fillId="18" borderId="13" xfId="0" applyNumberFormat="1" applyFont="1" applyFill="1" applyBorder="1" applyAlignment="1">
      <alignment horizontal="right" vertical="center"/>
    </xf>
    <xf numFmtId="1" fontId="80" fillId="18" borderId="13" xfId="0" applyNumberFormat="1" applyFont="1" applyFill="1" applyBorder="1" applyAlignment="1">
      <alignment horizontal="right" vertical="center"/>
    </xf>
    <xf numFmtId="0" fontId="105" fillId="30" borderId="16" xfId="0" applyFont="1" applyFill="1" applyAlignment="1">
      <alignment horizontal="left" vertical="center" wrapText="1"/>
    </xf>
    <xf numFmtId="0" fontId="10" fillId="32" borderId="16" xfId="0" applyFont="1" applyFill="1" applyProtection="1">
      <protection locked="0"/>
    </xf>
    <xf numFmtId="0" fontId="80" fillId="2" borderId="16" xfId="0" applyFont="1" applyAlignment="1">
      <alignment horizontal="left" vertical="center" wrapText="1"/>
    </xf>
    <xf numFmtId="0" fontId="10" fillId="2" borderId="16" xfId="0" applyFont="1" applyProtection="1">
      <protection locked="0"/>
    </xf>
    <xf numFmtId="0" fontId="105" fillId="30" borderId="16" xfId="0" applyFont="1" applyFill="1" applyAlignment="1">
      <alignment horizontal="left" vertical="center"/>
    </xf>
    <xf numFmtId="0" fontId="105" fillId="30" borderId="16" xfId="0" applyFont="1" applyFill="1"/>
    <xf numFmtId="0" fontId="10" fillId="2" borderId="16" xfId="0" applyFont="1" applyAlignment="1">
      <alignment horizontal="center"/>
    </xf>
    <xf numFmtId="9" fontId="10" fillId="2" borderId="16" xfId="0" applyNumberFormat="1" applyFont="1"/>
    <xf numFmtId="10" fontId="10" fillId="2" borderId="16" xfId="0" applyNumberFormat="1" applyFont="1"/>
    <xf numFmtId="2" fontId="10" fillId="2" borderId="16" xfId="0" applyNumberFormat="1" applyFont="1"/>
    <xf numFmtId="2" fontId="10" fillId="33" borderId="16" xfId="0" applyNumberFormat="1" applyFont="1" applyFill="1"/>
    <xf numFmtId="0" fontId="1" fillId="2" borderId="16" xfId="0" applyFont="1" applyAlignment="1">
      <alignment horizontal="center" vertical="center"/>
    </xf>
    <xf numFmtId="0" fontId="1" fillId="4" borderId="20" xfId="0" applyFont="1" applyFill="1" applyBorder="1" applyAlignment="1">
      <alignment horizontal="center" vertical="center"/>
    </xf>
    <xf numFmtId="0" fontId="1" fillId="9" borderId="22" xfId="0" applyFont="1" applyFill="1" applyBorder="1" applyAlignment="1">
      <alignment horizontal="center" vertical="center"/>
    </xf>
    <xf numFmtId="0" fontId="1" fillId="30" borderId="22" xfId="0" applyFont="1" applyFill="1" applyBorder="1" applyAlignment="1">
      <alignment horizontal="center" vertical="center"/>
    </xf>
    <xf numFmtId="0" fontId="1" fillId="36" borderId="22" xfId="0" applyFont="1" applyFill="1" applyBorder="1" applyAlignment="1">
      <alignment horizontal="center" vertical="center"/>
    </xf>
    <xf numFmtId="0" fontId="1" fillId="37" borderId="22" xfId="0" applyFont="1" applyFill="1" applyBorder="1" applyAlignment="1">
      <alignment vertical="center"/>
    </xf>
    <xf numFmtId="0" fontId="1" fillId="38" borderId="22" xfId="0" applyFont="1" applyFill="1" applyBorder="1" applyAlignment="1">
      <alignment vertical="center"/>
    </xf>
    <xf numFmtId="0" fontId="1" fillId="39" borderId="24" xfId="0" applyFont="1" applyFill="1" applyBorder="1" applyAlignment="1">
      <alignment vertical="center"/>
    </xf>
    <xf numFmtId="0" fontId="1" fillId="2" borderId="21" xfId="0" applyFont="1" applyBorder="1" applyAlignment="1">
      <alignment vertical="center"/>
    </xf>
    <xf numFmtId="0" fontId="1" fillId="2" borderId="22" xfId="0" applyFont="1" applyBorder="1" applyAlignment="1">
      <alignment vertical="center"/>
    </xf>
    <xf numFmtId="0" fontId="1" fillId="2" borderId="25" xfId="0" applyFont="1" applyBorder="1" applyAlignment="1">
      <alignment vertical="center"/>
    </xf>
    <xf numFmtId="0" fontId="1" fillId="2" borderId="26" xfId="0" applyFont="1" applyBorder="1" applyAlignment="1">
      <alignment vertical="center"/>
    </xf>
    <xf numFmtId="0" fontId="127" fillId="2" borderId="16" xfId="0" applyFont="1"/>
    <xf numFmtId="0" fontId="129" fillId="2" borderId="16" xfId="0" applyFont="1"/>
    <xf numFmtId="0" fontId="3" fillId="21" borderId="16" xfId="0" applyFont="1" applyFill="1"/>
    <xf numFmtId="9" fontId="0" fillId="2" borderId="16" xfId="0" applyNumberFormat="1"/>
    <xf numFmtId="0" fontId="128" fillId="2" borderId="16" xfId="0" applyFont="1"/>
    <xf numFmtId="3" fontId="5" fillId="2" borderId="16" xfId="1" applyNumberFormat="1" applyFont="1" applyAlignment="1">
      <alignment horizontal="right" vertical="center" wrapText="1"/>
    </xf>
    <xf numFmtId="3" fontId="5" fillId="2" borderId="16" xfId="0" applyNumberFormat="1" applyFont="1" applyAlignment="1">
      <alignment horizontal="right" vertical="center"/>
    </xf>
    <xf numFmtId="0" fontId="0" fillId="2" borderId="16" xfId="0" applyAlignment="1">
      <alignment horizontal="right"/>
    </xf>
    <xf numFmtId="0" fontId="0" fillId="2" borderId="33" xfId="0" applyBorder="1"/>
    <xf numFmtId="0" fontId="0" fillId="2" borderId="3" xfId="0" applyBorder="1"/>
    <xf numFmtId="0" fontId="69" fillId="2" borderId="16" xfId="0" applyFont="1"/>
    <xf numFmtId="0" fontId="0" fillId="2" borderId="34" xfId="0" applyBorder="1"/>
    <xf numFmtId="0" fontId="72" fillId="2" borderId="16" xfId="0" applyFont="1"/>
    <xf numFmtId="0" fontId="0" fillId="2" borderId="16" xfId="0"/>
    <xf numFmtId="0" fontId="3" fillId="2" borderId="16" xfId="0" applyFont="1"/>
    <xf numFmtId="0" fontId="5" fillId="2" borderId="16" xfId="0" applyFont="1"/>
    <xf numFmtId="167" fontId="10" fillId="9" borderId="16" xfId="0" applyNumberFormat="1" applyFont="1" applyFill="1" applyAlignment="1">
      <alignment horizontal="center" vertical="center"/>
    </xf>
    <xf numFmtId="167" fontId="10" fillId="2" borderId="16" xfId="0" applyNumberFormat="1" applyFont="1" applyAlignment="1">
      <alignment horizontal="center" vertical="center"/>
    </xf>
    <xf numFmtId="181" fontId="10" fillId="9" borderId="16" xfId="0" applyNumberFormat="1" applyFont="1" applyFill="1" applyAlignment="1">
      <alignment horizontal="center" vertical="center"/>
    </xf>
    <xf numFmtId="174" fontId="10" fillId="9" borderId="16" xfId="0" applyNumberFormat="1" applyFont="1" applyFill="1" applyAlignment="1">
      <alignment horizontal="center" vertical="center"/>
    </xf>
    <xf numFmtId="174" fontId="10" fillId="2" borderId="16" xfId="0" applyNumberFormat="1" applyFont="1" applyAlignment="1">
      <alignment horizontal="center" vertical="center"/>
    </xf>
    <xf numFmtId="184" fontId="10" fillId="2" borderId="16" xfId="0" applyNumberFormat="1" applyFont="1" applyAlignment="1">
      <alignment horizontal="center" vertical="center"/>
    </xf>
    <xf numFmtId="167" fontId="0" fillId="2" borderId="16" xfId="0" applyNumberFormat="1" applyAlignment="1">
      <alignment horizontal="right"/>
    </xf>
    <xf numFmtId="167" fontId="0" fillId="2" borderId="34" xfId="0" applyNumberFormat="1" applyBorder="1" applyAlignment="1">
      <alignment horizontal="right"/>
    </xf>
    <xf numFmtId="167" fontId="0" fillId="2" borderId="12" xfId="0" applyNumberFormat="1" applyBorder="1" applyAlignment="1">
      <alignment horizontal="right"/>
    </xf>
    <xf numFmtId="167" fontId="0" fillId="2" borderId="35" xfId="0" applyNumberFormat="1" applyBorder="1" applyAlignment="1">
      <alignment horizontal="right"/>
    </xf>
    <xf numFmtId="167" fontId="0" fillId="2" borderId="34" xfId="0" applyNumberFormat="1" applyBorder="1"/>
    <xf numFmtId="183" fontId="0" fillId="2" borderId="34" xfId="0" applyNumberFormat="1" applyBorder="1"/>
    <xf numFmtId="178" fontId="0" fillId="2" borderId="34" xfId="0" applyNumberFormat="1" applyBorder="1"/>
    <xf numFmtId="182" fontId="0" fillId="2" borderId="34" xfId="0" applyNumberFormat="1" applyBorder="1"/>
    <xf numFmtId="178" fontId="0" fillId="2" borderId="35" xfId="0" applyNumberFormat="1" applyBorder="1"/>
    <xf numFmtId="178" fontId="0" fillId="2" borderId="16" xfId="0" applyNumberFormat="1"/>
    <xf numFmtId="184" fontId="0" fillId="2" borderId="16" xfId="0" applyNumberFormat="1"/>
    <xf numFmtId="167" fontId="0" fillId="2" borderId="16" xfId="0" applyNumberFormat="1"/>
    <xf numFmtId="167" fontId="0" fillId="2" borderId="12" xfId="0" applyNumberFormat="1" applyBorder="1"/>
    <xf numFmtId="182" fontId="0" fillId="2" borderId="16" xfId="0" applyNumberFormat="1"/>
    <xf numFmtId="178" fontId="0" fillId="2" borderId="12" xfId="0" applyNumberFormat="1" applyBorder="1"/>
    <xf numFmtId="167" fontId="80" fillId="18" borderId="13" xfId="0" applyNumberFormat="1" applyFont="1" applyFill="1" applyBorder="1" applyAlignment="1">
      <alignment horizontal="right" vertical="center"/>
    </xf>
    <xf numFmtId="188" fontId="80" fillId="18" borderId="13" xfId="0" applyNumberFormat="1" applyFont="1" applyFill="1" applyBorder="1" applyAlignment="1">
      <alignment horizontal="right" vertical="center"/>
    </xf>
    <xf numFmtId="178" fontId="80" fillId="18" borderId="13" xfId="0" applyNumberFormat="1" applyFont="1" applyFill="1" applyBorder="1" applyAlignment="1">
      <alignment horizontal="right" vertical="center"/>
    </xf>
    <xf numFmtId="178" fontId="80" fillId="2" borderId="16" xfId="0" applyNumberFormat="1" applyFont="1"/>
    <xf numFmtId="182" fontId="80" fillId="2" borderId="16" xfId="0" applyNumberFormat="1" applyFont="1"/>
    <xf numFmtId="179" fontId="80" fillId="18" borderId="13" xfId="0" applyNumberFormat="1" applyFont="1" applyFill="1" applyBorder="1" applyAlignment="1">
      <alignment horizontal="right" vertical="center"/>
    </xf>
    <xf numFmtId="174" fontId="0" fillId="2" borderId="34" xfId="0" applyNumberFormat="1" applyBorder="1"/>
    <xf numFmtId="174" fontId="0" fillId="2" borderId="35" xfId="0" applyNumberFormat="1" applyBorder="1"/>
    <xf numFmtId="186" fontId="0" fillId="2" borderId="16" xfId="0" applyNumberFormat="1" applyAlignment="1">
      <alignment horizontal="right"/>
    </xf>
    <xf numFmtId="186" fontId="0" fillId="2" borderId="34" xfId="0" applyNumberFormat="1" applyBorder="1" applyAlignment="1">
      <alignment horizontal="right"/>
    </xf>
    <xf numFmtId="186" fontId="0" fillId="3" borderId="16" xfId="0" applyNumberFormat="1" applyFill="1" applyAlignment="1">
      <alignment horizontal="right"/>
    </xf>
    <xf numFmtId="186" fontId="0" fillId="2" borderId="12" xfId="0" applyNumberFormat="1" applyBorder="1" applyAlignment="1">
      <alignment horizontal="right"/>
    </xf>
    <xf numFmtId="186" fontId="0" fillId="2" borderId="35" xfId="0" applyNumberFormat="1" applyBorder="1" applyAlignment="1">
      <alignment horizontal="right"/>
    </xf>
    <xf numFmtId="173" fontId="8" fillId="18" borderId="13" xfId="0" applyNumberFormat="1" applyFont="1" applyFill="1" applyBorder="1" applyAlignment="1">
      <alignment horizontal="left" vertical="center"/>
    </xf>
    <xf numFmtId="182" fontId="8" fillId="18" borderId="13" xfId="0" applyNumberFormat="1" applyFont="1" applyFill="1" applyBorder="1" applyAlignment="1">
      <alignment horizontal="left" vertical="center"/>
    </xf>
    <xf numFmtId="167" fontId="8" fillId="18" borderId="13" xfId="0" applyNumberFormat="1" applyFont="1" applyFill="1" applyBorder="1" applyAlignment="1">
      <alignment horizontal="left" vertical="center"/>
    </xf>
    <xf numFmtId="174" fontId="8" fillId="18" borderId="13" xfId="0" applyNumberFormat="1" applyFont="1" applyFill="1" applyBorder="1" applyAlignment="1">
      <alignment horizontal="left" vertical="center"/>
    </xf>
    <xf numFmtId="173" fontId="0" fillId="2" borderId="16" xfId="0" applyNumberFormat="1"/>
    <xf numFmtId="167" fontId="3" fillId="31" borderId="16" xfId="0" applyNumberFormat="1" applyFont="1" applyFill="1"/>
    <xf numFmtId="185" fontId="0" fillId="2" borderId="16" xfId="0" applyNumberFormat="1"/>
    <xf numFmtId="167" fontId="3" fillId="51" borderId="16" xfId="0" applyNumberFormat="1" applyFont="1" applyFill="1"/>
    <xf numFmtId="173" fontId="0" fillId="2" borderId="16" xfId="0" applyNumberFormat="1" applyAlignment="1">
      <alignment horizontal="right"/>
    </xf>
    <xf numFmtId="167" fontId="3" fillId="2" borderId="16" xfId="0" applyNumberFormat="1" applyFont="1" applyAlignment="1">
      <alignment horizontal="right"/>
    </xf>
    <xf numFmtId="167" fontId="3" fillId="31" borderId="16" xfId="0" applyNumberFormat="1" applyFont="1" applyFill="1" applyAlignment="1">
      <alignment horizontal="right"/>
    </xf>
    <xf numFmtId="182" fontId="0" fillId="33" borderId="16" xfId="0" applyNumberFormat="1" applyFill="1"/>
    <xf numFmtId="184" fontId="3" fillId="32" borderId="16" xfId="0" applyNumberFormat="1" applyFont="1" applyFill="1"/>
    <xf numFmtId="178" fontId="3" fillId="32" borderId="16" xfId="0" applyNumberFormat="1" applyFont="1" applyFill="1" applyAlignment="1">
      <alignment horizontal="left"/>
    </xf>
    <xf numFmtId="167" fontId="0" fillId="51" borderId="16" xfId="0" applyNumberFormat="1" applyFill="1"/>
    <xf numFmtId="178" fontId="0" fillId="51" borderId="16" xfId="0" applyNumberFormat="1" applyFill="1"/>
    <xf numFmtId="167" fontId="0" fillId="31" borderId="16" xfId="0" applyNumberFormat="1" applyFill="1"/>
    <xf numFmtId="167" fontId="72" fillId="9" borderId="16" xfId="0" applyNumberFormat="1" applyFont="1" applyFill="1"/>
    <xf numFmtId="167" fontId="118" fillId="2" borderId="36" xfId="12" applyNumberFormat="1" applyFont="1" applyFill="1" applyBorder="1" applyAlignment="1">
      <alignment horizontal="center" vertical="center"/>
      <protection locked="0"/>
    </xf>
    <xf numFmtId="167" fontId="10" fillId="2" borderId="16" xfId="0" applyNumberFormat="1" applyFont="1"/>
    <xf numFmtId="178" fontId="10" fillId="2" borderId="16" xfId="0" applyNumberFormat="1" applyFont="1"/>
    <xf numFmtId="181" fontId="118" fillId="2" borderId="36" xfId="12" applyNumberFormat="1" applyFont="1" applyFill="1" applyBorder="1" applyAlignment="1">
      <alignment horizontal="center" vertical="center"/>
      <protection locked="0"/>
    </xf>
    <xf numFmtId="181" fontId="10" fillId="2" borderId="16" xfId="0" applyNumberFormat="1" applyFont="1"/>
    <xf numFmtId="169" fontId="59" fillId="2" borderId="16" xfId="6" applyNumberFormat="1" applyFont="1" applyAlignment="1">
      <alignment horizontal="center" vertical="center"/>
    </xf>
    <xf numFmtId="170" fontId="52" fillId="2" borderId="16" xfId="2" applyNumberFormat="1" applyFont="1" applyAlignment="1">
      <alignment horizontal="center" vertical="center"/>
    </xf>
    <xf numFmtId="169" fontId="7" fillId="2" borderId="16" xfId="6" applyNumberFormat="1" applyFont="1" applyAlignment="1">
      <alignment horizontal="center" vertical="center"/>
    </xf>
    <xf numFmtId="171" fontId="58" fillId="2" borderId="16" xfId="7" applyNumberFormat="1" applyFont="1"/>
    <xf numFmtId="170" fontId="54" fillId="2" borderId="16" xfId="2" applyNumberFormat="1" applyFont="1"/>
    <xf numFmtId="171" fontId="60" fillId="23" borderId="16" xfId="7" applyNumberFormat="1" applyFont="1" applyFill="1"/>
    <xf numFmtId="171" fontId="60" fillId="2" borderId="16" xfId="7" applyNumberFormat="1" applyFont="1"/>
    <xf numFmtId="171" fontId="63" fillId="24" borderId="17" xfId="7" applyNumberFormat="1" applyFont="1" applyFill="1" applyBorder="1"/>
    <xf numFmtId="171" fontId="63" fillId="2" borderId="16" xfId="7" applyNumberFormat="1" applyFont="1"/>
    <xf numFmtId="171" fontId="7" fillId="2" borderId="16" xfId="7" applyNumberFormat="1" applyFont="1"/>
    <xf numFmtId="171" fontId="5" fillId="2" borderId="16" xfId="7" applyNumberFormat="1" applyFont="1"/>
    <xf numFmtId="170" fontId="5" fillId="2" borderId="16" xfId="2" applyNumberFormat="1" applyFont="1"/>
    <xf numFmtId="171" fontId="62" fillId="2" borderId="16" xfId="7" applyNumberFormat="1" applyFont="1"/>
    <xf numFmtId="171" fontId="60" fillId="26" borderId="16" xfId="7" applyNumberFormat="1" applyFont="1" applyFill="1"/>
    <xf numFmtId="171" fontId="60" fillId="27" borderId="16" xfId="7" applyNumberFormat="1" applyFont="1" applyFill="1"/>
    <xf numFmtId="171" fontId="60" fillId="28" borderId="16" xfId="7" applyNumberFormat="1" applyFont="1" applyFill="1"/>
    <xf numFmtId="170" fontId="54" fillId="29" borderId="16" xfId="2" quotePrefix="1" applyNumberFormat="1" applyFont="1" applyFill="1"/>
    <xf numFmtId="171" fontId="66" fillId="2" borderId="16" xfId="0" quotePrefix="1" applyNumberFormat="1" applyFont="1" applyAlignment="1">
      <alignment horizontal="center"/>
    </xf>
    <xf numFmtId="169" fontId="5" fillId="2" borderId="16" xfId="6" applyNumberFormat="1" applyFont="1" applyAlignment="1">
      <alignment horizontal="left" vertical="center" wrapText="1"/>
    </xf>
    <xf numFmtId="171" fontId="63" fillId="26" borderId="16" xfId="7" applyNumberFormat="1" applyFont="1" applyFill="1"/>
    <xf numFmtId="171" fontId="63" fillId="27" borderId="16" xfId="7" applyNumberFormat="1" applyFont="1" applyFill="1"/>
    <xf numFmtId="171" fontId="63" fillId="28" borderId="16" xfId="7" applyNumberFormat="1" applyFont="1" applyFill="1"/>
    <xf numFmtId="170" fontId="54" fillId="29" borderId="16" xfId="2" applyNumberFormat="1" applyFont="1" applyFill="1"/>
    <xf numFmtId="170" fontId="60" fillId="27" borderId="16" xfId="2" applyNumberFormat="1" applyFont="1" applyFill="1" applyAlignment="1">
      <alignment horizontal="center"/>
    </xf>
    <xf numFmtId="170" fontId="60" fillId="28" borderId="16" xfId="2" applyNumberFormat="1" applyFont="1" applyFill="1" applyAlignment="1">
      <alignment horizontal="center"/>
    </xf>
    <xf numFmtId="170" fontId="58" fillId="28" borderId="16" xfId="2" applyNumberFormat="1" applyFont="1" applyFill="1" applyAlignment="1">
      <alignment horizontal="center"/>
    </xf>
    <xf numFmtId="170" fontId="0" fillId="28" borderId="16" xfId="2" applyNumberFormat="1" applyFont="1" applyFill="1" applyAlignment="1">
      <alignment horizontal="center"/>
    </xf>
    <xf numFmtId="171" fontId="58" fillId="28" borderId="16" xfId="7" applyNumberFormat="1" applyFont="1" applyFill="1"/>
    <xf numFmtId="172" fontId="0" fillId="28" borderId="16" xfId="0" applyNumberFormat="1" applyFill="1"/>
    <xf numFmtId="170" fontId="1" fillId="29" borderId="16" xfId="2" applyNumberFormat="1" applyFont="1" applyFill="1"/>
    <xf numFmtId="44" fontId="60" fillId="26" borderId="16" xfId="2" applyFont="1" applyFill="1"/>
    <xf numFmtId="44" fontId="60" fillId="27" borderId="16" xfId="2" applyFont="1" applyFill="1"/>
    <xf numFmtId="44" fontId="60" fillId="28" borderId="16" xfId="2" applyFont="1" applyFill="1"/>
    <xf numFmtId="170" fontId="60" fillId="28" borderId="16" xfId="2" applyNumberFormat="1" applyFont="1" applyFill="1"/>
    <xf numFmtId="44" fontId="0" fillId="28" borderId="16" xfId="0" applyNumberFormat="1" applyFill="1"/>
    <xf numFmtId="171" fontId="0" fillId="28" borderId="16" xfId="0" applyNumberFormat="1" applyFill="1"/>
    <xf numFmtId="171" fontId="60" fillId="29" borderId="16" xfId="7" applyNumberFormat="1" applyFont="1" applyFill="1"/>
    <xf numFmtId="171" fontId="68" fillId="2" borderId="16" xfId="0" quotePrefix="1" applyNumberFormat="1" applyFont="1" applyAlignment="1">
      <alignment horizontal="center"/>
    </xf>
    <xf numFmtId="171" fontId="63" fillId="29" borderId="16" xfId="7" applyNumberFormat="1" applyFont="1" applyFill="1"/>
    <xf numFmtId="171" fontId="63" fillId="24" borderId="16" xfId="7" applyNumberFormat="1" applyFont="1" applyFill="1"/>
    <xf numFmtId="179" fontId="0" fillId="48" borderId="30" xfId="0" applyNumberFormat="1" applyFill="1" applyBorder="1"/>
    <xf numFmtId="179" fontId="0" fillId="48" borderId="31" xfId="0" applyNumberFormat="1" applyFill="1" applyBorder="1"/>
    <xf numFmtId="167" fontId="5" fillId="48" borderId="31" xfId="0" applyNumberFormat="1" applyFont="1" applyFill="1" applyBorder="1" applyAlignment="1">
      <alignment horizontal="right" vertical="center" wrapText="1"/>
    </xf>
    <xf numFmtId="176" fontId="5" fillId="2" borderId="16" xfId="0" applyNumberFormat="1" applyFont="1" applyAlignment="1">
      <alignment horizontal="right" vertical="center" wrapText="1"/>
    </xf>
    <xf numFmtId="176" fontId="100" fillId="49" borderId="16" xfId="0" applyNumberFormat="1" applyFont="1" applyFill="1" applyAlignment="1">
      <alignment horizontal="right" vertical="center" wrapText="1"/>
    </xf>
    <xf numFmtId="176" fontId="49" fillId="35" borderId="16" xfId="0" applyNumberFormat="1" applyFont="1" applyFill="1" applyAlignment="1">
      <alignment horizontal="right" vertical="center" wrapText="1"/>
    </xf>
    <xf numFmtId="176" fontId="5" fillId="2" borderId="16" xfId="2" applyNumberFormat="1" applyFont="1" applyAlignment="1">
      <alignment horizontal="right"/>
    </xf>
    <xf numFmtId="168" fontId="2" fillId="2" borderId="16" xfId="1" applyNumberFormat="1"/>
    <xf numFmtId="180" fontId="2" fillId="2" borderId="16" xfId="1" applyNumberFormat="1"/>
    <xf numFmtId="167" fontId="2" fillId="2" borderId="16" xfId="1" applyNumberFormat="1"/>
    <xf numFmtId="43" fontId="2" fillId="2" borderId="16" xfId="1"/>
    <xf numFmtId="167" fontId="5" fillId="2" borderId="16" xfId="0" applyNumberFormat="1" applyFont="1" applyAlignment="1">
      <alignment horizontal="right" vertical="center"/>
    </xf>
    <xf numFmtId="175" fontId="5" fillId="2" borderId="16" xfId="0" applyNumberFormat="1" applyFont="1" applyAlignment="1">
      <alignment horizontal="left" vertical="center"/>
    </xf>
    <xf numFmtId="170" fontId="5" fillId="2" borderId="16" xfId="2" applyNumberFormat="1" applyFont="1" applyAlignment="1">
      <alignment horizontal="left" vertical="center"/>
    </xf>
    <xf numFmtId="167" fontId="5" fillId="2" borderId="16" xfId="2" applyNumberFormat="1" applyFont="1" applyAlignment="1">
      <alignment horizontal="right" vertical="center"/>
    </xf>
    <xf numFmtId="176" fontId="5" fillId="2" borderId="16" xfId="0" applyNumberFormat="1" applyFont="1" applyAlignment="1">
      <alignment horizontal="right" vertical="center"/>
    </xf>
    <xf numFmtId="176" fontId="5" fillId="2" borderId="3" xfId="0" applyNumberFormat="1" applyFont="1" applyBorder="1" applyAlignment="1">
      <alignment horizontal="right" vertical="center"/>
    </xf>
    <xf numFmtId="176" fontId="11" fillId="2" borderId="10" xfId="0" applyNumberFormat="1" applyFont="1" applyBorder="1" applyAlignment="1">
      <alignment horizontal="right" vertical="center"/>
    </xf>
    <xf numFmtId="176" fontId="5" fillId="2" borderId="16" xfId="0" applyNumberFormat="1" applyFont="1" applyAlignment="1">
      <alignment horizontal="right"/>
    </xf>
    <xf numFmtId="176" fontId="5" fillId="2" borderId="2" xfId="0" applyNumberFormat="1" applyFont="1" applyBorder="1" applyAlignment="1">
      <alignment horizontal="right" vertical="center"/>
    </xf>
    <xf numFmtId="176" fontId="0" fillId="2" borderId="16" xfId="0" applyNumberFormat="1"/>
    <xf numFmtId="168" fontId="0" fillId="2" borderId="16" xfId="0" applyNumberFormat="1"/>
    <xf numFmtId="173" fontId="5" fillId="2" borderId="16" xfId="0" applyNumberFormat="1" applyFont="1" applyAlignment="1">
      <alignment horizontal="right" vertical="center" wrapText="1"/>
    </xf>
    <xf numFmtId="168" fontId="5" fillId="2" borderId="16" xfId="1" applyNumberFormat="1" applyFont="1" applyAlignment="1">
      <alignment horizontal="right" vertical="center" wrapText="1"/>
    </xf>
    <xf numFmtId="168" fontId="0" fillId="2" borderId="16" xfId="0" applyNumberFormat="1" applyAlignment="1">
      <alignment horizontal="right" vertical="center"/>
    </xf>
    <xf numFmtId="176" fontId="0" fillId="2" borderId="16" xfId="0" applyNumberFormat="1" applyAlignment="1">
      <alignment horizontal="right" vertical="center"/>
    </xf>
    <xf numFmtId="168" fontId="5" fillId="2" borderId="16" xfId="0" applyNumberFormat="1" applyFont="1" applyAlignment="1">
      <alignment horizontal="right" vertical="center"/>
    </xf>
    <xf numFmtId="177" fontId="5" fillId="2" borderId="16" xfId="1" applyNumberFormat="1" applyFont="1" applyAlignment="1">
      <alignment horizontal="right" vertical="center" wrapText="1"/>
    </xf>
    <xf numFmtId="168" fontId="5" fillId="2" borderId="16" xfId="0" applyNumberFormat="1" applyFont="1" applyAlignment="1">
      <alignment horizontal="left" vertical="center" wrapText="1"/>
    </xf>
    <xf numFmtId="167" fontId="29" fillId="5" borderId="9" xfId="16" applyNumberFormat="1" applyAlignment="1">
      <alignment horizontal="center" vertical="center" wrapText="1"/>
    </xf>
    <xf numFmtId="175" fontId="5" fillId="2" borderId="16" xfId="0" applyNumberFormat="1" applyFont="1"/>
    <xf numFmtId="178" fontId="5" fillId="2" borderId="16" xfId="0" applyNumberFormat="1" applyFont="1" applyAlignment="1">
      <alignment horizontal="left" vertical="center" wrapText="1"/>
    </xf>
    <xf numFmtId="176" fontId="5" fillId="2" borderId="16" xfId="0" applyNumberFormat="1" applyFont="1"/>
    <xf numFmtId="176" fontId="5" fillId="2" borderId="16" xfId="0" applyNumberFormat="1" applyFont="1" applyAlignment="1">
      <alignment horizontal="left" vertical="center" wrapText="1"/>
    </xf>
    <xf numFmtId="165" fontId="28" fillId="10" borderId="8" xfId="40" applyNumberFormat="1" applyFont="1" applyAlignment="1">
      <alignment wrapText="1"/>
    </xf>
    <xf numFmtId="178" fontId="8" fillId="2" borderId="16" xfId="0" applyNumberFormat="1" applyFont="1" applyAlignment="1">
      <alignment wrapText="1"/>
    </xf>
    <xf numFmtId="168" fontId="28" fillId="2" borderId="8" xfId="15" applyNumberFormat="1" applyFont="1" applyAlignment="1">
      <alignment wrapText="1"/>
    </xf>
    <xf numFmtId="170" fontId="8" fillId="2" borderId="16" xfId="2" applyNumberFormat="1" applyFont="1" applyAlignment="1">
      <alignment wrapText="1"/>
    </xf>
    <xf numFmtId="170" fontId="8" fillId="2" borderId="16" xfId="2" applyNumberFormat="1" applyFont="1" applyAlignment="1">
      <alignment vertical="center" wrapText="1"/>
    </xf>
    <xf numFmtId="170" fontId="8" fillId="2" borderId="16" xfId="2" applyNumberFormat="1" applyFont="1" applyAlignment="1">
      <alignment horizontal="right" vertical="center" wrapText="1"/>
    </xf>
    <xf numFmtId="43" fontId="41" fillId="2" borderId="8" xfId="15" applyNumberFormat="1" applyFont="1" applyAlignment="1">
      <alignment wrapText="1"/>
    </xf>
    <xf numFmtId="170" fontId="8" fillId="2" borderId="16" xfId="0" applyNumberFormat="1" applyFont="1" applyAlignment="1">
      <alignment horizontal="right" vertical="center" wrapText="1"/>
    </xf>
    <xf numFmtId="171" fontId="28" fillId="10" borderId="8" xfId="40" applyNumberFormat="1" applyFont="1" applyAlignment="1">
      <alignment wrapText="1"/>
    </xf>
    <xf numFmtId="167" fontId="8" fillId="2" borderId="16" xfId="0" applyNumberFormat="1" applyFont="1" applyAlignment="1">
      <alignment vertical="center"/>
    </xf>
    <xf numFmtId="167" fontId="8" fillId="2" borderId="16" xfId="0" applyNumberFormat="1" applyFont="1" applyAlignment="1">
      <alignment horizontal="right" vertical="center"/>
    </xf>
    <xf numFmtId="167" fontId="8" fillId="2" borderId="16" xfId="0" applyNumberFormat="1" applyFont="1" applyAlignment="1">
      <alignment horizontal="center"/>
    </xf>
    <xf numFmtId="170" fontId="8" fillId="2" borderId="16" xfId="2" applyNumberFormat="1" applyFont="1" applyAlignment="1">
      <alignment vertical="center"/>
    </xf>
    <xf numFmtId="170" fontId="8" fillId="2" borderId="16" xfId="2" applyNumberFormat="1" applyFont="1" applyAlignment="1">
      <alignment horizontal="center"/>
    </xf>
    <xf numFmtId="170" fontId="8" fillId="2" borderId="16" xfId="2" applyNumberFormat="1" applyFont="1"/>
    <xf numFmtId="43" fontId="8" fillId="2" borderId="16" xfId="1" applyFont="1" applyAlignment="1">
      <alignment horizontal="right"/>
    </xf>
    <xf numFmtId="167" fontId="28" fillId="2" borderId="8" xfId="15" applyNumberFormat="1" applyFont="1" applyAlignment="1">
      <alignment wrapText="1"/>
    </xf>
    <xf numFmtId="178" fontId="28" fillId="10" borderId="8" xfId="19" applyNumberFormat="1" applyFont="1" applyAlignment="1">
      <alignment horizontal="right" vertical="center" wrapText="1"/>
    </xf>
    <xf numFmtId="168" fontId="28" fillId="2" borderId="8" xfId="15" applyNumberFormat="1" applyFont="1"/>
    <xf numFmtId="168" fontId="5" fillId="2" borderId="16" xfId="1" applyNumberFormat="1" applyFont="1" applyAlignment="1">
      <alignment horizontal="right"/>
    </xf>
    <xf numFmtId="170" fontId="5" fillId="2" borderId="16" xfId="2" applyNumberFormat="1" applyFont="1" applyAlignment="1">
      <alignment horizontal="right" vertical="center"/>
    </xf>
    <xf numFmtId="170" fontId="5" fillId="2" borderId="16" xfId="2" applyNumberFormat="1" applyFont="1" applyAlignment="1">
      <alignment horizontal="center" vertical="center"/>
    </xf>
    <xf numFmtId="170" fontId="5" fillId="2" borderId="16" xfId="2" applyNumberFormat="1" applyFont="1" applyAlignment="1">
      <alignment vertical="center" wrapText="1"/>
    </xf>
    <xf numFmtId="166" fontId="32" fillId="8" borderId="7" xfId="21"/>
    <xf numFmtId="169" fontId="33" fillId="2" borderId="16" xfId="22" applyFont="1"/>
    <xf numFmtId="179" fontId="5" fillId="2" borderId="16" xfId="0" applyNumberFormat="1" applyFont="1" applyAlignment="1">
      <alignment horizontal="left" vertical="center" wrapText="1"/>
    </xf>
    <xf numFmtId="167" fontId="5" fillId="2" borderId="16" xfId="0" applyNumberFormat="1" applyFont="1" applyAlignment="1">
      <alignment horizontal="left" vertical="center" wrapText="1"/>
    </xf>
    <xf numFmtId="164" fontId="5" fillId="2" borderId="16" xfId="0" applyNumberFormat="1" applyFont="1"/>
    <xf numFmtId="164" fontId="5" fillId="44" borderId="16" xfId="0" applyNumberFormat="1" applyFont="1" applyFill="1"/>
    <xf numFmtId="164" fontId="11" fillId="44" borderId="16" xfId="0" applyNumberFormat="1" applyFont="1" applyFill="1"/>
    <xf numFmtId="6" fontId="0" fillId="2" borderId="16" xfId="0" applyNumberFormat="1"/>
    <xf numFmtId="0" fontId="135" fillId="54" borderId="40" xfId="0" applyFont="1" applyFill="1" applyBorder="1" applyAlignment="1">
      <alignment horizontal="center"/>
    </xf>
    <xf numFmtId="0" fontId="135" fillId="54" borderId="41" xfId="0" applyFont="1" applyFill="1" applyBorder="1" applyAlignment="1">
      <alignment horizontal="center"/>
    </xf>
    <xf numFmtId="0" fontId="135" fillId="54" borderId="42" xfId="0" applyFont="1" applyFill="1" applyBorder="1" applyAlignment="1">
      <alignment horizontal="center"/>
    </xf>
    <xf numFmtId="0" fontId="136" fillId="55" borderId="47" xfId="0" applyFont="1" applyFill="1" applyBorder="1"/>
    <xf numFmtId="15" fontId="137" fillId="55" borderId="47" xfId="0" applyNumberFormat="1" applyFont="1" applyFill="1" applyBorder="1" applyAlignment="1">
      <alignment horizontal="center"/>
    </xf>
    <xf numFmtId="0" fontId="138" fillId="55" borderId="47" xfId="0" applyFont="1" applyFill="1" applyBorder="1" applyAlignment="1">
      <alignment horizontal="center"/>
    </xf>
    <xf numFmtId="0" fontId="139" fillId="55" borderId="47" xfId="0" applyFont="1" applyFill="1" applyBorder="1"/>
    <xf numFmtId="0" fontId="0" fillId="55" borderId="47" xfId="0" applyFill="1" applyBorder="1"/>
    <xf numFmtId="0" fontId="132" fillId="55" borderId="48" xfId="0" applyFont="1" applyFill="1" applyBorder="1" applyAlignment="1">
      <alignment horizontal="center" vertical="center"/>
    </xf>
    <xf numFmtId="0" fontId="132" fillId="55" borderId="49" xfId="0" applyFont="1" applyFill="1" applyBorder="1" applyAlignment="1">
      <alignment horizontal="center" vertical="center"/>
    </xf>
    <xf numFmtId="0" fontId="132" fillId="55" borderId="50" xfId="0" applyFont="1" applyFill="1" applyBorder="1" applyAlignment="1">
      <alignment horizontal="center" vertical="center"/>
    </xf>
    <xf numFmtId="0" fontId="136" fillId="55" borderId="55" xfId="0" applyFont="1" applyFill="1" applyBorder="1"/>
    <xf numFmtId="15" fontId="137" fillId="55" borderId="55" xfId="0" applyNumberFormat="1" applyFont="1" applyFill="1" applyBorder="1" applyAlignment="1">
      <alignment horizontal="center"/>
    </xf>
    <xf numFmtId="0" fontId="138" fillId="55" borderId="55" xfId="0" applyFont="1" applyFill="1" applyBorder="1" applyAlignment="1">
      <alignment horizontal="center"/>
    </xf>
    <xf numFmtId="0" fontId="139" fillId="55" borderId="55" xfId="0" applyFont="1" applyFill="1" applyBorder="1"/>
    <xf numFmtId="0" fontId="0" fillId="55" borderId="55" xfId="0" applyFill="1" applyBorder="1"/>
    <xf numFmtId="0" fontId="132" fillId="55" borderId="56" xfId="0" applyFont="1" applyFill="1" applyBorder="1" applyAlignment="1">
      <alignment horizontal="center" vertical="center"/>
    </xf>
    <xf numFmtId="0" fontId="132" fillId="55" borderId="57" xfId="0" applyFont="1" applyFill="1" applyBorder="1" applyAlignment="1">
      <alignment horizontal="center" vertical="center"/>
    </xf>
    <xf numFmtId="0" fontId="132" fillId="55" borderId="58" xfId="0" applyFont="1" applyFill="1" applyBorder="1" applyAlignment="1">
      <alignment horizontal="center" vertical="center"/>
    </xf>
    <xf numFmtId="0" fontId="133" fillId="34" borderId="16" xfId="0" applyFont="1" applyFill="1"/>
    <xf numFmtId="0" fontId="0" fillId="34" borderId="16" xfId="0" applyFill="1"/>
    <xf numFmtId="14" fontId="0" fillId="34" borderId="16" xfId="0" applyNumberFormat="1" applyFill="1"/>
    <xf numFmtId="0" fontId="136" fillId="34" borderId="43" xfId="0" applyFont="1" applyFill="1" applyBorder="1"/>
    <xf numFmtId="15" fontId="137" fillId="34" borderId="43" xfId="0" applyNumberFormat="1" applyFont="1" applyFill="1" applyBorder="1" applyAlignment="1">
      <alignment horizontal="center"/>
    </xf>
    <xf numFmtId="0" fontId="138" fillId="34" borderId="43" xfId="0" applyFont="1" applyFill="1" applyBorder="1" applyAlignment="1">
      <alignment horizontal="center"/>
    </xf>
    <xf numFmtId="0" fontId="139" fillId="34" borderId="43" xfId="0" applyFont="1" applyFill="1" applyBorder="1"/>
    <xf numFmtId="0" fontId="0" fillId="34" borderId="43" xfId="0" applyFill="1" applyBorder="1"/>
    <xf numFmtId="0" fontId="132" fillId="34" borderId="44" xfId="0" applyFont="1" applyFill="1" applyBorder="1" applyAlignment="1">
      <alignment horizontal="center" vertical="center"/>
    </xf>
    <xf numFmtId="0" fontId="132" fillId="34" borderId="45" xfId="0" applyFont="1" applyFill="1" applyBorder="1" applyAlignment="1">
      <alignment horizontal="center" vertical="center"/>
    </xf>
    <xf numFmtId="0" fontId="132" fillId="34" borderId="46" xfId="0" applyFont="1" applyFill="1" applyBorder="1" applyAlignment="1">
      <alignment horizontal="center" vertical="center"/>
    </xf>
    <xf numFmtId="0" fontId="136" fillId="34" borderId="47" xfId="0" applyFont="1" applyFill="1" applyBorder="1"/>
    <xf numFmtId="15" fontId="137" fillId="34" borderId="47" xfId="0" applyNumberFormat="1" applyFont="1" applyFill="1" applyBorder="1" applyAlignment="1">
      <alignment horizontal="center"/>
    </xf>
    <xf numFmtId="0" fontId="138" fillId="34" borderId="47" xfId="0" applyFont="1" applyFill="1" applyBorder="1" applyAlignment="1">
      <alignment horizontal="center"/>
    </xf>
    <xf numFmtId="0" fontId="139" fillId="34" borderId="47" xfId="0" applyFont="1" applyFill="1" applyBorder="1"/>
    <xf numFmtId="0" fontId="0" fillId="34" borderId="47" xfId="0" applyFill="1" applyBorder="1"/>
    <xf numFmtId="0" fontId="132" fillId="34" borderId="48" xfId="0" applyFont="1" applyFill="1" applyBorder="1" applyAlignment="1">
      <alignment horizontal="center" vertical="center"/>
    </xf>
    <xf numFmtId="0" fontId="132" fillId="34" borderId="49" xfId="0" applyFont="1" applyFill="1" applyBorder="1" applyAlignment="1">
      <alignment horizontal="center" vertical="center"/>
    </xf>
    <xf numFmtId="0" fontId="132" fillId="34" borderId="50" xfId="0" applyFont="1" applyFill="1" applyBorder="1" applyAlignment="1">
      <alignment horizontal="center" vertical="center"/>
    </xf>
    <xf numFmtId="0" fontId="136" fillId="34" borderId="51" xfId="0" applyFont="1" applyFill="1" applyBorder="1"/>
    <xf numFmtId="15" fontId="137" fillId="34" borderId="51" xfId="0" applyNumberFormat="1" applyFont="1" applyFill="1" applyBorder="1" applyAlignment="1">
      <alignment horizontal="center"/>
    </xf>
    <xf numFmtId="0" fontId="138" fillId="34" borderId="51" xfId="0" applyFont="1" applyFill="1" applyBorder="1" applyAlignment="1">
      <alignment horizontal="center"/>
    </xf>
    <xf numFmtId="0" fontId="139" fillId="34" borderId="51" xfId="0" applyFont="1" applyFill="1" applyBorder="1"/>
    <xf numFmtId="0" fontId="0" fillId="34" borderId="51" xfId="0" applyFill="1" applyBorder="1"/>
    <xf numFmtId="0" fontId="132" fillId="34" borderId="52" xfId="0" applyFont="1" applyFill="1" applyBorder="1" applyAlignment="1">
      <alignment horizontal="center" vertical="center"/>
    </xf>
    <xf numFmtId="0" fontId="132" fillId="34" borderId="53" xfId="0" applyFont="1" applyFill="1" applyBorder="1" applyAlignment="1">
      <alignment horizontal="center" vertical="center"/>
    </xf>
    <xf numFmtId="0" fontId="132" fillId="34" borderId="54" xfId="0" applyFont="1" applyFill="1" applyBorder="1" applyAlignment="1">
      <alignment horizontal="center" vertical="center"/>
    </xf>
    <xf numFmtId="0" fontId="140" fillId="34" borderId="16" xfId="0" applyFont="1" applyFill="1"/>
    <xf numFmtId="0" fontId="148" fillId="34" borderId="16" xfId="0" applyFont="1" applyFill="1" applyAlignment="1">
      <alignment horizontal="center"/>
    </xf>
    <xf numFmtId="0" fontId="134" fillId="54" borderId="39" xfId="0" applyFont="1" applyFill="1" applyBorder="1"/>
    <xf numFmtId="0" fontId="134" fillId="54" borderId="16" xfId="0" applyFont="1" applyFill="1"/>
    <xf numFmtId="0" fontId="131" fillId="34" borderId="16" xfId="0" applyFont="1" applyFill="1"/>
    <xf numFmtId="0" fontId="141" fillId="34" borderId="16" xfId="0" applyFont="1" applyFill="1"/>
    <xf numFmtId="0" fontId="142" fillId="34" borderId="16" xfId="0" applyFont="1" applyFill="1"/>
    <xf numFmtId="0" fontId="143" fillId="34" borderId="16" xfId="0" applyFont="1" applyFill="1"/>
    <xf numFmtId="0" fontId="144" fillId="34" borderId="16" xfId="0" applyFont="1" applyFill="1"/>
    <xf numFmtId="0" fontId="145" fillId="34" borderId="16" xfId="0" applyFont="1" applyFill="1"/>
    <xf numFmtId="0" fontId="146" fillId="34" borderId="16" xfId="0" applyFont="1" applyFill="1"/>
    <xf numFmtId="0" fontId="138" fillId="34" borderId="16" xfId="0" applyFont="1" applyFill="1"/>
    <xf numFmtId="3" fontId="147" fillId="34" borderId="16" xfId="0" applyNumberFormat="1" applyFont="1" applyFill="1"/>
    <xf numFmtId="0" fontId="48" fillId="19" borderId="13" xfId="0" applyFont="1" applyFill="1" applyBorder="1" applyAlignment="1">
      <alignment horizontal="center" vertical="center"/>
    </xf>
    <xf numFmtId="0" fontId="149" fillId="0" borderId="16" xfId="0" applyFont="1" applyFill="1"/>
    <xf numFmtId="0" fontId="149" fillId="0" borderId="16" xfId="0" applyFont="1" applyFill="1" applyAlignment="1">
      <alignment vertical="center"/>
    </xf>
    <xf numFmtId="0" fontId="149" fillId="0" borderId="16" xfId="0" applyFont="1" applyFill="1" applyAlignment="1">
      <alignment horizontal="right" vertical="center"/>
    </xf>
    <xf numFmtId="0" fontId="149" fillId="0" borderId="16" xfId="0" applyFont="1" applyFill="1" applyAlignment="1">
      <alignment horizontal="center" vertical="center"/>
    </xf>
    <xf numFmtId="167" fontId="149" fillId="0" borderId="16" xfId="0" applyNumberFormat="1" applyFont="1" applyFill="1" applyAlignment="1">
      <alignment horizontal="right" vertical="center"/>
    </xf>
    <xf numFmtId="167" fontId="149" fillId="0" borderId="16" xfId="0" applyNumberFormat="1" applyFont="1" applyFill="1" applyAlignment="1">
      <alignment horizontal="center" vertical="center"/>
    </xf>
    <xf numFmtId="167" fontId="149" fillId="0" borderId="16" xfId="0" applyNumberFormat="1" applyFont="1" applyFill="1" applyAlignment="1">
      <alignment vertical="center"/>
    </xf>
    <xf numFmtId="0" fontId="150" fillId="0" borderId="16" xfId="0" applyFont="1" applyFill="1" applyAlignment="1">
      <alignment vertical="center"/>
    </xf>
    <xf numFmtId="0" fontId="149" fillId="30" borderId="16" xfId="0" applyFont="1" applyFill="1" applyAlignment="1">
      <alignment vertical="center"/>
    </xf>
    <xf numFmtId="0" fontId="105" fillId="30" borderId="16" xfId="0" applyFont="1" applyFill="1" applyAlignment="1">
      <alignment horizontal="right" vertical="center"/>
    </xf>
    <xf numFmtId="0" fontId="105" fillId="30" borderId="16" xfId="0" applyFont="1" applyFill="1" applyAlignment="1">
      <alignment horizontal="center" vertical="center"/>
    </xf>
    <xf numFmtId="0" fontId="111" fillId="0" borderId="16" xfId="0" applyFont="1" applyFill="1"/>
    <xf numFmtId="0" fontId="111" fillId="0" borderId="16" xfId="0" applyFont="1" applyFill="1" applyAlignment="1">
      <alignment horizontal="left" vertical="center"/>
    </xf>
    <xf numFmtId="0" fontId="111" fillId="0" borderId="16" xfId="0" applyFont="1" applyFill="1" applyAlignment="1">
      <alignment horizontal="right" vertical="center"/>
    </xf>
    <xf numFmtId="0" fontId="111" fillId="0" borderId="16" xfId="0" applyFont="1" applyFill="1" applyAlignment="1">
      <alignment horizontal="center" vertical="center"/>
    </xf>
    <xf numFmtId="0" fontId="149" fillId="56" borderId="16" xfId="0" applyFont="1" applyFill="1" applyAlignment="1">
      <alignment vertical="center"/>
    </xf>
    <xf numFmtId="0" fontId="151" fillId="56" borderId="16" xfId="0" applyFont="1" applyFill="1" applyAlignment="1">
      <alignment vertical="center"/>
    </xf>
    <xf numFmtId="0" fontId="151" fillId="56" borderId="16" xfId="0" applyFont="1" applyFill="1" applyAlignment="1">
      <alignment horizontal="right" vertical="center"/>
    </xf>
    <xf numFmtId="0" fontId="151" fillId="56" borderId="16" xfId="0" applyFont="1" applyFill="1" applyAlignment="1">
      <alignment horizontal="center" vertical="center"/>
    </xf>
    <xf numFmtId="0" fontId="149" fillId="56" borderId="16" xfId="0" applyFont="1" applyFill="1"/>
    <xf numFmtId="0" fontId="151" fillId="56" borderId="16" xfId="0" applyFont="1" applyFill="1"/>
    <xf numFmtId="167" fontId="152" fillId="4" borderId="16" xfId="0" applyNumberFormat="1" applyFont="1" applyFill="1" applyAlignment="1">
      <alignment horizontal="right" vertical="center"/>
    </xf>
    <xf numFmtId="3" fontId="152" fillId="4" borderId="16" xfId="0" applyNumberFormat="1" applyFont="1" applyFill="1" applyAlignment="1">
      <alignment horizontal="right" vertical="center"/>
    </xf>
    <xf numFmtId="9" fontId="152" fillId="4" borderId="16" xfId="0" applyNumberFormat="1" applyFont="1" applyFill="1" applyAlignment="1">
      <alignment vertical="center"/>
    </xf>
    <xf numFmtId="0" fontId="152" fillId="4" borderId="16" xfId="0" applyFont="1" applyFill="1" applyAlignment="1">
      <alignment vertical="center"/>
    </xf>
    <xf numFmtId="3" fontId="152" fillId="4" borderId="16" xfId="0" applyNumberFormat="1" applyFont="1" applyFill="1"/>
    <xf numFmtId="0" fontId="152" fillId="4" borderId="16" xfId="0" applyFont="1" applyFill="1"/>
    <xf numFmtId="167" fontId="152" fillId="4" borderId="16" xfId="0" applyNumberFormat="1" applyFont="1" applyFill="1" applyAlignment="1">
      <alignment horizontal="center" vertical="center"/>
    </xf>
    <xf numFmtId="3" fontId="152" fillId="4" borderId="16" xfId="0" applyNumberFormat="1" applyFont="1" applyFill="1" applyAlignment="1">
      <alignment horizontal="center" vertical="center"/>
    </xf>
    <xf numFmtId="0" fontId="153" fillId="56" borderId="16" xfId="0" applyFont="1" applyFill="1" applyAlignment="1">
      <alignment horizontal="left" vertical="center"/>
    </xf>
    <xf numFmtId="0" fontId="153" fillId="30" borderId="16" xfId="0" applyFont="1" applyFill="1" applyAlignment="1">
      <alignment horizontal="left" vertical="center"/>
    </xf>
    <xf numFmtId="0" fontId="153" fillId="56" borderId="16" xfId="0" applyFont="1" applyFill="1"/>
    <xf numFmtId="0" fontId="154" fillId="0" borderId="16" xfId="0" applyFont="1" applyFill="1"/>
    <xf numFmtId="0" fontId="154" fillId="0" borderId="16" xfId="0" applyFont="1" applyFill="1" applyAlignment="1">
      <alignment horizontal="left" vertical="center"/>
    </xf>
    <xf numFmtId="167" fontId="154" fillId="0" borderId="16" xfId="0" applyNumberFormat="1" applyFont="1" applyFill="1" applyAlignment="1">
      <alignment horizontal="left" vertical="center"/>
    </xf>
    <xf numFmtId="0" fontId="155" fillId="30" borderId="16" xfId="0" applyFont="1" applyFill="1" applyAlignment="1">
      <alignment horizontal="left" vertical="center"/>
    </xf>
    <xf numFmtId="0" fontId="156" fillId="0" borderId="16" xfId="0" applyFont="1" applyFill="1" applyAlignment="1">
      <alignment horizontal="left" vertical="center"/>
    </xf>
    <xf numFmtId="0" fontId="155" fillId="56" borderId="16" xfId="0" applyFont="1" applyFill="1" applyAlignment="1">
      <alignment vertical="center"/>
    </xf>
    <xf numFmtId="9" fontId="154" fillId="4" borderId="16" xfId="0" applyNumberFormat="1" applyFont="1" applyFill="1" applyAlignment="1">
      <alignment vertical="center"/>
    </xf>
    <xf numFmtId="0" fontId="154" fillId="4" borderId="16" xfId="0" applyFont="1" applyFill="1" applyAlignment="1">
      <alignment vertical="center"/>
    </xf>
    <xf numFmtId="0" fontId="154" fillId="0" borderId="16" xfId="0" applyFont="1" applyFill="1" applyAlignment="1">
      <alignment vertical="center"/>
    </xf>
    <xf numFmtId="0" fontId="155" fillId="56" borderId="16" xfId="0" applyFont="1" applyFill="1"/>
    <xf numFmtId="0" fontId="149" fillId="0" borderId="59" xfId="0" applyFont="1" applyFill="1" applyBorder="1"/>
    <xf numFmtId="0" fontId="149" fillId="0" borderId="59" xfId="0" applyFont="1" applyFill="1" applyBorder="1" applyAlignment="1">
      <alignment vertical="center"/>
    </xf>
    <xf numFmtId="0" fontId="111" fillId="0" borderId="59" xfId="0" applyFont="1" applyFill="1" applyBorder="1" applyAlignment="1">
      <alignment horizontal="left" vertical="center"/>
    </xf>
    <xf numFmtId="167" fontId="152" fillId="4" borderId="59" xfId="0" applyNumberFormat="1" applyFont="1" applyFill="1" applyBorder="1" applyAlignment="1">
      <alignment horizontal="right" vertical="center"/>
    </xf>
    <xf numFmtId="167" fontId="152" fillId="4" borderId="59" xfId="0" applyNumberFormat="1" applyFont="1" applyFill="1" applyBorder="1" applyAlignment="1">
      <alignment horizontal="center" vertical="center"/>
    </xf>
    <xf numFmtId="2" fontId="152" fillId="4" borderId="59" xfId="0" applyNumberFormat="1" applyFont="1" applyFill="1" applyBorder="1" applyAlignment="1">
      <alignment vertical="center"/>
    </xf>
    <xf numFmtId="0" fontId="154" fillId="0" borderId="59" xfId="0" applyFont="1" applyFill="1" applyBorder="1" applyAlignment="1">
      <alignment vertical="center"/>
    </xf>
    <xf numFmtId="0" fontId="111" fillId="0" borderId="59" xfId="0" applyFont="1" applyFill="1" applyBorder="1"/>
    <xf numFmtId="0" fontId="152" fillId="4" borderId="59" xfId="0" applyFont="1" applyFill="1" applyBorder="1"/>
    <xf numFmtId="0" fontId="154" fillId="0" borderId="59" xfId="0" applyFont="1" applyFill="1" applyBorder="1"/>
    <xf numFmtId="0" fontId="152" fillId="0" borderId="16" xfId="0" applyFont="1" applyFill="1"/>
    <xf numFmtId="0" fontId="157" fillId="0" borderId="16" xfId="0" applyFont="1" applyFill="1" applyAlignment="1">
      <alignment horizontal="left" vertical="center"/>
    </xf>
    <xf numFmtId="0" fontId="157" fillId="0" borderId="16" xfId="0" applyFont="1" applyFill="1"/>
    <xf numFmtId="0" fontId="157" fillId="0" borderId="16" xfId="0" applyFont="1" applyFill="1" applyAlignment="1">
      <alignment vertical="center"/>
    </xf>
    <xf numFmtId="0" fontId="157" fillId="0" borderId="16" xfId="0" applyFont="1" applyFill="1" applyAlignment="1">
      <alignment horizontal="right" vertical="center"/>
    </xf>
    <xf numFmtId="0" fontId="157" fillId="0" borderId="16" xfId="0" applyFont="1" applyFill="1" applyAlignment="1">
      <alignment horizontal="center" vertical="center"/>
    </xf>
    <xf numFmtId="0" fontId="152" fillId="4" borderId="16" xfId="0" applyFont="1" applyFill="1" applyAlignment="1">
      <alignment horizontal="right"/>
    </xf>
    <xf numFmtId="3" fontId="159" fillId="4" borderId="16" xfId="0" applyNumberFormat="1" applyFont="1" applyFill="1" applyAlignment="1">
      <alignment horizontal="right"/>
    </xf>
    <xf numFmtId="3" fontId="152" fillId="4" borderId="16" xfId="0" applyNumberFormat="1" applyFont="1" applyFill="1" applyAlignment="1">
      <alignment horizontal="right"/>
    </xf>
    <xf numFmtId="3" fontId="85" fillId="4" borderId="16" xfId="0" applyNumberFormat="1" applyFont="1" applyFill="1" applyAlignment="1">
      <alignment horizontal="right"/>
    </xf>
    <xf numFmtId="0" fontId="159" fillId="4" borderId="59" xfId="0" applyFont="1" applyFill="1" applyBorder="1" applyAlignment="1">
      <alignment horizontal="right"/>
    </xf>
    <xf numFmtId="0" fontId="152" fillId="4" borderId="59" xfId="0" applyFont="1" applyFill="1" applyBorder="1" applyAlignment="1">
      <alignment horizontal="right"/>
    </xf>
    <xf numFmtId="0" fontId="85" fillId="4" borderId="59" xfId="0" applyFont="1" applyFill="1" applyBorder="1" applyAlignment="1">
      <alignment horizontal="right"/>
    </xf>
    <xf numFmtId="0" fontId="111" fillId="56" borderId="16" xfId="0" applyFont="1" applyFill="1" applyAlignment="1">
      <alignment horizontal="right"/>
    </xf>
    <xf numFmtId="0" fontId="149" fillId="56" borderId="16" xfId="0" applyFont="1" applyFill="1" applyAlignment="1">
      <alignment horizontal="right"/>
    </xf>
    <xf numFmtId="0" fontId="154" fillId="56" borderId="16" xfId="0" applyFont="1" applyFill="1" applyAlignment="1">
      <alignment horizontal="right"/>
    </xf>
    <xf numFmtId="0" fontId="81" fillId="37" borderId="16" xfId="0" applyFont="1" applyFill="1" applyAlignment="1">
      <alignment vertical="center"/>
    </xf>
    <xf numFmtId="0" fontId="81" fillId="37" borderId="16" xfId="0" applyFont="1" applyFill="1" applyAlignment="1">
      <alignment horizontal="left" vertical="center"/>
    </xf>
    <xf numFmtId="0" fontId="81" fillId="37" borderId="16" xfId="0" applyFont="1" applyFill="1" applyAlignment="1">
      <alignment horizontal="right" vertical="center"/>
    </xf>
    <xf numFmtId="0" fontId="81" fillId="37" borderId="16" xfId="0" applyFont="1" applyFill="1" applyAlignment="1">
      <alignment horizontal="center" vertical="center"/>
    </xf>
    <xf numFmtId="0" fontId="93" fillId="2" borderId="16" xfId="0" applyFont="1" applyAlignment="1">
      <alignment horizontal="left" vertical="center"/>
    </xf>
    <xf numFmtId="0" fontId="78" fillId="2" borderId="16" xfId="0" applyFont="1" applyAlignment="1">
      <alignment horizontal="left" vertical="center"/>
    </xf>
    <xf numFmtId="14" fontId="85" fillId="4" borderId="16" xfId="0" applyNumberFormat="1" applyFont="1" applyFill="1" applyAlignment="1">
      <alignment horizontal="right" vertical="center"/>
    </xf>
    <xf numFmtId="0" fontId="89" fillId="2" borderId="16" xfId="0" applyFont="1" applyAlignment="1">
      <alignment horizontal="center" vertical="center"/>
    </xf>
    <xf numFmtId="0" fontId="93" fillId="40" borderId="16" xfId="0" applyFont="1" applyFill="1" applyAlignment="1">
      <alignment horizontal="left" vertical="center"/>
    </xf>
    <xf numFmtId="0" fontId="78" fillId="40" borderId="16" xfId="0" applyFont="1" applyFill="1" applyAlignment="1">
      <alignment horizontal="left" vertical="center"/>
    </xf>
    <xf numFmtId="0" fontId="89" fillId="40" borderId="16" xfId="0" applyFont="1" applyFill="1" applyAlignment="1">
      <alignment horizontal="center" vertical="center"/>
    </xf>
    <xf numFmtId="0" fontId="87" fillId="40" borderId="16" xfId="0" applyFont="1" applyFill="1" applyAlignment="1">
      <alignment horizontal="left" vertical="center"/>
    </xf>
    <xf numFmtId="0" fontId="85" fillId="4" borderId="16" xfId="0" applyFont="1" applyFill="1" applyAlignment="1">
      <alignment horizontal="right" vertical="center"/>
    </xf>
    <xf numFmtId="187" fontId="85" fillId="4" borderId="16" xfId="0" applyNumberFormat="1" applyFont="1" applyFill="1" applyAlignment="1">
      <alignment horizontal="right" vertical="center"/>
    </xf>
    <xf numFmtId="17" fontId="87" fillId="2" borderId="16" xfId="0" applyNumberFormat="1" applyFont="1" applyAlignment="1">
      <alignment horizontal="left" vertical="center"/>
    </xf>
    <xf numFmtId="17" fontId="87" fillId="40" borderId="16" xfId="0" applyNumberFormat="1" applyFont="1" applyFill="1" applyAlignment="1">
      <alignment horizontal="left" vertical="center"/>
    </xf>
    <xf numFmtId="165" fontId="86" fillId="9" borderId="16" xfId="0" applyNumberFormat="1" applyFont="1" applyFill="1" applyAlignment="1">
      <alignment horizontal="right" vertical="center"/>
    </xf>
    <xf numFmtId="165" fontId="85" fillId="4" borderId="16" xfId="0" applyNumberFormat="1" applyFont="1" applyFill="1" applyAlignment="1">
      <alignment horizontal="right" vertical="center"/>
    </xf>
    <xf numFmtId="165" fontId="80" fillId="2" borderId="16" xfId="0" applyNumberFormat="1" applyFont="1" applyAlignment="1">
      <alignment horizontal="right" vertical="center"/>
    </xf>
    <xf numFmtId="10" fontId="89" fillId="2" borderId="16" xfId="0" applyNumberFormat="1" applyFont="1" applyAlignment="1">
      <alignment horizontal="center" vertical="center"/>
    </xf>
    <xf numFmtId="0" fontId="94" fillId="36" borderId="16" xfId="0" applyFont="1" applyFill="1" applyAlignment="1">
      <alignment horizontal="left" vertical="center"/>
    </xf>
    <xf numFmtId="0" fontId="79" fillId="36" borderId="16" xfId="0" applyFont="1" applyFill="1" applyAlignment="1">
      <alignment horizontal="left" vertical="center"/>
    </xf>
    <xf numFmtId="0" fontId="90" fillId="36" borderId="16" xfId="0" applyFont="1" applyFill="1" applyAlignment="1">
      <alignment horizontal="center" vertical="center"/>
    </xf>
    <xf numFmtId="0" fontId="88" fillId="36" borderId="16" xfId="0" applyFont="1" applyFill="1" applyAlignment="1">
      <alignment horizontal="left" vertical="center"/>
    </xf>
    <xf numFmtId="9" fontId="85" fillId="4" borderId="16" xfId="0" applyNumberFormat="1" applyFont="1" applyFill="1" applyAlignment="1">
      <alignment horizontal="right" vertical="center"/>
    </xf>
    <xf numFmtId="10" fontId="85" fillId="4" borderId="16" xfId="0" applyNumberFormat="1" applyFont="1" applyFill="1" applyAlignment="1">
      <alignment horizontal="right" vertical="center"/>
    </xf>
    <xf numFmtId="0" fontId="94" fillId="36" borderId="16" xfId="0" applyFont="1" applyFill="1" applyAlignment="1">
      <alignment vertical="center"/>
    </xf>
    <xf numFmtId="3" fontId="85" fillId="4" borderId="16" xfId="0" applyNumberFormat="1" applyFont="1" applyFill="1" applyAlignment="1">
      <alignment horizontal="right" vertical="center"/>
    </xf>
    <xf numFmtId="49" fontId="87" fillId="2" borderId="16" xfId="0" applyNumberFormat="1" applyFont="1" applyAlignment="1">
      <alignment horizontal="left" vertical="center"/>
    </xf>
    <xf numFmtId="164" fontId="85" fillId="4" borderId="16" xfId="0" applyNumberFormat="1" applyFont="1" applyFill="1" applyAlignment="1">
      <alignment horizontal="right" vertical="center"/>
    </xf>
    <xf numFmtId="165" fontId="85" fillId="3" borderId="16" xfId="0" applyNumberFormat="1" applyFont="1" applyFill="1" applyAlignment="1">
      <alignment horizontal="right" vertical="center"/>
    </xf>
    <xf numFmtId="0" fontId="101" fillId="2" borderId="16" xfId="0" applyFont="1" applyAlignment="1">
      <alignment horizontal="left" vertical="center"/>
    </xf>
    <xf numFmtId="9" fontId="85" fillId="48" borderId="16" xfId="0" applyNumberFormat="1" applyFont="1" applyFill="1" applyAlignment="1">
      <alignment horizontal="right" vertical="center"/>
    </xf>
    <xf numFmtId="0" fontId="97" fillId="4" borderId="16" xfId="0" applyFont="1" applyFill="1" applyAlignment="1">
      <alignment horizontal="left" vertical="center"/>
    </xf>
    <xf numFmtId="167" fontId="80" fillId="47" borderId="16" xfId="0" applyNumberFormat="1" applyFont="1" applyFill="1" applyAlignment="1">
      <alignment horizontal="right" vertical="center"/>
    </xf>
    <xf numFmtId="10" fontId="80" fillId="2" borderId="16" xfId="0" applyNumberFormat="1" applyFont="1" applyAlignment="1">
      <alignment horizontal="right" vertical="center"/>
    </xf>
    <xf numFmtId="0" fontId="1" fillId="2" borderId="16" xfId="0" applyFont="1" applyAlignment="1">
      <alignment horizontal="left" vertical="center"/>
    </xf>
    <xf numFmtId="0" fontId="1" fillId="2" borderId="16" xfId="0" applyFont="1" applyAlignment="1">
      <alignment horizontal="right" vertical="center"/>
    </xf>
    <xf numFmtId="0" fontId="94" fillId="37" borderId="16" xfId="0" applyFont="1" applyFill="1" applyAlignment="1">
      <alignment horizontal="left" vertical="center"/>
    </xf>
    <xf numFmtId="0" fontId="90" fillId="37" borderId="16" xfId="0" applyFont="1" applyFill="1" applyAlignment="1">
      <alignment horizontal="center" vertical="center"/>
    </xf>
    <xf numFmtId="0" fontId="88" fillId="37" borderId="16" xfId="0" applyFont="1" applyFill="1" applyAlignment="1">
      <alignment horizontal="left" vertical="center"/>
    </xf>
    <xf numFmtId="0" fontId="78" fillId="4" borderId="16" xfId="0" applyFont="1" applyFill="1" applyAlignment="1">
      <alignment horizontal="left" vertical="center"/>
    </xf>
    <xf numFmtId="0" fontId="89" fillId="4" borderId="16" xfId="0" applyFont="1" applyFill="1" applyAlignment="1">
      <alignment horizontal="center" vertical="center"/>
    </xf>
    <xf numFmtId="0" fontId="84" fillId="36" borderId="16" xfId="0" applyFont="1" applyFill="1" applyAlignment="1">
      <alignment vertical="center"/>
    </xf>
    <xf numFmtId="10" fontId="85" fillId="48" borderId="16" xfId="0" applyNumberFormat="1" applyFont="1" applyFill="1" applyAlignment="1">
      <alignment horizontal="right" vertical="center"/>
    </xf>
    <xf numFmtId="10" fontId="130" fillId="2" borderId="16" xfId="0" applyNumberFormat="1" applyFont="1" applyAlignment="1">
      <alignment horizontal="right" vertical="center"/>
    </xf>
    <xf numFmtId="2" fontId="130" fillId="2" borderId="16" xfId="0" applyNumberFormat="1" applyFont="1" applyAlignment="1">
      <alignment horizontal="right" vertical="center"/>
    </xf>
    <xf numFmtId="0" fontId="80" fillId="48" borderId="16" xfId="0" applyFont="1" applyFill="1" applyAlignment="1">
      <alignment horizontal="right" vertical="center"/>
    </xf>
    <xf numFmtId="0" fontId="106" fillId="36" borderId="16" xfId="0" applyFont="1" applyFill="1" applyAlignment="1">
      <alignment vertical="center"/>
    </xf>
    <xf numFmtId="0" fontId="61" fillId="2" borderId="16" xfId="0" applyFont="1" applyAlignment="1">
      <alignment vertical="center"/>
    </xf>
    <xf numFmtId="0" fontId="61" fillId="2" borderId="16" xfId="0" applyFont="1" applyAlignment="1">
      <alignment horizontal="left" vertical="center"/>
    </xf>
    <xf numFmtId="0" fontId="61" fillId="2" borderId="16" xfId="0" applyFont="1" applyAlignment="1">
      <alignment horizontal="right" vertical="center"/>
    </xf>
    <xf numFmtId="0" fontId="61" fillId="2" borderId="16" xfId="0" applyFont="1" applyAlignment="1">
      <alignment horizontal="center" vertical="center"/>
    </xf>
    <xf numFmtId="10" fontId="85" fillId="2" borderId="16" xfId="0" applyNumberFormat="1" applyFont="1" applyAlignment="1">
      <alignment horizontal="right" vertical="center"/>
    </xf>
    <xf numFmtId="181" fontId="85" fillId="4" borderId="16" xfId="0" applyNumberFormat="1" applyFont="1" applyFill="1" applyAlignment="1">
      <alignment horizontal="right" vertical="center"/>
    </xf>
    <xf numFmtId="0" fontId="54" fillId="2" borderId="16" xfId="0" applyFont="1" applyAlignment="1">
      <alignment vertical="center"/>
    </xf>
    <xf numFmtId="0" fontId="54" fillId="2" borderId="16" xfId="0" applyFont="1" applyAlignment="1">
      <alignment horizontal="left" vertical="center"/>
    </xf>
    <xf numFmtId="0" fontId="54" fillId="2" borderId="16" xfId="0" applyFont="1" applyAlignment="1">
      <alignment horizontal="right" vertical="center"/>
    </xf>
    <xf numFmtId="0" fontId="54" fillId="2" borderId="16" xfId="0" applyFont="1" applyAlignment="1">
      <alignment horizontal="center" vertical="center"/>
    </xf>
    <xf numFmtId="0" fontId="99" fillId="2" borderId="16" xfId="0" applyFont="1" applyAlignment="1">
      <alignment vertical="center"/>
    </xf>
    <xf numFmtId="0" fontId="64" fillId="2" borderId="16" xfId="0" applyFont="1" applyAlignment="1">
      <alignment horizontal="left" vertical="center"/>
    </xf>
    <xf numFmtId="0" fontId="64" fillId="2" borderId="16" xfId="0" applyFont="1" applyAlignment="1">
      <alignment horizontal="right" vertical="center"/>
    </xf>
    <xf numFmtId="0" fontId="64" fillId="2" borderId="16" xfId="0" applyFont="1" applyAlignment="1">
      <alignment horizontal="center" vertical="center"/>
    </xf>
    <xf numFmtId="167" fontId="85" fillId="48" borderId="16" xfId="0" applyNumberFormat="1" applyFont="1" applyFill="1" applyAlignment="1">
      <alignment horizontal="right" vertical="center"/>
    </xf>
    <xf numFmtId="189" fontId="85" fillId="48" borderId="16" xfId="0" applyNumberFormat="1" applyFont="1" applyFill="1" applyAlignment="1">
      <alignment horizontal="right" vertical="center"/>
    </xf>
    <xf numFmtId="1" fontId="85" fillId="48" borderId="16" xfId="0" applyNumberFormat="1" applyFont="1" applyFill="1" applyAlignment="1">
      <alignment horizontal="right" vertical="center"/>
    </xf>
    <xf numFmtId="165" fontId="85" fillId="48" borderId="16" xfId="0" applyNumberFormat="1" applyFont="1" applyFill="1" applyAlignment="1">
      <alignment horizontal="right" vertical="center"/>
    </xf>
    <xf numFmtId="0" fontId="103" fillId="2" borderId="16" xfId="0" applyFont="1" applyAlignment="1">
      <alignment vertical="center"/>
    </xf>
    <xf numFmtId="0" fontId="104" fillId="2" borderId="16" xfId="0" applyFont="1" applyAlignment="1">
      <alignment vertical="center"/>
    </xf>
    <xf numFmtId="14" fontId="80" fillId="2" borderId="16" xfId="0" applyNumberFormat="1" applyFont="1" applyAlignment="1">
      <alignment horizontal="right" vertical="center"/>
    </xf>
    <xf numFmtId="1" fontId="80" fillId="57" borderId="16" xfId="0" applyNumberFormat="1" applyFont="1" applyFill="1" applyAlignment="1">
      <alignment horizontal="right" vertical="center"/>
    </xf>
    <xf numFmtId="2" fontId="80" fillId="57" borderId="16" xfId="0" applyNumberFormat="1" applyFont="1" applyFill="1" applyAlignment="1">
      <alignment horizontal="right" vertical="center"/>
    </xf>
    <xf numFmtId="0" fontId="5" fillId="0" borderId="16" xfId="0" applyFont="1" applyFill="1" applyAlignment="1">
      <alignment horizontal="right" vertical="center"/>
    </xf>
    <xf numFmtId="168" fontId="28" fillId="0" borderId="8" xfId="15" applyNumberFormat="1" applyFont="1" applyFill="1" applyAlignment="1">
      <alignment wrapText="1"/>
    </xf>
    <xf numFmtId="168" fontId="2" fillId="0" borderId="16" xfId="1" applyNumberFormat="1" applyFill="1"/>
    <xf numFmtId="167" fontId="5" fillId="0" borderId="16" xfId="0" applyNumberFormat="1" applyFont="1" applyFill="1" applyAlignment="1">
      <alignment horizontal="left" vertical="center" wrapText="1"/>
    </xf>
    <xf numFmtId="2" fontId="5" fillId="2" borderId="16" xfId="0" applyNumberFormat="1" applyFont="1" applyAlignment="1">
      <alignment horizontal="left" vertical="center" wrapText="1"/>
    </xf>
    <xf numFmtId="2" fontId="5" fillId="0" borderId="16" xfId="0" applyNumberFormat="1" applyFont="1" applyFill="1" applyAlignment="1">
      <alignment horizontal="left" vertical="center" wrapText="1"/>
    </xf>
    <xf numFmtId="3" fontId="28" fillId="10" borderId="30" xfId="40" applyNumberFormat="1" applyFont="1" applyBorder="1" applyAlignment="1">
      <alignment wrapText="1"/>
    </xf>
    <xf numFmtId="168" fontId="28" fillId="2" borderId="16" xfId="15" applyNumberFormat="1" applyFont="1" applyBorder="1" applyAlignment="1">
      <alignment wrapText="1"/>
    </xf>
    <xf numFmtId="3" fontId="28" fillId="0" borderId="16" xfId="40" applyNumberFormat="1" applyFont="1" applyFill="1" applyBorder="1" applyAlignment="1">
      <alignment wrapText="1"/>
    </xf>
    <xf numFmtId="0" fontId="69" fillId="41" borderId="16" xfId="0" applyFont="1" applyFill="1" applyAlignment="1">
      <alignment horizontal="center"/>
    </xf>
    <xf numFmtId="0" fontId="0" fillId="2" borderId="16" xfId="0"/>
    <xf numFmtId="0" fontId="69" fillId="52" borderId="30" xfId="0" applyFont="1" applyFill="1" applyBorder="1"/>
    <xf numFmtId="0" fontId="0" fillId="2" borderId="3" xfId="0" applyBorder="1"/>
    <xf numFmtId="0" fontId="0" fillId="2" borderId="33" xfId="0" applyBorder="1"/>
    <xf numFmtId="0" fontId="69" fillId="53" borderId="30" xfId="0" applyFont="1" applyFill="1" applyBorder="1"/>
    <xf numFmtId="0" fontId="69" fillId="30" borderId="30" xfId="0" applyFont="1" applyFill="1" applyBorder="1"/>
    <xf numFmtId="0" fontId="125" fillId="30" borderId="16" xfId="0" applyFont="1" applyFill="1"/>
    <xf numFmtId="0" fontId="69" fillId="2" borderId="16" xfId="0" applyFont="1"/>
    <xf numFmtId="0" fontId="72" fillId="2" borderId="31" xfId="0" applyFont="1" applyBorder="1"/>
    <xf numFmtId="0" fontId="0" fillId="2" borderId="34" xfId="0" applyBorder="1"/>
    <xf numFmtId="0" fontId="69" fillId="2" borderId="27" xfId="0" applyFont="1" applyBorder="1"/>
    <xf numFmtId="0" fontId="108" fillId="2" borderId="16" xfId="0" applyFont="1"/>
    <xf numFmtId="0" fontId="45" fillId="14" borderId="13" xfId="0" applyFont="1" applyFill="1" applyBorder="1" applyAlignment="1">
      <alignment horizontal="left" vertical="center"/>
    </xf>
    <xf numFmtId="0" fontId="0" fillId="2" borderId="14" xfId="0" applyBorder="1"/>
    <xf numFmtId="0" fontId="0" fillId="2" borderId="15" xfId="0" applyBorder="1"/>
    <xf numFmtId="0" fontId="69" fillId="30" borderId="16" xfId="0" applyFont="1" applyFill="1"/>
    <xf numFmtId="0" fontId="45" fillId="16" borderId="13" xfId="0" applyFont="1" applyFill="1" applyBorder="1" applyAlignment="1">
      <alignment horizontal="left" vertical="top" wrapText="1"/>
    </xf>
    <xf numFmtId="0" fontId="72" fillId="2" borderId="16" xfId="0" applyFont="1"/>
    <xf numFmtId="0" fontId="108" fillId="2" borderId="16" xfId="0" applyFont="1" applyAlignment="1">
      <alignment horizontal="right"/>
    </xf>
    <xf numFmtId="0" fontId="44" fillId="15" borderId="16" xfId="0" applyFont="1" applyFill="1" applyAlignment="1">
      <alignment horizontal="left" vertical="center"/>
    </xf>
    <xf numFmtId="0" fontId="45" fillId="16" borderId="16" xfId="0" applyFont="1" applyFill="1" applyAlignment="1">
      <alignment horizontal="left" vertical="center"/>
    </xf>
    <xf numFmtId="0" fontId="46" fillId="17" borderId="16" xfId="0" applyFont="1" applyFill="1" applyAlignment="1">
      <alignment horizontal="left" vertical="center"/>
    </xf>
    <xf numFmtId="0" fontId="48" fillId="19" borderId="13" xfId="0" applyFont="1" applyFill="1" applyBorder="1" applyAlignment="1">
      <alignment horizontal="center" vertical="center"/>
    </xf>
    <xf numFmtId="0" fontId="113" fillId="30" borderId="12" xfId="11" applyFont="1" applyFill="1" applyBorder="1"/>
    <xf numFmtId="0" fontId="0" fillId="2" borderId="12" xfId="0" applyBorder="1"/>
    <xf numFmtId="0" fontId="83" fillId="35" borderId="16" xfId="0" applyFont="1" applyFill="1" applyAlignment="1">
      <alignment horizontal="center" vertical="center"/>
    </xf>
    <xf numFmtId="0" fontId="82" fillId="30" borderId="16" xfId="0" applyFont="1" applyFill="1" applyAlignment="1">
      <alignment horizontal="center" vertical="center"/>
    </xf>
    <xf numFmtId="0" fontId="105" fillId="30" borderId="16" xfId="0" applyFont="1" applyFill="1" applyAlignment="1">
      <alignment horizontal="left" vertical="center"/>
    </xf>
    <xf numFmtId="0" fontId="105" fillId="30" borderId="16" xfId="0" applyFont="1" applyFill="1"/>
    <xf numFmtId="0" fontId="158" fillId="30" borderId="16" xfId="0" applyFont="1" applyFill="1"/>
    <xf numFmtId="0" fontId="81" fillId="30" borderId="16" xfId="0" applyFont="1" applyFill="1"/>
    <xf numFmtId="0" fontId="91" fillId="30" borderId="38" xfId="0" applyFont="1" applyFill="1" applyBorder="1" applyAlignment="1">
      <alignment vertical="center"/>
    </xf>
    <xf numFmtId="0" fontId="0" fillId="2" borderId="18" xfId="0" applyBorder="1"/>
    <xf numFmtId="0" fontId="156" fillId="0" borderId="16" xfId="0" applyFont="1" applyFill="1"/>
    <xf numFmtId="171" fontId="63" fillId="25" borderId="16" xfId="7" applyNumberFormat="1" applyFont="1" applyFill="1" applyAlignment="1">
      <alignment horizontal="center"/>
    </xf>
    <xf numFmtId="0" fontId="5" fillId="2" borderId="16" xfId="0" applyFont="1"/>
    <xf numFmtId="189" fontId="23" fillId="4" borderId="5" xfId="12" applyNumberFormat="1" applyAlignment="1">
      <alignment horizontal="right" vertical="center"/>
      <protection locked="0"/>
    </xf>
    <xf numFmtId="1" fontId="28" fillId="0" borderId="8" xfId="15" applyNumberFormat="1" applyFont="1" applyFill="1" applyAlignment="1">
      <alignment horizontal="right" vertical="center" wrapText="1"/>
    </xf>
    <xf numFmtId="14" fontId="5" fillId="0" borderId="16" xfId="0" applyNumberFormat="1" applyFont="1" applyFill="1" applyAlignment="1">
      <alignment horizontal="right" vertical="center" wrapText="1"/>
    </xf>
    <xf numFmtId="168" fontId="3" fillId="2" borderId="3" xfId="1" applyNumberFormat="1" applyFont="1" applyBorder="1" applyAlignment="1">
      <alignment horizontal="right"/>
    </xf>
    <xf numFmtId="0" fontId="0" fillId="0" borderId="0" xfId="0" applyFill="1" applyBorder="1" applyAlignment="1">
      <alignment horizontal="right"/>
    </xf>
    <xf numFmtId="168" fontId="28" fillId="0" borderId="8" xfId="15" applyNumberFormat="1" applyFont="1" applyFill="1" applyAlignment="1">
      <alignment horizontal="right"/>
    </xf>
    <xf numFmtId="168" fontId="28" fillId="2" borderId="8" xfId="15" applyNumberFormat="1" applyFont="1" applyAlignment="1">
      <alignment horizontal="right"/>
    </xf>
    <xf numFmtId="14" fontId="5" fillId="0" borderId="16" xfId="0" applyNumberFormat="1" applyFont="1" applyFill="1" applyAlignment="1">
      <alignment horizontal="right" vertical="center"/>
    </xf>
    <xf numFmtId="0" fontId="8" fillId="0" borderId="16" xfId="0" applyFont="1" applyFill="1" applyAlignment="1">
      <alignment horizontal="right" vertical="center" wrapText="1"/>
    </xf>
    <xf numFmtId="0" fontId="0" fillId="0" borderId="16" xfId="0" applyFill="1" applyBorder="1"/>
  </cellXfs>
  <cellStyles count="44">
    <cellStyle name="Assumption" xfId="12" xr:uid="{00000000-0005-0000-0000-00000C000000}"/>
    <cellStyle name="Assumption 2" xfId="24" xr:uid="{00000000-0005-0000-0000-000018000000}"/>
    <cellStyle name="Check" xfId="38" xr:uid="{00000000-0005-0000-0000-000026000000}"/>
    <cellStyle name="Comma" xfId="1" builtinId="3"/>
    <cellStyle name="Comma [0] 2" xfId="22" xr:uid="{00000000-0005-0000-0000-000016000000}"/>
    <cellStyle name="Comma [0] 3" xfId="26" xr:uid="{00000000-0005-0000-0000-00001A000000}"/>
    <cellStyle name="Comma 2" xfId="6" xr:uid="{00000000-0005-0000-0000-000006000000}"/>
    <cellStyle name="Currency" xfId="2" builtinId="4"/>
    <cellStyle name="Currency 2" xfId="7" xr:uid="{00000000-0005-0000-0000-000007000000}"/>
    <cellStyle name="Date" xfId="43" xr:uid="{00000000-0005-0000-0000-00002B000000}"/>
    <cellStyle name="Empty_Cell" xfId="28" xr:uid="{00000000-0005-0000-0000-00001C000000}"/>
    <cellStyle name="Flag" xfId="21" xr:uid="{00000000-0005-0000-0000-000015000000}"/>
    <cellStyle name="Flag 2" xfId="33" xr:uid="{00000000-0005-0000-0000-000021000000}"/>
    <cellStyle name="Good" xfId="4" builtinId="26"/>
    <cellStyle name="Header0" xfId="36" xr:uid="{00000000-0005-0000-0000-000024000000}"/>
    <cellStyle name="Header1" xfId="10" xr:uid="{00000000-0005-0000-0000-00000A000000}"/>
    <cellStyle name="Header1 2" xfId="23" xr:uid="{00000000-0005-0000-0000-000017000000}"/>
    <cellStyle name="Header2" xfId="29" xr:uid="{00000000-0005-0000-0000-00001D000000}"/>
    <cellStyle name="Header3" xfId="11" xr:uid="{00000000-0005-0000-0000-00000B000000}"/>
    <cellStyle name="Header3 2" xfId="31" xr:uid="{00000000-0005-0000-0000-00001F000000}"/>
    <cellStyle name="Hyperlink" xfId="8" builtinId="8"/>
    <cellStyle name="Information" xfId="39" xr:uid="{00000000-0005-0000-0000-000027000000}"/>
    <cellStyle name="Insheet" xfId="15" xr:uid="{00000000-0005-0000-0000-00000F000000}"/>
    <cellStyle name="Insheet 2" xfId="42" xr:uid="{00000000-0005-0000-0000-00002A000000}"/>
    <cellStyle name="Insheet 3" xfId="32" xr:uid="{00000000-0005-0000-0000-000020000000}"/>
    <cellStyle name="Line_ClosingBal" xfId="27" xr:uid="{00000000-0005-0000-0000-00001B000000}"/>
    <cellStyle name="Line_SubTotal" xfId="17" xr:uid="{00000000-0005-0000-0000-000011000000}"/>
    <cellStyle name="Line_Summary" xfId="19" xr:uid="{00000000-0005-0000-0000-000013000000}"/>
    <cellStyle name="Line_Summary 2" xfId="40" xr:uid="{00000000-0005-0000-0000-000028000000}"/>
    <cellStyle name="Line_Total" xfId="18" xr:uid="{00000000-0005-0000-0000-000012000000}"/>
    <cellStyle name="Macro_Paste" xfId="41" xr:uid="{00000000-0005-0000-0000-000029000000}"/>
    <cellStyle name="Normal" xfId="0" builtinId="0"/>
    <cellStyle name="Normal 2" xfId="9" xr:uid="{00000000-0005-0000-0000-000009000000}"/>
    <cellStyle name="Normal 4" xfId="5" xr:uid="{00000000-0005-0000-0000-000005000000}"/>
    <cellStyle name="Offsheet" xfId="16" xr:uid="{00000000-0005-0000-0000-000010000000}"/>
    <cellStyle name="Offsheet 2" xfId="30" xr:uid="{00000000-0005-0000-0000-00001E000000}"/>
    <cellStyle name="Per cent" xfId="3" builtinId="5"/>
    <cellStyle name="Ratio" xfId="37" xr:uid="{00000000-0005-0000-0000-000025000000}"/>
    <cellStyle name="Sheet_Header" xfId="34" xr:uid="{00000000-0005-0000-0000-000022000000}"/>
    <cellStyle name="Sheet_Header2" xfId="35" xr:uid="{00000000-0005-0000-0000-000023000000}"/>
    <cellStyle name="Table_Heading" xfId="20" xr:uid="{00000000-0005-0000-0000-000014000000}"/>
    <cellStyle name="Technical_Input" xfId="14" xr:uid="{00000000-0005-0000-0000-00000E000000}"/>
    <cellStyle name="Unit" xfId="13" xr:uid="{00000000-0005-0000-0000-00000D000000}"/>
    <cellStyle name="Unit 2" xfId="25" xr:uid="{00000000-0005-0000-0000-000019000000}"/>
  </cellStyles>
  <dxfs count="8">
    <dxf>
      <font>
        <color rgb="FFFF0000"/>
      </font>
    </dxf>
    <dxf>
      <font>
        <color rgb="FF008000"/>
      </font>
    </dxf>
    <dxf>
      <font>
        <color rgb="FF10B981"/>
      </font>
    </dxf>
    <dxf>
      <font>
        <color rgb="FF8B5CF6"/>
      </font>
    </dxf>
    <dxf>
      <font>
        <color rgb="FFF59E0B"/>
      </font>
    </dxf>
    <dxf>
      <font>
        <color rgb="FF14B8A6"/>
      </font>
    </dxf>
    <dxf>
      <font>
        <color rgb="FF3B82F6"/>
      </font>
    </dxf>
    <dxf>
      <font>
        <color theme="0" tint="-0.34998626667073579"/>
      </font>
      <fill>
        <patternFill patternType="lightUp">
          <fgColor theme="0" tint="-0.499984740745262"/>
          <bgColor theme="8" tint="0.79998168889431442"/>
        </patternFill>
      </fill>
      <border>
        <left style="thin">
          <color theme="0" tint="-0.34998626667073579"/>
        </left>
        <right style="thin">
          <color theme="0" tint="-0.34998626667073579"/>
        </right>
        <top style="thin">
          <color theme="0" tint="-0.34998626667073579"/>
        </top>
        <bottom style="thin">
          <color theme="0" tint="-0.34998626667073579"/>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microsoft.com/office/2017/10/relationships/person" Target="persons/perso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rot="0" spcFirstLastPara="1" vertOverflow="ellipsis" vert="horz" wrap="square" anchor="ctr" anchorCtr="1"/>
          <a:lstStyle/>
          <a:p>
            <a:pPr>
              <a:defRPr sz="1600" b="1" i="0" strike="noStrike" kern="1200" baseline="0">
                <a:solidFill>
                  <a:schemeClr val="tx2"/>
                </a:solidFill>
                <a:latin typeface="+mn-lt"/>
                <a:ea typeface="+mn-ea"/>
                <a:cs typeface="+mn-cs"/>
              </a:defRPr>
            </a:pPr>
            <a:r>
              <a:rPr lang="en-AU"/>
              <a:t>Revenue &amp; EBITDA</a:t>
            </a:r>
          </a:p>
        </c:rich>
      </c:tx>
      <c:overlay val="1"/>
      <c:spPr>
        <a:noFill/>
        <a:ln>
          <a:noFill/>
          <a:prstDash val="solid"/>
        </a:ln>
      </c:spPr>
    </c:title>
    <c:autoTitleDeleted val="0"/>
    <c:plotArea>
      <c:layout>
        <c:manualLayout>
          <c:layoutTarget val="inner"/>
          <c:xMode val="edge"/>
          <c:yMode val="edge"/>
          <c:x val="0.14334333333333329"/>
          <c:y val="0.1505185185185185"/>
          <c:w val="0.85430481481481479"/>
          <c:h val="0.79303703703703698"/>
        </c:manualLayout>
      </c:layout>
      <c:lineChart>
        <c:grouping val="standard"/>
        <c:varyColors val="1"/>
        <c:ser>
          <c:idx val="0"/>
          <c:order val="0"/>
          <c:tx>
            <c:v>Revenue</c:v>
          </c:tx>
          <c:spPr>
            <a:ln w="31750" cap="rnd">
              <a:solidFill>
                <a:schemeClr val="accent1"/>
              </a:solidFill>
              <a:prstDash val="solid"/>
              <a:round/>
            </a:ln>
          </c:spPr>
          <c:marker>
            <c:symbol val="none"/>
          </c:marker>
          <c:cat>
            <c:strRef>
              <c:f>Dashboard!$C$6:$N$6</c:f>
              <c:strCache>
                <c:ptCount val="12"/>
                <c:pt idx="0">
                  <c:v>FY25</c:v>
                </c:pt>
                <c:pt idx="1">
                  <c:v>FY26</c:v>
                </c:pt>
                <c:pt idx="2">
                  <c:v>FY27</c:v>
                </c:pt>
                <c:pt idx="3">
                  <c:v>FY28</c:v>
                </c:pt>
                <c:pt idx="4">
                  <c:v>FY29</c:v>
                </c:pt>
                <c:pt idx="5">
                  <c:v>FY30</c:v>
                </c:pt>
                <c:pt idx="6">
                  <c:v>FY31</c:v>
                </c:pt>
                <c:pt idx="7">
                  <c:v>FY32</c:v>
                </c:pt>
                <c:pt idx="8">
                  <c:v>FY33</c:v>
                </c:pt>
                <c:pt idx="9">
                  <c:v>FY34</c:v>
                </c:pt>
                <c:pt idx="10">
                  <c:v>FY35</c:v>
                </c:pt>
                <c:pt idx="11">
                  <c:v>FY36</c:v>
                </c:pt>
              </c:strCache>
            </c:strRef>
          </c:cat>
          <c:val>
            <c:numRef>
              <c:f>Dashboard!$B$7:$N$7</c:f>
              <c:numCache>
                <c:formatCode>"$"#,##0</c:formatCode>
                <c:ptCount val="13"/>
                <c:pt idx="0" formatCode="General">
                  <c:v>0</c:v>
                </c:pt>
                <c:pt idx="1">
                  <c:v>0</c:v>
                </c:pt>
                <c:pt idx="2">
                  <c:v>0</c:v>
                </c:pt>
                <c:pt idx="3">
                  <c:v>0</c:v>
                </c:pt>
                <c:pt idx="4">
                  <c:v>18192909.376900002</c:v>
                </c:pt>
                <c:pt idx="5">
                  <c:v>19173294.981985252</c:v>
                </c:pt>
                <c:pt idx="6">
                  <c:v>20282270.272967502</c:v>
                </c:pt>
                <c:pt idx="7">
                  <c:v>20817158.552451402</c:v>
                </c:pt>
                <c:pt idx="8">
                  <c:v>21296978.378726114</c:v>
                </c:pt>
                <c:pt idx="9">
                  <c:v>21790858.176506594</c:v>
                </c:pt>
                <c:pt idx="10">
                  <c:v>22299211.380105965</c:v>
                </c:pt>
                <c:pt idx="11">
                  <c:v>22822463.617745914</c:v>
                </c:pt>
                <c:pt idx="12">
                  <c:v>23361053.072145991</c:v>
                </c:pt>
              </c:numCache>
            </c:numRef>
          </c:val>
          <c:smooth val="1"/>
          <c:extLst>
            <c:ext xmlns:c16="http://schemas.microsoft.com/office/drawing/2014/chart" uri="{C3380CC4-5D6E-409C-BE32-E72D297353CC}">
              <c16:uniqueId val="{00000000-1419-4380-945E-1FB7353C49DA}"/>
            </c:ext>
          </c:extLst>
        </c:ser>
        <c:ser>
          <c:idx val="1"/>
          <c:order val="1"/>
          <c:tx>
            <c:v>EBITDA</c:v>
          </c:tx>
          <c:spPr>
            <a:ln w="31750" cap="rnd">
              <a:solidFill>
                <a:schemeClr val="accent2"/>
              </a:solidFill>
              <a:prstDash val="solid"/>
              <a:round/>
            </a:ln>
          </c:spPr>
          <c:marker>
            <c:symbol val="none"/>
          </c:marker>
          <c:cat>
            <c:strRef>
              <c:f>Dashboard!$C$6:$N$6</c:f>
              <c:strCache>
                <c:ptCount val="12"/>
                <c:pt idx="0">
                  <c:v>FY25</c:v>
                </c:pt>
                <c:pt idx="1">
                  <c:v>FY26</c:v>
                </c:pt>
                <c:pt idx="2">
                  <c:v>FY27</c:v>
                </c:pt>
                <c:pt idx="3">
                  <c:v>FY28</c:v>
                </c:pt>
                <c:pt idx="4">
                  <c:v>FY29</c:v>
                </c:pt>
                <c:pt idx="5">
                  <c:v>FY30</c:v>
                </c:pt>
                <c:pt idx="6">
                  <c:v>FY31</c:v>
                </c:pt>
                <c:pt idx="7">
                  <c:v>FY32</c:v>
                </c:pt>
                <c:pt idx="8">
                  <c:v>FY33</c:v>
                </c:pt>
                <c:pt idx="9">
                  <c:v>FY34</c:v>
                </c:pt>
                <c:pt idx="10">
                  <c:v>FY35</c:v>
                </c:pt>
                <c:pt idx="11">
                  <c:v>FY36</c:v>
                </c:pt>
              </c:strCache>
            </c:strRef>
          </c:cat>
          <c:val>
            <c:numRef>
              <c:f>Dashboard!$B$8:$N$8</c:f>
              <c:numCache>
                <c:formatCode>"$"#,##0</c:formatCode>
                <c:ptCount val="13"/>
                <c:pt idx="0" formatCode="General">
                  <c:v>0</c:v>
                </c:pt>
                <c:pt idx="1">
                  <c:v>0</c:v>
                </c:pt>
                <c:pt idx="2">
                  <c:v>0</c:v>
                </c:pt>
                <c:pt idx="3">
                  <c:v>0</c:v>
                </c:pt>
                <c:pt idx="4">
                  <c:v>13999302.1323661</c:v>
                </c:pt>
                <c:pt idx="5">
                  <c:v>14401312.244882211</c:v>
                </c:pt>
                <c:pt idx="6">
                  <c:v>15322989.91056283</c:v>
                </c:pt>
                <c:pt idx="7">
                  <c:v>15770795.881999265</c:v>
                </c:pt>
                <c:pt idx="8">
                  <c:v>16058922.470677335</c:v>
                </c:pt>
                <c:pt idx="9">
                  <c:v>15923838.183258889</c:v>
                </c:pt>
                <c:pt idx="10">
                  <c:v>16210473.304412302</c:v>
                </c:pt>
                <c:pt idx="11">
                  <c:v>16547518.944046786</c:v>
                </c:pt>
                <c:pt idx="12">
                  <c:v>16893777.659875534</c:v>
                </c:pt>
              </c:numCache>
            </c:numRef>
          </c:val>
          <c:smooth val="1"/>
          <c:extLst>
            <c:ext xmlns:c16="http://schemas.microsoft.com/office/drawing/2014/chart" uri="{C3380CC4-5D6E-409C-BE32-E72D297353CC}">
              <c16:uniqueId val="{00000001-1419-4380-945E-1FB7353C49DA}"/>
            </c:ext>
          </c:extLst>
        </c:ser>
        <c:dLbls>
          <c:showLegendKey val="0"/>
          <c:showVal val="0"/>
          <c:showCatName val="0"/>
          <c:showSerName val="0"/>
          <c:showPercent val="0"/>
          <c:showBubbleSize val="0"/>
        </c:dLbls>
        <c:smooth val="0"/>
        <c:axId val="10"/>
        <c:axId val="100"/>
      </c:lineChart>
      <c:catAx>
        <c:axId val="10"/>
        <c:scaling>
          <c:orientation val="minMax"/>
        </c:scaling>
        <c:delete val="0"/>
        <c:axPos val="b"/>
        <c:title>
          <c:tx>
            <c:rich>
              <a:bodyPr rot="0" spcFirstLastPara="1" vertOverflow="ellipsis" vert="horz" wrap="square" anchor="ctr" anchorCtr="1"/>
              <a:lstStyle/>
              <a:p>
                <a:pPr>
                  <a:defRPr sz="900" b="1" i="0" strike="noStrike" kern="1200" baseline="0">
                    <a:solidFill>
                      <a:schemeClr val="tx2"/>
                    </a:solidFill>
                    <a:latin typeface="+mn-lt"/>
                    <a:ea typeface="+mn-ea"/>
                    <a:cs typeface="+mn-cs"/>
                  </a:defRPr>
                </a:pPr>
                <a:r>
                  <a:rPr lang="en-AU"/>
                  <a:t>None</a:t>
                </a:r>
              </a:p>
            </c:rich>
          </c:tx>
          <c:overlay val="1"/>
          <c:spPr>
            <a:noFill/>
            <a:ln>
              <a:noFill/>
              <a:prstDash val="solid"/>
            </a:ln>
          </c:spPr>
        </c:title>
        <c:numFmt formatCode="General" sourceLinked="1"/>
        <c:majorTickMark val="out"/>
        <c:minorTickMark val="none"/>
        <c:tickLblPos val="nextTo"/>
        <c:spPr>
          <a:noFill/>
          <a:ln w="9525" cap="flat" cmpd="sng" algn="ctr">
            <a:solidFill>
              <a:schemeClr val="tx2">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2"/>
                </a:solidFill>
                <a:latin typeface="+mn-lt"/>
                <a:ea typeface="+mn-ea"/>
                <a:cs typeface="+mn-cs"/>
              </a:defRPr>
            </a:pPr>
            <a:endParaRPr lang="en-US"/>
          </a:p>
        </c:txPr>
        <c:crossAx val="100"/>
        <c:crosses val="autoZero"/>
        <c:auto val="1"/>
        <c:lblAlgn val="ctr"/>
        <c:lblOffset val="100"/>
        <c:noMultiLvlLbl val="1"/>
      </c:catAx>
      <c:valAx>
        <c:axId val="100"/>
        <c:scaling>
          <c:orientation val="minMax"/>
        </c:scaling>
        <c:delete val="0"/>
        <c:axPos val="l"/>
        <c:majorGridlines>
          <c:spPr>
            <a:ln w="9525" cap="flat" cmpd="sng" algn="ctr">
              <a:solidFill>
                <a:schemeClr val="tx2">
                  <a:lumMod val="15000"/>
                  <a:lumOff val="85000"/>
                </a:schemeClr>
              </a:solidFill>
              <a:prstDash val="solid"/>
              <a:round/>
            </a:ln>
          </c:spPr>
        </c:majorGridlines>
        <c:title>
          <c:tx>
            <c:rich>
              <a:bodyPr rot="-5400000" spcFirstLastPara="1" vertOverflow="ellipsis" vert="horz" wrap="square" anchor="ctr" anchorCtr="1"/>
              <a:lstStyle/>
              <a:p>
                <a:pPr>
                  <a:defRPr sz="900" b="1" i="0" strike="noStrike" kern="1200" baseline="0">
                    <a:solidFill>
                      <a:schemeClr val="tx2"/>
                    </a:solidFill>
                    <a:latin typeface="+mn-lt"/>
                    <a:ea typeface="+mn-ea"/>
                    <a:cs typeface="+mn-cs"/>
                  </a:defRPr>
                </a:pPr>
                <a:r>
                  <a:rPr lang="en-AU"/>
                  <a:t>AUD</a:t>
                </a:r>
              </a:p>
            </c:rich>
          </c:tx>
          <c:overlay val="1"/>
          <c:spPr>
            <a:noFill/>
            <a:ln>
              <a:noFill/>
              <a:prstDash val="solid"/>
            </a:ln>
          </c:spPr>
        </c:title>
        <c:numFmt formatCode="&quot;$&quot;#,##0.00" sourceLinked="0"/>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2"/>
                </a:solidFill>
                <a:latin typeface="+mn-lt"/>
                <a:ea typeface="+mn-ea"/>
                <a:cs typeface="+mn-cs"/>
              </a:defRPr>
            </a:pPr>
            <a:endParaRPr lang="en-US"/>
          </a:p>
        </c:txPr>
        <c:crossAx val="10"/>
        <c:crosses val="autoZero"/>
        <c:crossBetween val="between"/>
        <c:dispUnits>
          <c:builtInUnit val="millions"/>
          <c:dispUnitsLbl>
            <c:spPr>
              <a:noFill/>
              <a:ln>
                <a:noFill/>
                <a:prstDash val="solid"/>
              </a:ln>
            </c:spPr>
            <c:txPr>
              <a:bodyPr rot="-5400000" spcFirstLastPara="1" vertOverflow="ellipsis" vert="horz" wrap="square" anchor="ctr" anchorCtr="1"/>
              <a:lstStyle/>
              <a:p>
                <a:pPr>
                  <a:defRPr sz="900" b="1" i="0" strike="noStrike" kern="1200" baseline="0">
                    <a:solidFill>
                      <a:schemeClr val="tx2"/>
                    </a:solidFill>
                    <a:latin typeface="+mn-lt"/>
                    <a:ea typeface="+mn-ea"/>
                    <a:cs typeface="+mn-cs"/>
                  </a:defRPr>
                </a:pPr>
                <a:endParaRPr lang="en-US"/>
              </a:p>
            </c:txPr>
          </c:dispUnitsLbl>
        </c:dispUnits>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2"/>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2">
          <a:lumMod val="15000"/>
          <a:lumOff val="85000"/>
        </a:schemeClr>
      </a:solidFill>
      <a:prstDash val="solid"/>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AU" sz="1200" b="1">
                <a:latin typeface="Arial" panose="020B0604020202020204" pitchFamily="34" charset="0"/>
                <a:cs typeface="Arial" panose="020B0604020202020204" pitchFamily="34" charset="0"/>
              </a:rPr>
              <a:t>Closing Cash Balance</a:t>
            </a:r>
          </a:p>
        </c:rich>
      </c:tx>
      <c:overlay val="1"/>
      <c:spPr>
        <a:noFill/>
        <a:ln>
          <a:noFill/>
          <a:prstDash val="solid"/>
        </a:ln>
      </c:spPr>
    </c:title>
    <c:autoTitleDeleted val="0"/>
    <c:plotArea>
      <c:layout>
        <c:manualLayout>
          <c:layoutTarget val="inner"/>
          <c:xMode val="edge"/>
          <c:yMode val="edge"/>
          <c:x val="0.13290866595566039"/>
          <c:y val="0.1536723163841808"/>
          <c:w val="0.75873398534116965"/>
          <c:h val="0.69321980515147463"/>
        </c:manualLayout>
      </c:layout>
      <c:lineChart>
        <c:grouping val="standard"/>
        <c:varyColors val="1"/>
        <c:ser>
          <c:idx val="0"/>
          <c:order val="0"/>
          <c:spPr>
            <a:ln>
              <a:prstDash val="solid"/>
            </a:ln>
          </c:spPr>
          <c:marker>
            <c:symbol val="none"/>
          </c:marker>
          <c:dPt>
            <c:idx val="0"/>
            <c:bubble3D val="0"/>
            <c:spPr>
              <a:ln w="28575" cap="rnd">
                <a:solidFill>
                  <a:schemeClr val="accent1"/>
                </a:solidFill>
                <a:prstDash val="solid"/>
                <a:round/>
              </a:ln>
            </c:spPr>
            <c:extLst>
              <c:ext xmlns:c16="http://schemas.microsoft.com/office/drawing/2014/chart" uri="{C3380CC4-5D6E-409C-BE32-E72D297353CC}">
                <c16:uniqueId val="{00000001-33BE-495C-8DED-77A2FC88FBD5}"/>
              </c:ext>
            </c:extLst>
          </c:dPt>
          <c:dPt>
            <c:idx val="1"/>
            <c:bubble3D val="0"/>
            <c:spPr>
              <a:ln w="28575" cap="rnd">
                <a:solidFill>
                  <a:schemeClr val="accent2"/>
                </a:solidFill>
                <a:prstDash val="solid"/>
                <a:round/>
              </a:ln>
            </c:spPr>
            <c:extLst>
              <c:ext xmlns:c16="http://schemas.microsoft.com/office/drawing/2014/chart" uri="{C3380CC4-5D6E-409C-BE32-E72D297353CC}">
                <c16:uniqueId val="{00000003-33BE-495C-8DED-77A2FC88FBD5}"/>
              </c:ext>
            </c:extLst>
          </c:dPt>
          <c:dPt>
            <c:idx val="2"/>
            <c:bubble3D val="0"/>
            <c:spPr>
              <a:ln w="28575" cap="rnd">
                <a:solidFill>
                  <a:schemeClr val="accent3"/>
                </a:solidFill>
                <a:prstDash val="solid"/>
                <a:round/>
              </a:ln>
            </c:spPr>
            <c:extLst>
              <c:ext xmlns:c16="http://schemas.microsoft.com/office/drawing/2014/chart" uri="{C3380CC4-5D6E-409C-BE32-E72D297353CC}">
                <c16:uniqueId val="{00000005-33BE-495C-8DED-77A2FC88FBD5}"/>
              </c:ext>
            </c:extLst>
          </c:dPt>
          <c:dPt>
            <c:idx val="3"/>
            <c:bubble3D val="0"/>
            <c:spPr>
              <a:ln w="28575" cap="rnd">
                <a:solidFill>
                  <a:schemeClr val="accent4"/>
                </a:solidFill>
                <a:prstDash val="solid"/>
                <a:round/>
              </a:ln>
            </c:spPr>
            <c:extLst>
              <c:ext xmlns:c16="http://schemas.microsoft.com/office/drawing/2014/chart" uri="{C3380CC4-5D6E-409C-BE32-E72D297353CC}">
                <c16:uniqueId val="{00000007-33BE-495C-8DED-77A2FC88FBD5}"/>
              </c:ext>
            </c:extLst>
          </c:dPt>
          <c:dPt>
            <c:idx val="4"/>
            <c:bubble3D val="0"/>
            <c:spPr>
              <a:ln w="28575" cap="rnd">
                <a:solidFill>
                  <a:schemeClr val="accent5"/>
                </a:solidFill>
                <a:prstDash val="solid"/>
                <a:round/>
              </a:ln>
            </c:spPr>
            <c:extLst>
              <c:ext xmlns:c16="http://schemas.microsoft.com/office/drawing/2014/chart" uri="{C3380CC4-5D6E-409C-BE32-E72D297353CC}">
                <c16:uniqueId val="{00000009-33BE-495C-8DED-77A2FC88FBD5}"/>
              </c:ext>
            </c:extLst>
          </c:dPt>
          <c:dPt>
            <c:idx val="5"/>
            <c:bubble3D val="0"/>
            <c:spPr>
              <a:ln w="28575" cap="rnd">
                <a:solidFill>
                  <a:schemeClr val="accent6"/>
                </a:solidFill>
                <a:prstDash val="solid"/>
                <a:round/>
              </a:ln>
            </c:spPr>
            <c:extLst>
              <c:ext xmlns:c16="http://schemas.microsoft.com/office/drawing/2014/chart" uri="{C3380CC4-5D6E-409C-BE32-E72D297353CC}">
                <c16:uniqueId val="{0000000B-33BE-495C-8DED-77A2FC88FBD5}"/>
              </c:ext>
            </c:extLst>
          </c:dPt>
          <c:dPt>
            <c:idx val="6"/>
            <c:bubble3D val="0"/>
            <c:spPr>
              <a:ln w="28575" cap="rnd">
                <a:solidFill>
                  <a:schemeClr val="accent1">
                    <a:lumMod val="60000"/>
                  </a:schemeClr>
                </a:solidFill>
                <a:prstDash val="solid"/>
                <a:round/>
              </a:ln>
            </c:spPr>
            <c:extLst>
              <c:ext xmlns:c16="http://schemas.microsoft.com/office/drawing/2014/chart" uri="{C3380CC4-5D6E-409C-BE32-E72D297353CC}">
                <c16:uniqueId val="{0000000D-33BE-495C-8DED-77A2FC88FBD5}"/>
              </c:ext>
            </c:extLst>
          </c:dPt>
          <c:dPt>
            <c:idx val="7"/>
            <c:bubble3D val="0"/>
            <c:spPr>
              <a:ln w="28575" cap="rnd">
                <a:solidFill>
                  <a:schemeClr val="accent2">
                    <a:lumMod val="60000"/>
                  </a:schemeClr>
                </a:solidFill>
                <a:prstDash val="solid"/>
                <a:round/>
              </a:ln>
            </c:spPr>
            <c:extLst>
              <c:ext xmlns:c16="http://schemas.microsoft.com/office/drawing/2014/chart" uri="{C3380CC4-5D6E-409C-BE32-E72D297353CC}">
                <c16:uniqueId val="{0000000F-33BE-495C-8DED-77A2FC88FBD5}"/>
              </c:ext>
            </c:extLst>
          </c:dPt>
          <c:dPt>
            <c:idx val="8"/>
            <c:bubble3D val="0"/>
            <c:spPr>
              <a:ln w="28575" cap="rnd">
                <a:solidFill>
                  <a:schemeClr val="accent3">
                    <a:lumMod val="60000"/>
                  </a:schemeClr>
                </a:solidFill>
                <a:prstDash val="solid"/>
                <a:round/>
              </a:ln>
            </c:spPr>
            <c:extLst>
              <c:ext xmlns:c16="http://schemas.microsoft.com/office/drawing/2014/chart" uri="{C3380CC4-5D6E-409C-BE32-E72D297353CC}">
                <c16:uniqueId val="{00000011-33BE-495C-8DED-77A2FC88FBD5}"/>
              </c:ext>
            </c:extLst>
          </c:dPt>
          <c:dPt>
            <c:idx val="9"/>
            <c:bubble3D val="0"/>
            <c:spPr>
              <a:ln w="28575" cap="rnd">
                <a:solidFill>
                  <a:schemeClr val="accent4">
                    <a:lumMod val="60000"/>
                  </a:schemeClr>
                </a:solidFill>
                <a:prstDash val="solid"/>
                <a:round/>
              </a:ln>
            </c:spPr>
            <c:extLst>
              <c:ext xmlns:c16="http://schemas.microsoft.com/office/drawing/2014/chart" uri="{C3380CC4-5D6E-409C-BE32-E72D297353CC}">
                <c16:uniqueId val="{00000013-33BE-495C-8DED-77A2FC88FBD5}"/>
              </c:ext>
            </c:extLst>
          </c:dPt>
          <c:dPt>
            <c:idx val="10"/>
            <c:bubble3D val="0"/>
            <c:spPr>
              <a:ln w="28575" cap="rnd">
                <a:solidFill>
                  <a:schemeClr val="accent5">
                    <a:lumMod val="60000"/>
                  </a:schemeClr>
                </a:solidFill>
                <a:prstDash val="solid"/>
                <a:round/>
              </a:ln>
            </c:spPr>
            <c:extLst>
              <c:ext xmlns:c16="http://schemas.microsoft.com/office/drawing/2014/chart" uri="{C3380CC4-5D6E-409C-BE32-E72D297353CC}">
                <c16:uniqueId val="{00000015-33BE-495C-8DED-77A2FC88FBD5}"/>
              </c:ext>
            </c:extLst>
          </c:dPt>
          <c:dPt>
            <c:idx val="11"/>
            <c:bubble3D val="0"/>
            <c:spPr>
              <a:ln w="28575" cap="rnd">
                <a:solidFill>
                  <a:schemeClr val="accent6">
                    <a:lumMod val="60000"/>
                  </a:schemeClr>
                </a:solidFill>
                <a:prstDash val="solid"/>
                <a:round/>
              </a:ln>
            </c:spPr>
            <c:extLst>
              <c:ext xmlns:c16="http://schemas.microsoft.com/office/drawing/2014/chart" uri="{C3380CC4-5D6E-409C-BE32-E72D297353CC}">
                <c16:uniqueId val="{00000017-33BE-495C-8DED-77A2FC88FBD5}"/>
              </c:ext>
            </c:extLst>
          </c:dPt>
          <c:cat>
            <c:strRef>
              <c:f>Dashboard!$C$6:$N$6</c:f>
              <c:strCache>
                <c:ptCount val="12"/>
                <c:pt idx="0">
                  <c:v>FY25</c:v>
                </c:pt>
                <c:pt idx="1">
                  <c:v>FY26</c:v>
                </c:pt>
                <c:pt idx="2">
                  <c:v>FY27</c:v>
                </c:pt>
                <c:pt idx="3">
                  <c:v>FY28</c:v>
                </c:pt>
                <c:pt idx="4">
                  <c:v>FY29</c:v>
                </c:pt>
                <c:pt idx="5">
                  <c:v>FY30</c:v>
                </c:pt>
                <c:pt idx="6">
                  <c:v>FY31</c:v>
                </c:pt>
                <c:pt idx="7">
                  <c:v>FY32</c:v>
                </c:pt>
                <c:pt idx="8">
                  <c:v>FY33</c:v>
                </c:pt>
                <c:pt idx="9">
                  <c:v>FY34</c:v>
                </c:pt>
                <c:pt idx="10">
                  <c:v>FY35</c:v>
                </c:pt>
                <c:pt idx="11">
                  <c:v>FY36</c:v>
                </c:pt>
              </c:strCache>
            </c:strRef>
          </c:cat>
          <c:val>
            <c:numRef>
              <c:f>Dashboard!$B$9:$N$9</c:f>
              <c:numCache>
                <c:formatCode>"$"#,##0</c:formatCode>
                <c:ptCount val="13"/>
                <c:pt idx="0" formatCode="General">
                  <c:v>0</c:v>
                </c:pt>
                <c:pt idx="1">
                  <c:v>0</c:v>
                </c:pt>
                <c:pt idx="2">
                  <c:v>1707500.0000000005</c:v>
                </c:pt>
                <c:pt idx="3">
                  <c:v>16050500</c:v>
                </c:pt>
                <c:pt idx="4">
                  <c:v>-1231018.2583200522</c:v>
                </c:pt>
                <c:pt idx="5">
                  <c:v>-396007.98746345146</c:v>
                </c:pt>
                <c:pt idx="6">
                  <c:v>513409.16703961021</c:v>
                </c:pt>
                <c:pt idx="7">
                  <c:v>1533142.740869151</c:v>
                </c:pt>
                <c:pt idx="8">
                  <c:v>2307422.4119745474</c:v>
                </c:pt>
                <c:pt idx="9">
                  <c:v>3446826.6097444491</c:v>
                </c:pt>
                <c:pt idx="10">
                  <c:v>4589137.0217742641</c:v>
                </c:pt>
                <c:pt idx="11">
                  <c:v>5787287.4476973191</c:v>
                </c:pt>
                <c:pt idx="12">
                  <c:v>142197969.59933549</c:v>
                </c:pt>
              </c:numCache>
            </c:numRef>
          </c:val>
          <c:smooth val="1"/>
          <c:extLst>
            <c:ext xmlns:c16="http://schemas.microsoft.com/office/drawing/2014/chart" uri="{C3380CC4-5D6E-409C-BE32-E72D297353CC}">
              <c16:uniqueId val="{00000018-33BE-495C-8DED-77A2FC88FBD5}"/>
            </c:ext>
          </c:extLst>
        </c:ser>
        <c:dLbls>
          <c:showLegendKey val="0"/>
          <c:showVal val="0"/>
          <c:showCatName val="0"/>
          <c:showSerName val="0"/>
          <c:showPercent val="0"/>
          <c:showBubbleSize val="0"/>
        </c:dLbls>
        <c:smooth val="0"/>
        <c:axId val="10"/>
        <c:axId val="100"/>
      </c:lineChart>
      <c:catAx>
        <c:axId val="10"/>
        <c:scaling>
          <c:orientation val="minMax"/>
        </c:scaling>
        <c:delete val="0"/>
        <c:axPos val="b"/>
        <c:title>
          <c:tx>
            <c:rich>
              <a:bodyPr rot="0" spcFirstLastPara="1" vertOverflow="ellipsis" vert="horz" wrap="square" anchor="ctr" anchorCtr="1"/>
              <a:lstStyle/>
              <a:p>
                <a:pPr>
                  <a:defRPr sz="1000" b="0" i="0" strike="noStrike" kern="1200" baseline="0">
                    <a:solidFill>
                      <a:schemeClr val="tx1">
                        <a:lumMod val="65000"/>
                        <a:lumOff val="35000"/>
                      </a:schemeClr>
                    </a:solidFill>
                    <a:latin typeface="+mn-lt"/>
                    <a:ea typeface="+mn-ea"/>
                    <a:cs typeface="+mn-cs"/>
                  </a:defRPr>
                </a:pPr>
                <a:r>
                  <a:rPr lang="en-AU"/>
                  <a:t>None</a:t>
                </a:r>
              </a:p>
            </c:rich>
          </c:tx>
          <c:overlay val="1"/>
          <c:spPr>
            <a:noFill/>
            <a:ln>
              <a:noFill/>
              <a:prstDash val="solid"/>
            </a:ln>
          </c:spPr>
        </c:title>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0"/>
        <c:crosses val="autoZero"/>
        <c:auto val="1"/>
        <c:lblAlgn val="ctr"/>
        <c:lblOffset val="100"/>
        <c:noMultiLvlLbl val="1"/>
      </c:catAx>
      <c:valAx>
        <c:axId val="100"/>
        <c:scaling>
          <c:orientation val="minMax"/>
        </c:scaling>
        <c:delete val="0"/>
        <c:axPos val="l"/>
        <c:majorGridlines>
          <c:spPr>
            <a:ln w="9525" cap="flat" cmpd="sng" algn="ctr">
              <a:solidFill>
                <a:schemeClr val="tx1">
                  <a:lumMod val="15000"/>
                  <a:lumOff val="85000"/>
                </a:schemeClr>
              </a:solidFill>
              <a:prstDash val="solid"/>
              <a:round/>
            </a:ln>
          </c:spPr>
        </c:majorGridlines>
        <c:title>
          <c:tx>
            <c:rich>
              <a:bodyPr rot="-5400000" spcFirstLastPara="1" vertOverflow="ellipsis" vert="horz" wrap="square" anchor="ctr" anchorCtr="1"/>
              <a:lstStyle/>
              <a:p>
                <a:pPr>
                  <a:defRPr sz="1000" b="0" i="0" strike="noStrike" kern="1200" baseline="0">
                    <a:solidFill>
                      <a:schemeClr val="tx1">
                        <a:lumMod val="65000"/>
                        <a:lumOff val="35000"/>
                      </a:schemeClr>
                    </a:solidFill>
                    <a:latin typeface="+mn-lt"/>
                    <a:ea typeface="+mn-ea"/>
                    <a:cs typeface="+mn-cs"/>
                  </a:defRPr>
                </a:pPr>
                <a:r>
                  <a:rPr lang="en-AU"/>
                  <a:t>AUD</a:t>
                </a:r>
              </a:p>
            </c:rich>
          </c:tx>
          <c:overlay val="1"/>
          <c:spPr>
            <a:noFill/>
            <a:ln>
              <a:noFill/>
              <a:prstDash val="solid"/>
            </a:ln>
          </c:spPr>
        </c:title>
        <c:numFmt formatCode="_(&quot;$&quot;* #,##0.00_);_(&quot;$&quot;* \(#,##0.00\);_(&quot;$&quot;* &quot;-&quot;??_);_(@_)" sourceLinked="0"/>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
        <c:crosses val="autoZero"/>
        <c:crossBetween val="between"/>
        <c:dispUnits>
          <c:builtInUnit val="millions"/>
          <c:dispUnitsLbl>
            <c:spPr>
              <a:noFill/>
              <a:ln>
                <a:noFill/>
                <a:prstDash val="solid"/>
              </a:ln>
            </c:spPr>
            <c:txPr>
              <a:bodyPr rot="-5400000" spcFirstLastPara="1" vertOverflow="ellipsis" vert="horz" wrap="square" anchor="ctr" anchorCtr="1"/>
              <a:lstStyle/>
              <a:p>
                <a:pPr>
                  <a:defRPr sz="1000" b="0" i="0" strike="noStrike" kern="1200" baseline="0">
                    <a:solidFill>
                      <a:schemeClr val="tx1">
                        <a:lumMod val="65000"/>
                        <a:lumOff val="35000"/>
                      </a:schemeClr>
                    </a:solidFill>
                    <a:latin typeface="+mn-lt"/>
                    <a:ea typeface="+mn-ea"/>
                    <a:cs typeface="+mn-cs"/>
                  </a:defRPr>
                </a:pPr>
                <a:endParaRPr lang="en-US"/>
              </a:p>
            </c:txPr>
          </c:dispUnitsLbl>
        </c:dispUnits>
      </c:valAx>
    </c:plotArea>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AU" sz="1200">
                <a:latin typeface="Arial" panose="020B0604020202020204" pitchFamily="34" charset="0"/>
                <a:cs typeface="Arial" panose="020B0604020202020204" pitchFamily="34" charset="0"/>
              </a:rPr>
              <a:t>Debt,  CFADS &amp; DSCR</a:t>
            </a:r>
          </a:p>
        </c:rich>
      </c:tx>
      <c:overlay val="0"/>
    </c:title>
    <c:autoTitleDeleted val="0"/>
    <c:plotArea>
      <c:layout>
        <c:manualLayout>
          <c:layoutTarget val="inner"/>
          <c:xMode val="edge"/>
          <c:yMode val="edge"/>
          <c:x val="0.15997023951551551"/>
          <c:y val="0.15907278916868059"/>
          <c:w val="0.65431100469827419"/>
          <c:h val="0.65006280155574603"/>
        </c:manualLayout>
      </c:layout>
      <c:lineChart>
        <c:grouping val="standard"/>
        <c:varyColors val="1"/>
        <c:ser>
          <c:idx val="0"/>
          <c:order val="0"/>
          <c:tx>
            <c:v>Total Debt</c:v>
          </c:tx>
          <c:spPr>
            <a:ln>
              <a:prstDash val="solid"/>
            </a:ln>
          </c:spPr>
          <c:marker>
            <c:symbol val="none"/>
          </c:marker>
          <c:cat>
            <c:strRef>
              <c:f>Dashboard!$C$6:$N$6</c:f>
              <c:strCache>
                <c:ptCount val="12"/>
                <c:pt idx="0">
                  <c:v>FY25</c:v>
                </c:pt>
                <c:pt idx="1">
                  <c:v>FY26</c:v>
                </c:pt>
                <c:pt idx="2">
                  <c:v>FY27</c:v>
                </c:pt>
                <c:pt idx="3">
                  <c:v>FY28</c:v>
                </c:pt>
                <c:pt idx="4">
                  <c:v>FY29</c:v>
                </c:pt>
                <c:pt idx="5">
                  <c:v>FY30</c:v>
                </c:pt>
                <c:pt idx="6">
                  <c:v>FY31</c:v>
                </c:pt>
                <c:pt idx="7">
                  <c:v>FY32</c:v>
                </c:pt>
                <c:pt idx="8">
                  <c:v>FY33</c:v>
                </c:pt>
                <c:pt idx="9">
                  <c:v>FY34</c:v>
                </c:pt>
                <c:pt idx="10">
                  <c:v>FY35</c:v>
                </c:pt>
                <c:pt idx="11">
                  <c:v>FY36</c:v>
                </c:pt>
              </c:strCache>
            </c:strRef>
          </c:cat>
          <c:val>
            <c:numRef>
              <c:f>Dashboard!$B$10:$N$10</c:f>
              <c:numCache>
                <c:formatCode>"$"#,##0</c:formatCode>
                <c:ptCount val="13"/>
                <c:pt idx="0" formatCode="General">
                  <c:v>0</c:v>
                </c:pt>
                <c:pt idx="1">
                  <c:v>0</c:v>
                </c:pt>
                <c:pt idx="2">
                  <c:v>0</c:v>
                </c:pt>
                <c:pt idx="3">
                  <c:v>9220500</c:v>
                </c:pt>
                <c:pt idx="4">
                  <c:v>8196000</c:v>
                </c:pt>
                <c:pt idx="5">
                  <c:v>7171500</c:v>
                </c:pt>
                <c:pt idx="6">
                  <c:v>6147000</c:v>
                </c:pt>
                <c:pt idx="7">
                  <c:v>5122500</c:v>
                </c:pt>
                <c:pt idx="8">
                  <c:v>4098000</c:v>
                </c:pt>
                <c:pt idx="9">
                  <c:v>3073500</c:v>
                </c:pt>
                <c:pt idx="10">
                  <c:v>2049000</c:v>
                </c:pt>
                <c:pt idx="11">
                  <c:v>1024500</c:v>
                </c:pt>
                <c:pt idx="12">
                  <c:v>0</c:v>
                </c:pt>
              </c:numCache>
            </c:numRef>
          </c:val>
          <c:smooth val="0"/>
          <c:extLst>
            <c:ext xmlns:c16="http://schemas.microsoft.com/office/drawing/2014/chart" uri="{C3380CC4-5D6E-409C-BE32-E72D297353CC}">
              <c16:uniqueId val="{00000000-DA1F-4EE6-B9A8-4428B0BABB19}"/>
            </c:ext>
          </c:extLst>
        </c:ser>
        <c:ser>
          <c:idx val="1"/>
          <c:order val="1"/>
          <c:tx>
            <c:strRef>
              <c:f>Dashboard!#REF!</c:f>
              <c:strCache>
                <c:ptCount val="1"/>
                <c:pt idx="0">
                  <c:v>#REF!</c:v>
                </c:pt>
              </c:strCache>
            </c:strRef>
          </c:tx>
          <c:spPr>
            <a:ln>
              <a:prstDash val="solid"/>
            </a:ln>
          </c:spPr>
          <c:marker>
            <c:symbol val="none"/>
          </c:marker>
          <c:cat>
            <c:strRef>
              <c:f>Dashboard!$C$6:$N$6</c:f>
              <c:strCache>
                <c:ptCount val="12"/>
                <c:pt idx="0">
                  <c:v>FY25</c:v>
                </c:pt>
                <c:pt idx="1">
                  <c:v>FY26</c:v>
                </c:pt>
                <c:pt idx="2">
                  <c:v>FY27</c:v>
                </c:pt>
                <c:pt idx="3">
                  <c:v>FY28</c:v>
                </c:pt>
                <c:pt idx="4">
                  <c:v>FY29</c:v>
                </c:pt>
                <c:pt idx="5">
                  <c:v>FY30</c:v>
                </c:pt>
                <c:pt idx="6">
                  <c:v>FY31</c:v>
                </c:pt>
                <c:pt idx="7">
                  <c:v>FY32</c:v>
                </c:pt>
                <c:pt idx="8">
                  <c:v>FY33</c:v>
                </c:pt>
                <c:pt idx="9">
                  <c:v>FY34</c:v>
                </c:pt>
                <c:pt idx="10">
                  <c:v>FY35</c:v>
                </c:pt>
                <c:pt idx="11">
                  <c:v>FY36</c:v>
                </c:pt>
              </c:strCache>
            </c:strRef>
          </c:cat>
          <c:val>
            <c:numRef>
              <c:f>Dashboard!#REF!</c:f>
              <c:numCache>
                <c:formatCode>0.00%</c:formatCode>
                <c:ptCount val="1"/>
                <c:pt idx="0">
                  <c:v>1</c:v>
                </c:pt>
              </c:numCache>
            </c:numRef>
          </c:val>
          <c:smooth val="0"/>
          <c:extLst>
            <c:ext xmlns:c16="http://schemas.microsoft.com/office/drawing/2014/chart" uri="{C3380CC4-5D6E-409C-BE32-E72D297353CC}">
              <c16:uniqueId val="{00000001-DA1F-4EE6-B9A8-4428B0BABB19}"/>
            </c:ext>
          </c:extLst>
        </c:ser>
        <c:dLbls>
          <c:showLegendKey val="0"/>
          <c:showVal val="0"/>
          <c:showCatName val="0"/>
          <c:showSerName val="0"/>
          <c:showPercent val="0"/>
          <c:showBubbleSize val="0"/>
        </c:dLbls>
        <c:marker val="1"/>
        <c:smooth val="0"/>
        <c:axId val="10"/>
        <c:axId val="100"/>
      </c:lineChart>
      <c:lineChart>
        <c:grouping val="standard"/>
        <c:varyColors val="1"/>
        <c:ser>
          <c:idx val="2"/>
          <c:order val="2"/>
          <c:tx>
            <c:v>DSCR</c:v>
          </c:tx>
          <c:spPr>
            <a:ln>
              <a:prstDash val="sysDash"/>
            </a:ln>
          </c:spPr>
          <c:marker>
            <c:symbol val="none"/>
          </c:marker>
          <c:dLbls>
            <c:dLbl>
              <c:idx val="0"/>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2-DA1F-4EE6-B9A8-4428B0BABB19}"/>
                </c:ext>
              </c:extLst>
            </c:dLbl>
            <c:dLbl>
              <c:idx val="1"/>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3-DA1F-4EE6-B9A8-4428B0BABB19}"/>
                </c:ext>
              </c:extLst>
            </c:dLbl>
            <c:spPr>
              <a:noFill/>
              <a:ln>
                <a:noFill/>
                <a:prstDash val="solid"/>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Dashboard!$B$11:$N$11</c:f>
              <c:numCache>
                <c:formatCode>0.0\x</c:formatCode>
                <c:ptCount val="13"/>
                <c:pt idx="0" formatCode="General">
                  <c:v>0</c:v>
                </c:pt>
                <c:pt idx="1">
                  <c:v>0</c:v>
                </c:pt>
                <c:pt idx="2">
                  <c:v>0</c:v>
                </c:pt>
                <c:pt idx="3">
                  <c:v>0</c:v>
                </c:pt>
                <c:pt idx="4" formatCode="0.00\x">
                  <c:v>8.3450465499454438</c:v>
                </c:pt>
                <c:pt idx="5" formatCode="0.00\x">
                  <c:v>9.0195083848962394</c:v>
                </c:pt>
                <c:pt idx="6" formatCode="0.00\x">
                  <c:v>10.100328347603568</c:v>
                </c:pt>
                <c:pt idx="7" formatCode="0.00\x">
                  <c:v>10.972248693840013</c:v>
                </c:pt>
                <c:pt idx="8">
                  <c:v>11.831353916007705</c:v>
                </c:pt>
                <c:pt idx="9">
                  <c:v>12.475335031409392</c:v>
                </c:pt>
                <c:pt idx="10">
                  <c:v>13.54844438914464</c:v>
                </c:pt>
                <c:pt idx="11">
                  <c:v>14.819047807642843</c:v>
                </c:pt>
                <c:pt idx="12">
                  <c:v>16.294063446820637</c:v>
                </c:pt>
              </c:numCache>
            </c:numRef>
          </c:val>
          <c:smooth val="0"/>
          <c:extLst>
            <c:ext xmlns:c16="http://schemas.microsoft.com/office/drawing/2014/chart" uri="{C3380CC4-5D6E-409C-BE32-E72D297353CC}">
              <c16:uniqueId val="{00000004-DA1F-4EE6-B9A8-4428B0BABB19}"/>
            </c:ext>
          </c:extLst>
        </c:ser>
        <c:dLbls>
          <c:showLegendKey val="0"/>
          <c:showVal val="0"/>
          <c:showCatName val="0"/>
          <c:showSerName val="0"/>
          <c:showPercent val="0"/>
          <c:showBubbleSize val="0"/>
        </c:dLbls>
        <c:marker val="1"/>
        <c:smooth val="0"/>
        <c:axId val="1337015424"/>
        <c:axId val="1337011104"/>
      </c:lineChart>
      <c:catAx>
        <c:axId val="10"/>
        <c:scaling>
          <c:orientation val="minMax"/>
        </c:scaling>
        <c:delete val="0"/>
        <c:axPos val="b"/>
        <c:title>
          <c:tx>
            <c:rich>
              <a:bodyPr/>
              <a:lstStyle/>
              <a:p>
                <a:pPr>
                  <a:defRPr/>
                </a:pPr>
                <a:r>
                  <a:rPr lang="en-AU"/>
                  <a:t>None</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spPr>
            <a:ln>
              <a:solidFill>
                <a:schemeClr val="bg1"/>
              </a:solidFill>
              <a:prstDash val="solid"/>
            </a:ln>
          </c:spPr>
        </c:majorGridlines>
        <c:title>
          <c:tx>
            <c:rich>
              <a:bodyPr/>
              <a:lstStyle/>
              <a:p>
                <a:pPr>
                  <a:defRPr/>
                </a:pPr>
                <a:r>
                  <a:rPr lang="en-AU"/>
                  <a:t>AUD / x</a:t>
                </a:r>
              </a:p>
            </c:rich>
          </c:tx>
          <c:overlay val="1"/>
        </c:title>
        <c:numFmt formatCode="_(&quot;$&quot;* #,##0.00_);_(&quot;$&quot;* \(#,##0.00\);_(&quot;$&quot;* &quot;-&quot;??_);_(@_)" sourceLinked="0"/>
        <c:majorTickMark val="out"/>
        <c:minorTickMark val="none"/>
        <c:tickLblPos val="nextTo"/>
        <c:crossAx val="10"/>
        <c:crosses val="autoZero"/>
        <c:crossBetween val="between"/>
        <c:dispUnits>
          <c:builtInUnit val="millions"/>
          <c:dispUnitsLbl/>
        </c:dispUnits>
      </c:valAx>
      <c:catAx>
        <c:axId val="1337015424"/>
        <c:scaling>
          <c:orientation val="minMax"/>
        </c:scaling>
        <c:delete val="1"/>
        <c:axPos val="b"/>
        <c:majorTickMark val="out"/>
        <c:minorTickMark val="none"/>
        <c:tickLblPos val="nextTo"/>
        <c:crossAx val="1337011104"/>
        <c:crosses val="autoZero"/>
        <c:auto val="1"/>
        <c:lblAlgn val="ctr"/>
        <c:lblOffset val="100"/>
        <c:noMultiLvlLbl val="0"/>
      </c:catAx>
      <c:valAx>
        <c:axId val="1337011104"/>
        <c:scaling>
          <c:orientation val="minMax"/>
        </c:scaling>
        <c:delete val="0"/>
        <c:axPos val="r"/>
        <c:numFmt formatCode="General" sourceLinked="1"/>
        <c:majorTickMark val="out"/>
        <c:minorTickMark val="none"/>
        <c:tickLblPos val="nextTo"/>
        <c:crossAx val="1337015424"/>
        <c:crosses val="max"/>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AU" sz="1200" b="1">
                <a:solidFill>
                  <a:sysClr val="windowText" lastClr="000000"/>
                </a:solidFill>
              </a:rPr>
              <a:t>Event Days Mix (Exit FY)</a:t>
            </a:r>
          </a:p>
        </c:rich>
      </c:tx>
      <c:overlay val="1"/>
      <c:spPr>
        <a:noFill/>
        <a:ln>
          <a:noFill/>
          <a:prstDash val="solid"/>
        </a:ln>
      </c:spPr>
    </c:title>
    <c:autoTitleDeleted val="0"/>
    <c:plotArea>
      <c:layout/>
      <c:barChart>
        <c:barDir val="col"/>
        <c:grouping val="clustered"/>
        <c:varyColors val="1"/>
        <c:ser>
          <c:idx val="0"/>
          <c:order val="0"/>
          <c:tx>
            <c:strRef>
              <c:f>Dashboard!$F$98</c:f>
              <c:strCache>
                <c:ptCount val="1"/>
                <c:pt idx="0">
                  <c:v>Days</c:v>
                </c:pt>
              </c:strCache>
            </c:strRef>
          </c:tx>
          <c:spPr>
            <a:ln>
              <a:prstDash val="solid"/>
            </a:ln>
          </c:spPr>
          <c:invertIfNegative val="1"/>
          <c:dPt>
            <c:idx val="0"/>
            <c:invertIfNegative val="1"/>
            <c:bubble3D val="0"/>
            <c:spPr>
              <a:solidFill>
                <a:schemeClr val="accent1"/>
              </a:solidFill>
              <a:ln>
                <a:noFill/>
                <a:prstDash val="solid"/>
              </a:ln>
            </c:spPr>
            <c:extLst>
              <c:ext xmlns:c16="http://schemas.microsoft.com/office/drawing/2014/chart" uri="{C3380CC4-5D6E-409C-BE32-E72D297353CC}">
                <c16:uniqueId val="{00000001-C11B-4D8A-8F76-58F61833806C}"/>
              </c:ext>
            </c:extLst>
          </c:dPt>
          <c:dPt>
            <c:idx val="1"/>
            <c:invertIfNegative val="1"/>
            <c:bubble3D val="0"/>
            <c:spPr>
              <a:solidFill>
                <a:schemeClr val="accent2"/>
              </a:solidFill>
              <a:ln>
                <a:noFill/>
                <a:prstDash val="solid"/>
              </a:ln>
            </c:spPr>
            <c:extLst>
              <c:ext xmlns:c16="http://schemas.microsoft.com/office/drawing/2014/chart" uri="{C3380CC4-5D6E-409C-BE32-E72D297353CC}">
                <c16:uniqueId val="{00000003-C11B-4D8A-8F76-58F61833806C}"/>
              </c:ext>
            </c:extLst>
          </c:dPt>
          <c:dPt>
            <c:idx val="2"/>
            <c:invertIfNegative val="1"/>
            <c:bubble3D val="0"/>
            <c:spPr>
              <a:solidFill>
                <a:schemeClr val="accent3"/>
              </a:solidFill>
              <a:ln>
                <a:noFill/>
                <a:prstDash val="solid"/>
              </a:ln>
            </c:spPr>
            <c:extLst>
              <c:ext xmlns:c16="http://schemas.microsoft.com/office/drawing/2014/chart" uri="{C3380CC4-5D6E-409C-BE32-E72D297353CC}">
                <c16:uniqueId val="{00000005-C11B-4D8A-8F76-58F61833806C}"/>
              </c:ext>
            </c:extLst>
          </c:dPt>
          <c:dPt>
            <c:idx val="3"/>
            <c:invertIfNegative val="1"/>
            <c:bubble3D val="0"/>
            <c:spPr>
              <a:solidFill>
                <a:schemeClr val="accent4"/>
              </a:solidFill>
              <a:ln>
                <a:noFill/>
                <a:prstDash val="solid"/>
              </a:ln>
            </c:spPr>
            <c:extLst>
              <c:ext xmlns:c16="http://schemas.microsoft.com/office/drawing/2014/chart" uri="{C3380CC4-5D6E-409C-BE32-E72D297353CC}">
                <c16:uniqueId val="{00000007-C11B-4D8A-8F76-58F61833806C}"/>
              </c:ext>
            </c:extLst>
          </c:dPt>
          <c:dPt>
            <c:idx val="4"/>
            <c:invertIfNegative val="1"/>
            <c:bubble3D val="0"/>
            <c:spPr>
              <a:solidFill>
                <a:schemeClr val="accent5"/>
              </a:solidFill>
              <a:ln>
                <a:noFill/>
                <a:prstDash val="solid"/>
              </a:ln>
            </c:spPr>
            <c:extLst>
              <c:ext xmlns:c16="http://schemas.microsoft.com/office/drawing/2014/chart" uri="{C3380CC4-5D6E-409C-BE32-E72D297353CC}">
                <c16:uniqueId val="{00000009-C11B-4D8A-8F76-58F61833806C}"/>
              </c:ext>
            </c:extLst>
          </c:dPt>
          <c:dPt>
            <c:idx val="5"/>
            <c:invertIfNegative val="1"/>
            <c:bubble3D val="0"/>
            <c:spPr>
              <a:solidFill>
                <a:schemeClr val="accent6"/>
              </a:solidFill>
              <a:ln>
                <a:noFill/>
                <a:prstDash val="solid"/>
              </a:ln>
            </c:spPr>
            <c:extLst>
              <c:ext xmlns:c16="http://schemas.microsoft.com/office/drawing/2014/chart" uri="{C3380CC4-5D6E-409C-BE32-E72D297353CC}">
                <c16:uniqueId val="{0000000B-C11B-4D8A-8F76-58F61833806C}"/>
              </c:ext>
            </c:extLst>
          </c:dPt>
          <c:dPt>
            <c:idx val="6"/>
            <c:invertIfNegative val="1"/>
            <c:bubble3D val="0"/>
            <c:spPr>
              <a:solidFill>
                <a:schemeClr val="accent1">
                  <a:lumMod val="60000"/>
                </a:schemeClr>
              </a:solidFill>
              <a:ln>
                <a:noFill/>
                <a:prstDash val="solid"/>
              </a:ln>
            </c:spPr>
            <c:extLst>
              <c:ext xmlns:c16="http://schemas.microsoft.com/office/drawing/2014/chart" uri="{C3380CC4-5D6E-409C-BE32-E72D297353CC}">
                <c16:uniqueId val="{0000000D-C11B-4D8A-8F76-58F61833806C}"/>
              </c:ext>
            </c:extLst>
          </c:dPt>
          <c:dPt>
            <c:idx val="7"/>
            <c:invertIfNegative val="1"/>
            <c:bubble3D val="0"/>
            <c:spPr>
              <a:solidFill>
                <a:schemeClr val="accent2">
                  <a:lumMod val="60000"/>
                </a:schemeClr>
              </a:solidFill>
              <a:ln>
                <a:noFill/>
                <a:prstDash val="solid"/>
              </a:ln>
            </c:spPr>
            <c:extLst>
              <c:ext xmlns:c16="http://schemas.microsoft.com/office/drawing/2014/chart" uri="{C3380CC4-5D6E-409C-BE32-E72D297353CC}">
                <c16:uniqueId val="{0000000F-C11B-4D8A-8F76-58F61833806C}"/>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Dashboard!$E$99:$E$106</c:f>
              <c:strCache>
                <c:ptCount val="8"/>
                <c:pt idx="0">
                  <c:v>Music GA (all tiers)</c:v>
                </c:pt>
                <c:pt idx="1">
                  <c:v>EDM</c:v>
                </c:pt>
                <c:pt idx="2">
                  <c:v>Seated Music</c:v>
                </c:pt>
                <c:pt idx="3">
                  <c:v>Comedy</c:v>
                </c:pt>
                <c:pt idx="4">
                  <c:v>Sports</c:v>
                </c:pt>
                <c:pt idx="5">
                  <c:v>MICE</c:v>
                </c:pt>
                <c:pt idx="6">
                  <c:v>Community</c:v>
                </c:pt>
                <c:pt idx="7">
                  <c:v>Live Site</c:v>
                </c:pt>
              </c:strCache>
            </c:strRef>
          </c:cat>
          <c:val>
            <c:numRef>
              <c:f>Dashboard!$F$99:$F$106</c:f>
              <c:numCache>
                <c:formatCode>"$"#,##0</c:formatCode>
                <c:ptCount val="8"/>
                <c:pt idx="0">
                  <c:v>52</c:v>
                </c:pt>
                <c:pt idx="1">
                  <c:v>18</c:v>
                </c:pt>
                <c:pt idx="2">
                  <c:v>15</c:v>
                </c:pt>
                <c:pt idx="3" formatCode="0.0%">
                  <c:v>15</c:v>
                </c:pt>
                <c:pt idx="4" formatCode="0.0%">
                  <c:v>3</c:v>
                </c:pt>
                <c:pt idx="5" formatCode="0">
                  <c:v>29</c:v>
                </c:pt>
                <c:pt idx="6">
                  <c:v>12</c:v>
                </c:pt>
                <c:pt idx="7" formatCode="0.0%">
                  <c:v>10</c:v>
                </c:pt>
              </c:numCache>
            </c:numRef>
          </c:val>
          <c:extLst>
            <c:ext xmlns:c16="http://schemas.microsoft.com/office/drawing/2014/chart" uri="{C3380CC4-5D6E-409C-BE32-E72D297353CC}">
              <c16:uniqueId val="{00000010-C11B-4D8A-8F76-58F61833806C}"/>
            </c:ext>
          </c:extLst>
        </c:ser>
        <c:dLbls>
          <c:showLegendKey val="0"/>
          <c:showVal val="0"/>
          <c:showCatName val="0"/>
          <c:showSerName val="0"/>
          <c:showPercent val="0"/>
          <c:showBubbleSize val="0"/>
        </c:dLbls>
        <c:gapWidth val="219"/>
        <c:overlap val="-27"/>
        <c:axId val="10"/>
        <c:axId val="100"/>
      </c:barChart>
      <c:catAx>
        <c:axId val="10"/>
        <c:scaling>
          <c:orientation val="minMax"/>
        </c:scaling>
        <c:delete val="0"/>
        <c:axPos val="b"/>
        <c:title>
          <c:tx>
            <c:rich>
              <a:bodyPr rot="0" spcFirstLastPara="1" vertOverflow="ellipsis" vert="horz" wrap="square" anchor="ctr" anchorCtr="1"/>
              <a:lstStyle/>
              <a:p>
                <a:pPr>
                  <a:defRPr sz="1000" b="0" i="0" strike="noStrike" kern="1200" baseline="0">
                    <a:solidFill>
                      <a:schemeClr val="tx1">
                        <a:lumMod val="65000"/>
                        <a:lumOff val="35000"/>
                      </a:schemeClr>
                    </a:solidFill>
                    <a:latin typeface="+mn-lt"/>
                    <a:ea typeface="+mn-ea"/>
                    <a:cs typeface="+mn-cs"/>
                  </a:defRPr>
                </a:pPr>
                <a:r>
                  <a:rPr lang="en-AU"/>
                  <a:t>Event Type</a:t>
                </a:r>
              </a:p>
            </c:rich>
          </c:tx>
          <c:layout>
            <c:manualLayout>
              <c:xMode val="edge"/>
              <c:yMode val="edge"/>
              <c:x val="0.46752194886145071"/>
              <c:y val="0.90836716838966558"/>
            </c:manualLayout>
          </c:layout>
          <c:overlay val="1"/>
          <c:spPr>
            <a:noFill/>
            <a:ln>
              <a:noFill/>
              <a:prstDash val="solid"/>
            </a:ln>
          </c:spPr>
        </c:title>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0"/>
        <c:crosses val="autoZero"/>
        <c:auto val="1"/>
        <c:lblAlgn val="ctr"/>
        <c:lblOffset val="100"/>
        <c:noMultiLvlLbl val="1"/>
      </c:catAx>
      <c:valAx>
        <c:axId val="100"/>
        <c:scaling>
          <c:orientation val="minMax"/>
        </c:scaling>
        <c:delete val="0"/>
        <c:axPos val="l"/>
        <c:majorGridlines>
          <c:spPr>
            <a:ln w="9525" cap="flat" cmpd="sng" algn="ctr">
              <a:solidFill>
                <a:schemeClr val="tx1">
                  <a:lumMod val="15000"/>
                  <a:lumOff val="85000"/>
                </a:schemeClr>
              </a:solidFill>
              <a:prstDash val="solid"/>
              <a:round/>
            </a:ln>
          </c:spPr>
        </c:majorGridlines>
        <c:title>
          <c:tx>
            <c:rich>
              <a:bodyPr rot="-5400000" spcFirstLastPara="1" vertOverflow="ellipsis" vert="horz" wrap="square" anchor="ctr" anchorCtr="1"/>
              <a:lstStyle/>
              <a:p>
                <a:pPr>
                  <a:defRPr sz="1000" b="0" i="0" strike="noStrike" kern="1200" baseline="0">
                    <a:solidFill>
                      <a:schemeClr val="tx1">
                        <a:lumMod val="65000"/>
                        <a:lumOff val="35000"/>
                      </a:schemeClr>
                    </a:solidFill>
                    <a:latin typeface="+mn-lt"/>
                    <a:ea typeface="+mn-ea"/>
                    <a:cs typeface="+mn-cs"/>
                  </a:defRPr>
                </a:pPr>
                <a:r>
                  <a:rPr lang="en-AU"/>
                  <a:t>Days</a:t>
                </a:r>
              </a:p>
            </c:rich>
          </c:tx>
          <c:overlay val="1"/>
          <c:spPr>
            <a:noFill/>
            <a:ln>
              <a:noFill/>
              <a:prstDash val="solid"/>
            </a:ln>
          </c:spPr>
        </c:title>
        <c:numFmt formatCode="&quot;$&quot;#,##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
        <c:crosses val="autoZero"/>
        <c:crossBetween val="between"/>
      </c:valAx>
    </c:plotArea>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xdr:col>
      <xdr:colOff>295246</xdr:colOff>
      <xdr:row>2</xdr:row>
      <xdr:rowOff>15875</xdr:rowOff>
    </xdr:from>
    <xdr:to>
      <xdr:col>21</xdr:col>
      <xdr:colOff>106058</xdr:colOff>
      <xdr:row>16</xdr:row>
      <xdr:rowOff>25400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2172921" y="930275"/>
          <a:ext cx="11999637" cy="6042025"/>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oneCellAnchor>
    <xdr:from>
      <xdr:col>6</xdr:col>
      <xdr:colOff>485775</xdr:colOff>
      <xdr:row>43</xdr:row>
      <xdr:rowOff>104775</xdr:rowOff>
    </xdr:from>
    <xdr:ext cx="5114925" cy="2619375"/>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6</xdr:col>
      <xdr:colOff>542925</xdr:colOff>
      <xdr:row>25</xdr:row>
      <xdr:rowOff>114300</xdr:rowOff>
    </xdr:from>
    <xdr:ext cx="5057775" cy="2905125"/>
    <xdr:graphicFrame macro="">
      <xdr:nvGraphicFramePr>
        <xdr:cNvPr id="3" name="Chart 2">
          <a:extLst>
            <a:ext uri="{FF2B5EF4-FFF2-40B4-BE49-F238E27FC236}">
              <a16:creationId xmlns:a16="http://schemas.microsoft.com/office/drawing/2014/main" id="{00000000-0008-0000-0100-000003000000}"/>
            </a:ext>
            <a:ext uri="{147F2762-F138-4A5C-976F-8EAC2B608ADB}">
              <a16:predDERef xmlns:a16="http://schemas.microsoft.com/office/drawing/2014/main" pre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10</xdr:col>
      <xdr:colOff>371475</xdr:colOff>
      <xdr:row>42</xdr:row>
      <xdr:rowOff>104775</xdr:rowOff>
    </xdr:from>
    <xdr:ext cx="5410200" cy="2905125"/>
    <xdr:graphicFrame macro="">
      <xdr:nvGraphicFramePr>
        <xdr:cNvPr id="4" name="Chart 3">
          <a:extLst>
            <a:ext uri="{FF2B5EF4-FFF2-40B4-BE49-F238E27FC236}">
              <a16:creationId xmlns:a16="http://schemas.microsoft.com/office/drawing/2014/main" id="{00000000-0008-0000-0100-000004000000}"/>
            </a:ext>
            <a:ext uri="{147F2762-F138-4A5C-976F-8EAC2B608ADB}">
              <a16:predDERef xmlns:a16="http://schemas.microsoft.com/office/drawing/2014/main" pre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10</xdr:col>
      <xdr:colOff>714375</xdr:colOff>
      <xdr:row>25</xdr:row>
      <xdr:rowOff>114300</xdr:rowOff>
    </xdr:from>
    <xdr:ext cx="5048250" cy="2762250"/>
    <xdr:graphicFrame macro="">
      <xdr:nvGraphicFramePr>
        <xdr:cNvPr id="5" name="Chart 4">
          <a:extLst>
            <a:ext uri="{FF2B5EF4-FFF2-40B4-BE49-F238E27FC236}">
              <a16:creationId xmlns:a16="http://schemas.microsoft.com/office/drawing/2014/main" id="{00000000-0008-0000-0100-000005000000}"/>
            </a:ext>
            <a:ext uri="{147F2762-F138-4A5C-976F-8EAC2B608ADB}">
              <a16:predDERef xmlns:a16="http://schemas.microsoft.com/office/drawing/2014/main" pre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AFS"/>
      <sheetName val="IFS"/>
      <sheetName val="Scenario"/>
      <sheetName val="Inputs"/>
      <sheetName val="Actual"/>
      <sheetName val="Ops"/>
      <sheetName val="Timing"/>
      <sheetName val="ValCalc"/>
      <sheetName val="D+T"/>
      <sheetName val="Checks"/>
      <sheetName val="Legend"/>
      <sheetName val="Nam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www.cosm.co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hyperlink" Target="https://containify.com.au/modified-shipping-containers-for-sal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595959"/>
  </sheetPr>
  <dimension ref="A1:A17"/>
  <sheetViews>
    <sheetView showGridLines="0" workbookViewId="0">
      <selection activeCell="A35" sqref="A35"/>
    </sheetView>
  </sheetViews>
  <sheetFormatPr defaultRowHeight="14.5" x14ac:dyDescent="0.35"/>
  <cols>
    <col min="1" max="1" width="170" customWidth="1"/>
  </cols>
  <sheetData>
    <row r="1" spans="1:1" ht="18" customHeight="1" x14ac:dyDescent="0.35">
      <c r="A1" s="71" t="s">
        <v>0</v>
      </c>
    </row>
    <row r="2" spans="1:1" ht="30" customHeight="1" x14ac:dyDescent="0.35">
      <c r="A2" s="72" t="s">
        <v>1</v>
      </c>
    </row>
    <row r="3" spans="1:1" ht="64" customHeight="1" x14ac:dyDescent="0.35">
      <c r="A3" s="73" t="s">
        <v>2</v>
      </c>
    </row>
    <row r="4" spans="1:1" ht="18" customHeight="1" x14ac:dyDescent="0.35">
      <c r="A4" s="331"/>
    </row>
    <row r="5" spans="1:1" ht="96" customHeight="1" x14ac:dyDescent="0.35">
      <c r="A5" s="73" t="s">
        <v>3</v>
      </c>
    </row>
    <row r="6" spans="1:1" ht="18" customHeight="1" x14ac:dyDescent="0.35">
      <c r="A6" s="331"/>
    </row>
    <row r="7" spans="1:1" ht="64" customHeight="1" x14ac:dyDescent="0.35">
      <c r="A7" s="73" t="s">
        <v>4</v>
      </c>
    </row>
    <row r="8" spans="1:1" x14ac:dyDescent="0.35">
      <c r="A8" s="331"/>
    </row>
    <row r="9" spans="1:1" ht="32.15" customHeight="1" x14ac:dyDescent="0.35">
      <c r="A9" s="74" t="s">
        <v>5</v>
      </c>
    </row>
    <row r="10" spans="1:1" x14ac:dyDescent="0.35">
      <c r="A10" s="331"/>
    </row>
    <row r="11" spans="1:1" ht="48" customHeight="1" x14ac:dyDescent="0.35">
      <c r="A11" s="73" t="s">
        <v>6</v>
      </c>
    </row>
    <row r="12" spans="1:1" x14ac:dyDescent="0.35">
      <c r="A12" s="331"/>
    </row>
    <row r="13" spans="1:1" ht="48" customHeight="1" x14ac:dyDescent="0.35">
      <c r="A13" s="73" t="s">
        <v>7</v>
      </c>
    </row>
    <row r="14" spans="1:1" x14ac:dyDescent="0.35">
      <c r="A14" s="331"/>
    </row>
    <row r="15" spans="1:1" ht="16" customHeight="1" x14ac:dyDescent="0.35">
      <c r="A15" s="73" t="s">
        <v>8</v>
      </c>
    </row>
    <row r="16" spans="1:1" x14ac:dyDescent="0.35">
      <c r="A16" s="331"/>
    </row>
    <row r="17" spans="1:1" ht="29.15" customHeight="1" x14ac:dyDescent="0.35">
      <c r="A17" s="331"/>
    </row>
  </sheetData>
  <hyperlinks>
    <hyperlink ref="A9" r:id="rId1" tooltip="http://www.cosm.com" display="http://www.cosm.com/" xr:uid="{00000000-0004-0000-0000-000000000000}"/>
  </hyperlinks>
  <pageMargins left="0.25" right="0.25" top="0.35" bottom="0.35" header="0.2" footer="0.2"/>
  <pageSetup fitToHeight="0" orientation="portrait"/>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tint="0.499984740745262"/>
  </sheetPr>
  <dimension ref="A1:Q127"/>
  <sheetViews>
    <sheetView showGridLines="0" topLeftCell="A39" workbookViewId="0">
      <selection activeCell="C45" sqref="C45"/>
    </sheetView>
  </sheetViews>
  <sheetFormatPr defaultRowHeight="14.5" x14ac:dyDescent="0.35"/>
  <cols>
    <col min="1" max="1" width="2" customWidth="1"/>
    <col min="2" max="2" width="34.1796875" customWidth="1"/>
    <col min="3" max="3" width="19" customWidth="1"/>
    <col min="4" max="4" width="22.81640625" customWidth="1"/>
    <col min="5" max="5" width="34.1796875" customWidth="1"/>
    <col min="6" max="6" width="19" customWidth="1"/>
    <col min="7" max="7" width="15.1796875" customWidth="1"/>
    <col min="8" max="8" width="17.453125" customWidth="1"/>
    <col min="9" max="12" width="28.54296875" customWidth="1"/>
    <col min="13" max="13" width="15" bestFit="1" customWidth="1"/>
    <col min="14" max="14" width="14.81640625" bestFit="1" customWidth="1"/>
    <col min="15" max="15" width="13.1796875" customWidth="1"/>
    <col min="16" max="16" width="31.453125" bestFit="1" customWidth="1"/>
    <col min="17" max="17" width="11.81640625" bestFit="1" customWidth="1"/>
    <col min="18" max="18" width="22.453125" bestFit="1" customWidth="1"/>
    <col min="19" max="30" width="13" customWidth="1"/>
  </cols>
  <sheetData>
    <row r="1" spans="1:17" ht="24" customHeight="1" x14ac:dyDescent="0.5">
      <c r="A1" s="61" t="s">
        <v>9</v>
      </c>
      <c r="B1" s="61"/>
      <c r="C1" s="61"/>
      <c r="D1" s="61"/>
      <c r="E1" s="61"/>
      <c r="F1" s="61"/>
      <c r="G1" s="61"/>
      <c r="H1" s="61"/>
      <c r="I1" s="61"/>
      <c r="J1" s="61"/>
      <c r="K1" s="61"/>
      <c r="L1" s="61"/>
      <c r="M1" s="61"/>
      <c r="N1" s="61"/>
      <c r="O1" s="61"/>
      <c r="P1" s="61"/>
      <c r="Q1" s="61"/>
    </row>
    <row r="2" spans="1:17" ht="16.5" customHeight="1" x14ac:dyDescent="0.35">
      <c r="A2" s="153" t="s">
        <v>10</v>
      </c>
      <c r="B2" s="62"/>
      <c r="C2" s="62"/>
      <c r="D2" s="62"/>
      <c r="E2" s="62"/>
      <c r="F2" s="62"/>
      <c r="G2" s="62"/>
      <c r="H2" s="62"/>
      <c r="I2" s="62"/>
      <c r="J2" s="62"/>
      <c r="K2" s="62"/>
      <c r="L2" s="62"/>
      <c r="M2" s="62"/>
      <c r="N2" s="62"/>
      <c r="O2" s="62"/>
      <c r="P2" s="62" t="s">
        <v>11</v>
      </c>
      <c r="Q2" s="62" t="str">
        <f>Scenarios!$B$4</f>
        <v>Base</v>
      </c>
    </row>
    <row r="3" spans="1:17" ht="15.65" customHeight="1" x14ac:dyDescent="0.35">
      <c r="A3" s="329"/>
      <c r="B3" s="63"/>
      <c r="C3" s="329"/>
      <c r="D3" s="329"/>
      <c r="E3" s="329"/>
      <c r="F3" s="329"/>
      <c r="G3" s="329"/>
      <c r="H3" s="329"/>
      <c r="I3" s="329"/>
      <c r="J3" s="329"/>
      <c r="K3" s="329"/>
      <c r="L3" s="329"/>
      <c r="M3" s="329"/>
      <c r="N3" s="329"/>
      <c r="O3" s="329"/>
      <c r="P3" s="19" t="s">
        <v>12</v>
      </c>
      <c r="Q3" s="19" t="str">
        <f>IF('Model Checks'!B24=0,"OK","FAIL")</f>
        <v>OK</v>
      </c>
    </row>
    <row r="4" spans="1:17" ht="15.65" customHeight="1" x14ac:dyDescent="0.35">
      <c r="A4" s="329"/>
      <c r="B4" s="329"/>
      <c r="C4" s="329"/>
      <c r="D4" s="329"/>
      <c r="E4" s="329"/>
      <c r="F4" s="329"/>
      <c r="G4" s="329"/>
      <c r="H4" s="329"/>
      <c r="I4" s="329"/>
      <c r="J4" s="329"/>
      <c r="K4" s="329"/>
      <c r="L4" s="329"/>
      <c r="M4" s="329"/>
      <c r="N4" s="329"/>
      <c r="O4" s="329"/>
      <c r="P4" s="329"/>
      <c r="Q4" s="329"/>
    </row>
    <row r="5" spans="1:17" ht="23.15" customHeight="1" x14ac:dyDescent="0.55000000000000004">
      <c r="A5" s="329" t="s">
        <v>13</v>
      </c>
      <c r="B5" s="232" t="s">
        <v>14</v>
      </c>
      <c r="C5" s="233"/>
      <c r="D5" s="233"/>
      <c r="E5" s="233"/>
      <c r="F5" s="233"/>
      <c r="G5" s="233"/>
      <c r="H5" s="233"/>
      <c r="I5" s="233"/>
      <c r="J5" s="233"/>
      <c r="K5" s="233"/>
      <c r="L5" s="233"/>
      <c r="M5" s="233"/>
      <c r="N5" s="233"/>
      <c r="O5" s="329"/>
      <c r="P5" s="329"/>
      <c r="Q5" s="329"/>
    </row>
    <row r="6" spans="1:17" x14ac:dyDescent="0.35">
      <c r="A6" s="329"/>
      <c r="B6" s="284" t="s">
        <v>15</v>
      </c>
      <c r="C6" s="285" t="str">
        <f>IFERROR(Cashflow!D$7,"")</f>
        <v>FY25</v>
      </c>
      <c r="D6" s="285" t="str">
        <f>IFERROR(Cashflow!E$7,"")</f>
        <v>FY26</v>
      </c>
      <c r="E6" s="285" t="str">
        <f>IFERROR(Cashflow!F$7,"")</f>
        <v>FY27</v>
      </c>
      <c r="F6" s="285" t="str">
        <f>IFERROR(Cashflow!G$7,"")</f>
        <v>FY28</v>
      </c>
      <c r="G6" s="285" t="str">
        <f>IFERROR(Cashflow!H$7,"")</f>
        <v>FY29</v>
      </c>
      <c r="H6" s="285" t="str">
        <f>IFERROR(Cashflow!I$7,"")</f>
        <v>FY30</v>
      </c>
      <c r="I6" s="285" t="str">
        <f>IFERROR(Cashflow!J$7,"")</f>
        <v>FY31</v>
      </c>
      <c r="J6" s="285" t="str">
        <f>IFERROR(Cashflow!K$7,"")</f>
        <v>FY32</v>
      </c>
      <c r="K6" s="285" t="str">
        <f>IFERROR(Cashflow!L$7,"")</f>
        <v>FY33</v>
      </c>
      <c r="L6" s="285" t="str">
        <f>IFERROR(Cashflow!M$7,"")</f>
        <v>FY34</v>
      </c>
      <c r="M6" s="285" t="str">
        <f>IFERROR(Cashflow!N$7,"")</f>
        <v>FY35</v>
      </c>
      <c r="N6" s="285" t="str">
        <f>IFERROR(Cashflow!O$7,"")</f>
        <v>FY36</v>
      </c>
      <c r="O6" s="329"/>
      <c r="P6" s="329"/>
      <c r="Q6" s="329"/>
    </row>
    <row r="7" spans="1:17" x14ac:dyDescent="0.35">
      <c r="A7" s="329"/>
      <c r="B7" s="234" t="s">
        <v>16</v>
      </c>
      <c r="C7" s="332">
        <f>IFERROR(Cashflow!D$47,"")</f>
        <v>0</v>
      </c>
      <c r="D7" s="332">
        <f>IFERROR(Cashflow!E$47,"")</f>
        <v>0</v>
      </c>
      <c r="E7" s="332">
        <f>IFERROR(Cashflow!F$47,"")</f>
        <v>0</v>
      </c>
      <c r="F7" s="332">
        <f>IFERROR(Cashflow!G$47,"")</f>
        <v>18192909.376900002</v>
      </c>
      <c r="G7" s="332">
        <f>IFERROR(Cashflow!H$47,"")</f>
        <v>19173294.981985252</v>
      </c>
      <c r="H7" s="332">
        <f>IFERROR(Cashflow!I$47,"")</f>
        <v>20282270.272967502</v>
      </c>
      <c r="I7" s="332">
        <f>IFERROR(Cashflow!J$47,"")</f>
        <v>20817158.552451402</v>
      </c>
      <c r="J7" s="332">
        <f>IFERROR(Cashflow!K$47,"")</f>
        <v>21296978.378726114</v>
      </c>
      <c r="K7" s="332">
        <f>IFERROR(Cashflow!L$47,"")</f>
        <v>21790858.176506594</v>
      </c>
      <c r="L7" s="332">
        <f>IFERROR(Cashflow!M$47,"")</f>
        <v>22299211.380105965</v>
      </c>
      <c r="M7" s="332">
        <f>IFERROR(Cashflow!N$47,"")</f>
        <v>22822463.617745914</v>
      </c>
      <c r="N7" s="332">
        <f>IFERROR(Cashflow!O$47,"")</f>
        <v>23361053.072145991</v>
      </c>
      <c r="O7" s="329"/>
      <c r="P7" s="329"/>
      <c r="Q7" s="329"/>
    </row>
    <row r="8" spans="1:17" x14ac:dyDescent="0.35">
      <c r="A8" s="329"/>
      <c r="B8" s="235" t="s">
        <v>17</v>
      </c>
      <c r="C8" s="333">
        <f>IFERROR(Cashflow!D$63,"")</f>
        <v>0</v>
      </c>
      <c r="D8" s="333">
        <f>IFERROR(Cashflow!E$63,"")</f>
        <v>0</v>
      </c>
      <c r="E8" s="333">
        <f>IFERROR(Cashflow!F$63,"")</f>
        <v>0</v>
      </c>
      <c r="F8" s="333">
        <f>IFERROR(Cashflow!G$63,"")</f>
        <v>13999302.1323661</v>
      </c>
      <c r="G8" s="333">
        <f>IFERROR(Cashflow!H$63,"")</f>
        <v>14401312.244882211</v>
      </c>
      <c r="H8" s="333">
        <f>IFERROR(Cashflow!I$63,"")</f>
        <v>15322989.91056283</v>
      </c>
      <c r="I8" s="333">
        <f>IFERROR(Cashflow!J$63,"")</f>
        <v>15770795.881999265</v>
      </c>
      <c r="J8" s="333">
        <f>IFERROR(Cashflow!K$63,"")</f>
        <v>16058922.470677335</v>
      </c>
      <c r="K8" s="333">
        <f>IFERROR(Cashflow!L$63,"")</f>
        <v>15923838.183258889</v>
      </c>
      <c r="L8" s="333">
        <f>IFERROR(Cashflow!M$63,"")</f>
        <v>16210473.304412302</v>
      </c>
      <c r="M8" s="333">
        <f>IFERROR(Cashflow!N$63,"")</f>
        <v>16547518.944046786</v>
      </c>
      <c r="N8" s="333">
        <f>IFERROR(Cashflow!O$63,"")</f>
        <v>16893777.659875534</v>
      </c>
      <c r="O8" s="329"/>
      <c r="P8" s="329"/>
      <c r="Q8" s="329"/>
    </row>
    <row r="9" spans="1:17" x14ac:dyDescent="0.35">
      <c r="A9" s="329"/>
      <c r="B9" s="234" t="s">
        <v>18</v>
      </c>
      <c r="C9" s="332">
        <f>IFERROR(Cashflow!D37,"")</f>
        <v>0</v>
      </c>
      <c r="D9" s="332">
        <f>IFERROR(Cashflow!E37,"")</f>
        <v>1707500.0000000005</v>
      </c>
      <c r="E9" s="332">
        <f>IFERROR(Cashflow!F37,"")</f>
        <v>16050500</v>
      </c>
      <c r="F9" s="332">
        <f>IFERROR(Cashflow!G37,"")</f>
        <v>-1231018.2583200522</v>
      </c>
      <c r="G9" s="332">
        <f>IFERROR(Cashflow!H37,"")</f>
        <v>-396007.98746345146</v>
      </c>
      <c r="H9" s="332">
        <f>IFERROR(Cashflow!I37,"")</f>
        <v>513409.16703961021</v>
      </c>
      <c r="I9" s="332">
        <f>IFERROR(Cashflow!J37,"")</f>
        <v>1533142.740869151</v>
      </c>
      <c r="J9" s="332">
        <f>IFERROR(Cashflow!K37,"")</f>
        <v>2307422.4119745474</v>
      </c>
      <c r="K9" s="332">
        <f>IFERROR(Cashflow!L37,"")</f>
        <v>3446826.6097444491</v>
      </c>
      <c r="L9" s="332">
        <f>IFERROR(Cashflow!M37,"")</f>
        <v>4589137.0217742641</v>
      </c>
      <c r="M9" s="332">
        <f>IFERROR(Cashflow!N37,"")</f>
        <v>5787287.4476973191</v>
      </c>
      <c r="N9" s="332">
        <f>IFERROR(Cashflow!O37,"")</f>
        <v>142197969.59933549</v>
      </c>
      <c r="O9" s="329"/>
      <c r="P9" s="329"/>
      <c r="Q9" s="329"/>
    </row>
    <row r="10" spans="1:17" x14ac:dyDescent="0.35">
      <c r="A10" s="329"/>
      <c r="B10" s="235" t="s">
        <v>19</v>
      </c>
      <c r="C10" s="333">
        <f>IFERROR(Debt!H48,0)</f>
        <v>0</v>
      </c>
      <c r="D10" s="333">
        <f>IFERROR(Debt!I48,0)</f>
        <v>0</v>
      </c>
      <c r="E10" s="333">
        <f>IFERROR(Debt!J48,0)</f>
        <v>9220500</v>
      </c>
      <c r="F10" s="333">
        <f>IFERROR(Debt!K48,0)</f>
        <v>8196000</v>
      </c>
      <c r="G10" s="333">
        <f>IFERROR(Debt!L48,0)</f>
        <v>7171500</v>
      </c>
      <c r="H10" s="333">
        <f>IFERROR(Debt!M48,0)</f>
        <v>6147000</v>
      </c>
      <c r="I10" s="333">
        <f>IFERROR(Debt!N48,0)</f>
        <v>5122500</v>
      </c>
      <c r="J10" s="333">
        <f>IFERROR(Debt!O48,0)</f>
        <v>4098000</v>
      </c>
      <c r="K10" s="333">
        <f>IFERROR(Debt!P48,0)</f>
        <v>3073500</v>
      </c>
      <c r="L10" s="333">
        <f>IFERROR(Debt!Q48,0)</f>
        <v>2049000</v>
      </c>
      <c r="M10" s="333">
        <f>IFERROR(Debt!R48,0)</f>
        <v>1024500</v>
      </c>
      <c r="N10" s="333">
        <f>IFERROR(Debt!S48,0)</f>
        <v>0</v>
      </c>
      <c r="O10" s="329"/>
      <c r="P10" s="329"/>
      <c r="Q10" s="329"/>
    </row>
    <row r="11" spans="1:17" x14ac:dyDescent="0.35">
      <c r="A11" s="329"/>
      <c r="B11" s="234" t="s">
        <v>20</v>
      </c>
      <c r="C11" s="334" t="str">
        <f>'P&amp;L'!H106</f>
        <v/>
      </c>
      <c r="D11" s="334" t="str">
        <f>'P&amp;L'!I106</f>
        <v/>
      </c>
      <c r="E11" s="334">
        <f>'P&amp;L'!J106</f>
        <v>0</v>
      </c>
      <c r="F11" s="335">
        <f>'P&amp;L'!K106</f>
        <v>8.3450465499454438</v>
      </c>
      <c r="G11" s="335">
        <f>'P&amp;L'!L106</f>
        <v>9.0195083848962394</v>
      </c>
      <c r="H11" s="335">
        <f>'P&amp;L'!M106</f>
        <v>10.100328347603568</v>
      </c>
      <c r="I11" s="335">
        <f>'P&amp;L'!N106</f>
        <v>10.972248693840013</v>
      </c>
      <c r="J11" s="334">
        <f>'P&amp;L'!O106</f>
        <v>11.831353916007705</v>
      </c>
      <c r="K11" s="334">
        <f>'P&amp;L'!P106</f>
        <v>12.475335031409392</v>
      </c>
      <c r="L11" s="334">
        <f>'P&amp;L'!Q106</f>
        <v>13.54844438914464</v>
      </c>
      <c r="M11" s="334">
        <f>'P&amp;L'!R106</f>
        <v>14.819047807642843</v>
      </c>
      <c r="N11" s="334">
        <f>'P&amp;L'!S106</f>
        <v>16.294063446820637</v>
      </c>
      <c r="O11" s="329"/>
      <c r="P11" s="329"/>
      <c r="Q11" s="329"/>
    </row>
    <row r="12" spans="1:17" x14ac:dyDescent="0.35">
      <c r="A12" s="329"/>
      <c r="B12" s="236" t="s">
        <v>21</v>
      </c>
      <c r="C12" s="336" t="str">
        <f>IFERROR(IF(Debt!H$57=0,"",Cashflow!D$63/Debt!H$57),"")</f>
        <v/>
      </c>
      <c r="D12" s="336" t="str">
        <f>IFERROR(IF(Debt!I$57=0,"",Cashflow!E$63/Debt!I$57),"")</f>
        <v/>
      </c>
      <c r="E12" s="336">
        <f>IFERROR(IF(Debt!J$57=0,"",Cashflow!F$63/Debt!J$57),"")</f>
        <v>0</v>
      </c>
      <c r="F12" s="336">
        <f>IFERROR(IF(Debt!K$57=0,"",Cashflow!G$63/Debt!K$57),"")</f>
        <v>20.094884351571931</v>
      </c>
      <c r="G12" s="336">
        <f>IFERROR(IF(Debt!L$57=0,"",Cashflow!H$63/Debt!L$57),"")</f>
        <v>23.42819626627983</v>
      </c>
      <c r="H12" s="336">
        <f>IFERROR(IF(Debt!M$57=0,"",Cashflow!I$63/Debt!M$57),"")</f>
        <v>28.762604479789072</v>
      </c>
      <c r="I12" s="336">
        <f>IFERROR(IF(Debt!N$57=0,"",Cashflow!J$63/Debt!N$57),"")</f>
        <v>34.985571413991892</v>
      </c>
      <c r="J12" s="336">
        <f>IFERROR(IF(Debt!O$57=0,"",Cashflow!K$63/Debt!O$57),"")</f>
        <v>43.541354781946033</v>
      </c>
      <c r="K12" s="336">
        <f>IFERROR(IF(Debt!P$57=0,"",Cashflow!L$63/Debt!P$57),"")</f>
        <v>55.51083519228505</v>
      </c>
      <c r="L12" s="336">
        <f>IFERROR(IF(Debt!Q$57=0,"",Cashflow!M$63/Debt!Q$57),"")</f>
        <v>79.114071763847249</v>
      </c>
      <c r="M12" s="336">
        <f>IFERROR(IF(Debt!R$57=0,"",Cashflow!N$63/Debt!R$57),"")</f>
        <v>134.59833206480224</v>
      </c>
      <c r="N12" s="336">
        <f>IFERROR(IF(Debt!S$57=0,"",Cashflow!O$63/Debt!S$57),"")</f>
        <v>412.24445241277539</v>
      </c>
      <c r="O12" s="329"/>
      <c r="P12" s="329"/>
      <c r="Q12" s="329"/>
    </row>
    <row r="13" spans="1:17" x14ac:dyDescent="0.35">
      <c r="A13" s="329"/>
      <c r="B13" s="237" t="s">
        <v>22</v>
      </c>
      <c r="C13" s="335" t="str">
        <f>IFERROR(IF(Cashflow!D$63=0,"",((Cashflow!D$70+Cashflow!D$71)-Cashflow!D$38)/Cashflow!D$63),"")</f>
        <v/>
      </c>
      <c r="D13" s="335" t="str">
        <f>IFERROR(IF(Cashflow!E$63=0,"",((Cashflow!E$70+Cashflow!E$71)-Cashflow!E$38)/Cashflow!E$63),"")</f>
        <v/>
      </c>
      <c r="E13" s="335" t="str">
        <f>IFERROR(IF(Cashflow!F$63=0,"",((Cashflow!F$70+Cashflow!F$71)-Cashflow!F$38)/Cashflow!F$63),"")</f>
        <v/>
      </c>
      <c r="F13" s="335">
        <f>IFERROR(IF(Cashflow!G$63=0,"",((Cashflow!G$70+Cashflow!G$71)-Cashflow!G$38)/Cashflow!G$63),"")</f>
        <v>0.58545775514416643</v>
      </c>
      <c r="G13" s="335">
        <f>IFERROR(IF(Cashflow!H$63=0,"",((Cashflow!H$70+Cashflow!H$71)-Cashflow!H$38)/Cashflow!H$63),"")</f>
        <v>0.49797545376800878</v>
      </c>
      <c r="H13" s="335">
        <f>IFERROR(IF(Cashflow!I$63=0,"",((Cashflow!I$70+Cashflow!I$71)-Cashflow!I$38)/Cashflow!I$63),"")</f>
        <v>0.40116191656320249</v>
      </c>
      <c r="I13" s="335">
        <f>IFERROR(IF(Cashflow!J$63=0,"",((Cashflow!J$70+Cashflow!J$71)-Cashflow!J$38)/Cashflow!J$63),"")</f>
        <v>0.32480922575675492</v>
      </c>
      <c r="J13" s="335">
        <f>IFERROR(IF(Cashflow!K$63=0,"",((Cashflow!K$70+Cashflow!K$71)-Cashflow!K$38)/Cashflow!K$63),"")</f>
        <v>0.2551852409451949</v>
      </c>
      <c r="K13" s="335">
        <f>IFERROR(IF(Cashflow!L$63=0,"",((Cashflow!L$70+Cashflow!L$71)-Cashflow!L$38)/Cashflow!L$63),"")</f>
        <v>0.19301251147045967</v>
      </c>
      <c r="L13" s="335">
        <f>IFERROR(IF(Cashflow!M$63=0,"",((Cashflow!M$70+Cashflow!M$71)-Cashflow!M$38)/Cashflow!M$63),"")</f>
        <v>0.12639976399962893</v>
      </c>
      <c r="M13" s="335">
        <f>IFERROR(IF(Cashflow!N$63=0,"",((Cashflow!N$70+Cashflow!N$71)-Cashflow!N$38)/Cashflow!N$63),"")</f>
        <v>6.1912604751456046E-2</v>
      </c>
      <c r="N13" s="335">
        <f>IFERROR(IF(Cashflow!O$63=0,"",((Cashflow!O$70+Cashflow!O$71)-Cashflow!O$38)/Cashflow!O$63),"")</f>
        <v>0</v>
      </c>
      <c r="O13" s="329"/>
      <c r="P13" s="329"/>
      <c r="Q13" s="329"/>
    </row>
    <row r="14" spans="1:17" x14ac:dyDescent="0.35">
      <c r="A14" s="329"/>
      <c r="B14" s="235"/>
      <c r="C14" s="337"/>
      <c r="D14" s="337"/>
      <c r="E14" s="337"/>
      <c r="F14" s="337"/>
      <c r="G14" s="337"/>
      <c r="H14" s="337"/>
      <c r="I14" s="337"/>
      <c r="J14" s="337"/>
      <c r="K14" s="337"/>
      <c r="L14" s="337"/>
      <c r="M14" s="337"/>
      <c r="N14" s="337"/>
      <c r="O14" s="329"/>
      <c r="P14" s="329"/>
      <c r="Q14" s="329"/>
    </row>
    <row r="15" spans="1:17" ht="21" customHeight="1" x14ac:dyDescent="0.5">
      <c r="A15" s="710" t="s">
        <v>9</v>
      </c>
      <c r="B15" s="704"/>
      <c r="C15" s="704"/>
      <c r="D15" s="704"/>
      <c r="E15" s="704"/>
      <c r="F15" s="704"/>
      <c r="G15" s="704"/>
      <c r="H15" s="704"/>
      <c r="I15" s="704"/>
      <c r="J15" s="704"/>
      <c r="K15" s="704"/>
      <c r="L15" s="704"/>
      <c r="M15" s="704"/>
      <c r="N15" s="704"/>
      <c r="O15" s="329"/>
      <c r="P15" s="329"/>
      <c r="Q15" s="329"/>
    </row>
    <row r="16" spans="1:17" ht="16" customHeight="1" x14ac:dyDescent="0.4">
      <c r="A16" s="254" t="s">
        <v>10</v>
      </c>
      <c r="B16" s="329"/>
      <c r="C16" s="329"/>
      <c r="D16" s="329"/>
      <c r="E16" s="329"/>
      <c r="F16" s="329"/>
      <c r="G16" s="329"/>
      <c r="H16" s="329"/>
      <c r="I16" s="329"/>
      <c r="J16" s="329"/>
      <c r="K16" s="329"/>
      <c r="L16" s="329"/>
      <c r="M16" s="329"/>
      <c r="N16" s="329"/>
      <c r="O16" s="329"/>
      <c r="P16" s="329" t="s">
        <v>11</v>
      </c>
      <c r="Q16" s="255" t="str">
        <f>Scenarios!B4</f>
        <v>Base</v>
      </c>
    </row>
    <row r="17" spans="2:17" x14ac:dyDescent="0.35">
      <c r="B17" s="329"/>
      <c r="C17" s="329"/>
      <c r="D17" s="329"/>
      <c r="E17" s="329"/>
      <c r="F17" s="329"/>
      <c r="G17" s="329"/>
      <c r="H17" s="329"/>
      <c r="I17" s="329"/>
      <c r="J17" s="329"/>
      <c r="K17" s="329"/>
      <c r="L17" s="329"/>
      <c r="M17" s="329"/>
      <c r="N17" s="329"/>
      <c r="O17" s="329"/>
      <c r="P17" s="329" t="s">
        <v>12</v>
      </c>
      <c r="Q17" s="329" t="str">
        <f>Q3</f>
        <v>OK</v>
      </c>
    </row>
    <row r="18" spans="2:17" x14ac:dyDescent="0.35">
      <c r="B18" s="329"/>
      <c r="C18" s="329"/>
      <c r="D18" s="329"/>
      <c r="E18" s="329"/>
      <c r="F18" s="329"/>
      <c r="G18" s="329"/>
      <c r="H18" s="329"/>
      <c r="I18" s="329"/>
      <c r="J18" s="329"/>
      <c r="K18" s="329"/>
      <c r="L18" s="329"/>
      <c r="M18" s="329"/>
      <c r="N18" s="329"/>
      <c r="O18" s="329"/>
      <c r="P18" s="329"/>
      <c r="Q18" s="329"/>
    </row>
    <row r="19" spans="2:17" x14ac:dyDescent="0.35">
      <c r="B19" s="244" t="s">
        <v>23</v>
      </c>
      <c r="C19" s="325"/>
      <c r="D19" s="325"/>
      <c r="E19" s="325"/>
      <c r="F19" s="325"/>
      <c r="G19" s="325"/>
      <c r="H19" s="325"/>
      <c r="I19" s="325"/>
      <c r="J19" s="325"/>
      <c r="K19" s="325"/>
      <c r="L19" s="325"/>
      <c r="M19" s="325"/>
      <c r="N19" s="324"/>
      <c r="O19" s="329"/>
      <c r="P19" s="329"/>
      <c r="Q19" s="329"/>
    </row>
    <row r="20" spans="2:17" x14ac:dyDescent="0.35">
      <c r="B20" s="245"/>
      <c r="C20" s="252" t="s">
        <v>24</v>
      </c>
      <c r="D20" s="252" t="s">
        <v>25</v>
      </c>
      <c r="E20" s="252" t="s">
        <v>26</v>
      </c>
      <c r="F20" s="252" t="s">
        <v>27</v>
      </c>
      <c r="G20" s="252" t="s">
        <v>28</v>
      </c>
      <c r="H20" s="252" t="s">
        <v>29</v>
      </c>
      <c r="I20" s="252" t="s">
        <v>30</v>
      </c>
      <c r="J20" s="252" t="s">
        <v>31</v>
      </c>
      <c r="K20" s="252" t="s">
        <v>32</v>
      </c>
      <c r="L20" s="252" t="s">
        <v>33</v>
      </c>
      <c r="M20" s="252" t="s">
        <v>34</v>
      </c>
      <c r="N20" s="253" t="s">
        <v>35</v>
      </c>
      <c r="O20" s="329"/>
      <c r="P20" s="329"/>
      <c r="Q20" s="329"/>
    </row>
    <row r="21" spans="2:17" x14ac:dyDescent="0.35">
      <c r="B21" s="256" t="s">
        <v>16</v>
      </c>
      <c r="C21" s="338">
        <f>'P&amp;L'!I28</f>
        <v>0</v>
      </c>
      <c r="D21" s="338">
        <f>'P&amp;L'!J28</f>
        <v>0</v>
      </c>
      <c r="E21" s="338">
        <f>'P&amp;L'!K28</f>
        <v>18192909.376900002</v>
      </c>
      <c r="F21" s="338">
        <f>'P&amp;L'!L28</f>
        <v>19173294.981985252</v>
      </c>
      <c r="G21" s="338">
        <f>'P&amp;L'!M28</f>
        <v>20282270.272967502</v>
      </c>
      <c r="H21" s="338">
        <f>'P&amp;L'!N28</f>
        <v>20817158.552451402</v>
      </c>
      <c r="I21" s="338">
        <f>'P&amp;L'!O28</f>
        <v>21296978.378726114</v>
      </c>
      <c r="J21" s="338">
        <f>'P&amp;L'!P28</f>
        <v>21790858.176506594</v>
      </c>
      <c r="K21" s="338">
        <f>'P&amp;L'!Q28</f>
        <v>22299211.380105965</v>
      </c>
      <c r="L21" s="338">
        <f>'P&amp;L'!R28</f>
        <v>22822463.617745914</v>
      </c>
      <c r="M21" s="338">
        <f>'P&amp;L'!S28</f>
        <v>23361053.072145991</v>
      </c>
      <c r="N21" s="339">
        <f>'P&amp;L'!S28</f>
        <v>23361053.072145991</v>
      </c>
      <c r="O21" s="329"/>
      <c r="P21" s="329"/>
      <c r="Q21" s="329"/>
    </row>
    <row r="22" spans="2:17" x14ac:dyDescent="0.35">
      <c r="B22" s="256" t="s">
        <v>17</v>
      </c>
      <c r="C22" s="338">
        <f>'P&amp;L'!I77</f>
        <v>0</v>
      </c>
      <c r="D22" s="338">
        <f>'P&amp;L'!J77</f>
        <v>0</v>
      </c>
      <c r="E22" s="338">
        <f>'P&amp;L'!K77</f>
        <v>13999302.1323661</v>
      </c>
      <c r="F22" s="338">
        <f>'P&amp;L'!L77</f>
        <v>14401312.244882211</v>
      </c>
      <c r="G22" s="338">
        <f>'P&amp;L'!M77</f>
        <v>15322989.91056283</v>
      </c>
      <c r="H22" s="338">
        <f>'P&amp;L'!N77</f>
        <v>15770795.881999265</v>
      </c>
      <c r="I22" s="338">
        <f>'P&amp;L'!O77</f>
        <v>16058922.470677335</v>
      </c>
      <c r="J22" s="338">
        <f>'P&amp;L'!P77</f>
        <v>15923838.183258889</v>
      </c>
      <c r="K22" s="338">
        <f>'P&amp;L'!Q77</f>
        <v>16210473.304412302</v>
      </c>
      <c r="L22" s="338">
        <f>'P&amp;L'!R77</f>
        <v>16547518.944046786</v>
      </c>
      <c r="M22" s="338">
        <f>'P&amp;L'!S77</f>
        <v>16893777.659875534</v>
      </c>
      <c r="N22" s="339">
        <f>'P&amp;L'!S77</f>
        <v>16893777.659875534</v>
      </c>
      <c r="O22" s="329"/>
      <c r="P22" s="329"/>
      <c r="Q22" s="329"/>
    </row>
    <row r="23" spans="2:17" x14ac:dyDescent="0.35">
      <c r="B23" s="256" t="s">
        <v>18</v>
      </c>
      <c r="C23" s="338">
        <f>'Balance Sheet'!G10</f>
        <v>1707500.0000000005</v>
      </c>
      <c r="D23" s="338">
        <f>'Balance Sheet'!H10</f>
        <v>16050500</v>
      </c>
      <c r="E23" s="338">
        <f>'Balance Sheet'!I10</f>
        <v>-1231018.2583200522</v>
      </c>
      <c r="F23" s="338">
        <f>'Balance Sheet'!J10</f>
        <v>-396007.98746345146</v>
      </c>
      <c r="G23" s="338">
        <f>'Balance Sheet'!K10</f>
        <v>513409.16703961021</v>
      </c>
      <c r="H23" s="338">
        <f>'Balance Sheet'!L10</f>
        <v>1533142.740869151</v>
      </c>
      <c r="I23" s="338">
        <f>'Balance Sheet'!M10</f>
        <v>2307422.4119745474</v>
      </c>
      <c r="J23" s="338">
        <f>'Balance Sheet'!N10</f>
        <v>3446826.6097444491</v>
      </c>
      <c r="K23" s="338">
        <f>'Balance Sheet'!O10</f>
        <v>4589137.0217742641</v>
      </c>
      <c r="L23" s="338">
        <f>'Balance Sheet'!P10</f>
        <v>5787287.4476973191</v>
      </c>
      <c r="M23" s="338">
        <f>'Balance Sheet'!Q10</f>
        <v>142197969.59933549</v>
      </c>
      <c r="N23" s="339">
        <f>'Balance Sheet'!Q10</f>
        <v>142197969.59933549</v>
      </c>
      <c r="O23" s="329"/>
      <c r="P23" s="329"/>
      <c r="Q23" s="329"/>
    </row>
    <row r="24" spans="2:17" x14ac:dyDescent="0.35">
      <c r="B24" s="257" t="s">
        <v>19</v>
      </c>
      <c r="C24" s="340">
        <f>Debt!I24+Debt!I43</f>
        <v>0</v>
      </c>
      <c r="D24" s="340">
        <f>Debt!J24+Debt!J43</f>
        <v>9220500</v>
      </c>
      <c r="E24" s="340">
        <f>Debt!K24+Debt!K43</f>
        <v>8196000</v>
      </c>
      <c r="F24" s="340">
        <f>Debt!L24+Debt!L43</f>
        <v>7171500</v>
      </c>
      <c r="G24" s="340">
        <f>Debt!M24+Debt!M43</f>
        <v>6147000</v>
      </c>
      <c r="H24" s="340">
        <f>Debt!N24+Debt!N43</f>
        <v>5122500</v>
      </c>
      <c r="I24" s="340">
        <f>Debt!O24+Debt!O43</f>
        <v>4098000</v>
      </c>
      <c r="J24" s="340">
        <f>Debt!P24+Debt!P43</f>
        <v>3073500</v>
      </c>
      <c r="K24" s="340">
        <f>Debt!Q24+Debt!Q43</f>
        <v>2049000</v>
      </c>
      <c r="L24" s="340">
        <f>Debt!R24+Debt!R43</f>
        <v>1024500</v>
      </c>
      <c r="M24" s="340">
        <f>Debt!S24+Debt!S43</f>
        <v>0</v>
      </c>
      <c r="N24" s="341">
        <f>Debt!S24+Debt!S43</f>
        <v>0</v>
      </c>
      <c r="O24" s="329"/>
      <c r="P24" s="329"/>
      <c r="Q24" s="329"/>
    </row>
    <row r="25" spans="2:17" x14ac:dyDescent="0.35">
      <c r="B25" s="329"/>
      <c r="C25" s="329"/>
      <c r="D25" s="329"/>
      <c r="E25" s="329"/>
      <c r="F25" s="329"/>
      <c r="G25" s="329"/>
      <c r="H25" s="329"/>
      <c r="I25" s="329"/>
      <c r="J25" s="329"/>
      <c r="K25" s="329"/>
      <c r="L25" s="329"/>
      <c r="M25" s="329"/>
      <c r="N25" s="329"/>
      <c r="O25" s="329"/>
      <c r="P25" s="329"/>
      <c r="Q25" s="329"/>
    </row>
    <row r="26" spans="2:17" x14ac:dyDescent="0.35">
      <c r="B26" s="329"/>
      <c r="C26" s="329"/>
      <c r="D26" s="329"/>
      <c r="E26" s="329"/>
      <c r="F26" s="329"/>
      <c r="G26" s="329"/>
      <c r="H26" s="329"/>
      <c r="I26" s="329"/>
      <c r="J26" s="329"/>
      <c r="K26" s="329"/>
      <c r="L26" s="329"/>
      <c r="M26" s="329"/>
      <c r="N26" s="329"/>
      <c r="O26" s="329"/>
      <c r="P26" s="329"/>
      <c r="Q26" s="329"/>
    </row>
    <row r="27" spans="2:17" ht="14.5" customHeight="1" x14ac:dyDescent="0.35">
      <c r="B27" s="709" t="s">
        <v>36</v>
      </c>
      <c r="C27" s="707"/>
      <c r="D27" s="329"/>
      <c r="E27" s="709" t="s">
        <v>37</v>
      </c>
      <c r="F27" s="707"/>
      <c r="G27" s="329"/>
      <c r="H27" s="329"/>
      <c r="I27" s="329"/>
      <c r="J27" s="329"/>
      <c r="K27" s="329"/>
      <c r="L27" s="329"/>
      <c r="M27" s="329"/>
      <c r="N27" s="329"/>
      <c r="O27" s="329"/>
      <c r="P27" s="329"/>
      <c r="Q27" s="329"/>
    </row>
    <row r="28" spans="2:17" x14ac:dyDescent="0.35">
      <c r="B28" s="247" t="s">
        <v>38</v>
      </c>
      <c r="C28" s="248" t="s">
        <v>39</v>
      </c>
      <c r="D28" s="329"/>
      <c r="E28" s="247" t="s">
        <v>38</v>
      </c>
      <c r="F28" s="248" t="s">
        <v>39</v>
      </c>
      <c r="G28" s="329"/>
      <c r="H28" s="329"/>
      <c r="I28" s="329"/>
      <c r="J28" s="329"/>
      <c r="K28" s="329"/>
      <c r="L28" s="329"/>
      <c r="M28" s="329"/>
      <c r="N28" s="329"/>
      <c r="O28" s="329"/>
      <c r="P28" s="329"/>
      <c r="Q28" s="329"/>
    </row>
    <row r="29" spans="2:17" x14ac:dyDescent="0.35">
      <c r="B29" s="256" t="s">
        <v>40</v>
      </c>
      <c r="C29" s="342">
        <f>Inputs!E54</f>
        <v>10245000</v>
      </c>
      <c r="D29" s="329"/>
      <c r="E29" s="256" t="s">
        <v>41</v>
      </c>
      <c r="F29" s="342">
        <f>Inputs!E113</f>
        <v>17075000</v>
      </c>
      <c r="G29" s="329"/>
      <c r="H29" s="329"/>
      <c r="I29" s="329"/>
      <c r="J29" s="329"/>
      <c r="K29" s="329"/>
      <c r="L29" s="329"/>
      <c r="M29" s="329"/>
      <c r="N29" s="329"/>
      <c r="O29" s="329"/>
      <c r="P29" s="329"/>
      <c r="Q29" s="329"/>
    </row>
    <row r="30" spans="2:17" x14ac:dyDescent="0.35">
      <c r="B30" s="256" t="s">
        <v>42</v>
      </c>
      <c r="C30" s="342">
        <f>Inputs!E54</f>
        <v>10245000</v>
      </c>
      <c r="D30" s="329"/>
      <c r="E30" s="256" t="s">
        <v>43</v>
      </c>
      <c r="F30" s="342">
        <f>Inputs!E75</f>
        <v>7610000</v>
      </c>
      <c r="G30" s="329"/>
      <c r="H30" s="329"/>
      <c r="I30" s="329"/>
      <c r="J30" s="329"/>
      <c r="K30" s="329"/>
      <c r="L30" s="329"/>
      <c r="M30" s="329"/>
      <c r="N30" s="329"/>
      <c r="O30" s="329"/>
      <c r="P30" s="329"/>
      <c r="Q30" s="329"/>
    </row>
    <row r="31" spans="2:17" x14ac:dyDescent="0.35">
      <c r="B31" s="256" t="s">
        <v>44</v>
      </c>
      <c r="C31" s="342">
        <f>Inputs!E73</f>
        <v>5122500</v>
      </c>
      <c r="D31" s="329"/>
      <c r="E31" s="256" t="s">
        <v>19</v>
      </c>
      <c r="F31" s="342">
        <f>Inputs!E54</f>
        <v>10245000</v>
      </c>
      <c r="G31" s="329"/>
      <c r="H31" s="329"/>
      <c r="I31" s="329"/>
      <c r="J31" s="329"/>
      <c r="K31" s="329"/>
      <c r="L31" s="329"/>
      <c r="M31" s="329"/>
      <c r="N31" s="329"/>
      <c r="O31" s="329"/>
      <c r="P31" s="329"/>
      <c r="Q31" s="329"/>
    </row>
    <row r="32" spans="2:17" x14ac:dyDescent="0.35">
      <c r="B32" s="256" t="s">
        <v>45</v>
      </c>
      <c r="C32" s="343">
        <f>Inputs!E52</f>
        <v>10</v>
      </c>
      <c r="D32" s="329"/>
      <c r="E32" s="256" t="s">
        <v>46</v>
      </c>
      <c r="F32" s="344">
        <f>IF(Inputs!E75&gt;0,Inputs!E54/Inputs!E75,0)</f>
        <v>1.3462549277266753</v>
      </c>
      <c r="G32" s="329"/>
      <c r="H32" s="329"/>
      <c r="I32" s="329"/>
      <c r="J32" s="329"/>
      <c r="K32" s="329"/>
      <c r="L32" s="329"/>
      <c r="M32" s="329"/>
      <c r="N32" s="329"/>
      <c r="O32" s="329"/>
      <c r="P32" s="329"/>
      <c r="Q32" s="329"/>
    </row>
    <row r="33" spans="2:6" x14ac:dyDescent="0.35">
      <c r="B33" s="256" t="s">
        <v>47</v>
      </c>
      <c r="C33" s="343" t="str">
        <f>Inputs!E86</f>
        <v>FY27</v>
      </c>
      <c r="D33" s="329"/>
      <c r="E33" s="256" t="s">
        <v>48</v>
      </c>
      <c r="F33" s="344">
        <f>Valuations!C20</f>
        <v>0.754637883243928</v>
      </c>
    </row>
    <row r="34" spans="2:6" x14ac:dyDescent="0.35">
      <c r="B34" s="256" t="s">
        <v>49</v>
      </c>
      <c r="C34" s="258">
        <f>Inputs!E51</f>
        <v>0.08</v>
      </c>
      <c r="D34" s="329"/>
      <c r="E34" s="256" t="s">
        <v>50</v>
      </c>
      <c r="F34" s="344">
        <f>Valuations!C22</f>
        <v>0.36201055642999869</v>
      </c>
    </row>
    <row r="35" spans="2:6" x14ac:dyDescent="0.35">
      <c r="B35" s="256" t="s">
        <v>51</v>
      </c>
      <c r="C35" s="258" t="str">
        <f>IF(Inputs!E88=0,"OFF","ON")</f>
        <v>OFF</v>
      </c>
      <c r="D35" s="329"/>
      <c r="E35" s="256" t="s">
        <v>52</v>
      </c>
      <c r="F35" s="345">
        <f>Valuations!C24</f>
        <v>21.96871912931644</v>
      </c>
    </row>
    <row r="36" spans="2:6" x14ac:dyDescent="0.35">
      <c r="B36" s="257" t="s">
        <v>53</v>
      </c>
      <c r="C36" s="346">
        <f>(Inputs!E54+Inputs!E63)/Inputs!E113</f>
        <v>0.6</v>
      </c>
      <c r="D36" s="329"/>
      <c r="E36" s="257" t="s">
        <v>54</v>
      </c>
      <c r="F36" s="259" t="str">
        <f>Valuations!C25</f>
        <v>FY29</v>
      </c>
    </row>
    <row r="37" spans="2:6" x14ac:dyDescent="0.35">
      <c r="B37" s="329"/>
      <c r="C37" s="329"/>
      <c r="D37" s="329"/>
      <c r="E37" s="329"/>
      <c r="F37" s="329"/>
    </row>
    <row r="38" spans="2:6" x14ac:dyDescent="0.35">
      <c r="B38" s="329"/>
      <c r="C38" s="329"/>
      <c r="D38" s="329"/>
      <c r="E38" s="329"/>
      <c r="F38" s="329"/>
    </row>
    <row r="39" spans="2:6" ht="14.5" customHeight="1" x14ac:dyDescent="0.35">
      <c r="B39" s="705" t="s">
        <v>55</v>
      </c>
      <c r="C39" s="706"/>
      <c r="D39" s="707"/>
      <c r="E39" s="714"/>
      <c r="F39" s="706"/>
    </row>
    <row r="40" spans="2:6" x14ac:dyDescent="0.35">
      <c r="B40" s="250" t="s">
        <v>38</v>
      </c>
      <c r="C40" s="249" t="s">
        <v>39</v>
      </c>
      <c r="D40" s="251" t="s">
        <v>56</v>
      </c>
      <c r="E40" s="329"/>
      <c r="F40" s="329"/>
    </row>
    <row r="41" spans="2:6" x14ac:dyDescent="0.35">
      <c r="B41" s="256" t="s">
        <v>57</v>
      </c>
      <c r="C41" s="347">
        <f>Valuations!C9</f>
        <v>0.1</v>
      </c>
      <c r="D41" s="327" t="s">
        <v>58</v>
      </c>
      <c r="E41" s="329"/>
      <c r="F41" s="329"/>
    </row>
    <row r="42" spans="2:6" x14ac:dyDescent="0.35">
      <c r="B42" s="256" t="s">
        <v>59</v>
      </c>
      <c r="C42" s="348">
        <f>Valuations!C15</f>
        <v>8</v>
      </c>
      <c r="D42" s="327" t="s">
        <v>60</v>
      </c>
      <c r="E42" s="329"/>
      <c r="F42" s="329"/>
    </row>
    <row r="43" spans="2:6" x14ac:dyDescent="0.35">
      <c r="B43" s="256" t="s">
        <v>61</v>
      </c>
      <c r="C43" s="349">
        <f>Valuations!C72</f>
        <v>16893777.659875534</v>
      </c>
      <c r="D43" s="327" t="s">
        <v>62</v>
      </c>
      <c r="E43" s="329"/>
      <c r="F43" s="329"/>
    </row>
    <row r="44" spans="2:6" x14ac:dyDescent="0.35">
      <c r="B44" s="256" t="s">
        <v>63</v>
      </c>
      <c r="C44" s="349">
        <f>Valuations!C74</f>
        <v>135150221.27900428</v>
      </c>
      <c r="D44" s="327" t="s">
        <v>64</v>
      </c>
      <c r="E44" s="329"/>
      <c r="F44" s="329"/>
    </row>
    <row r="45" spans="2:6" x14ac:dyDescent="0.35">
      <c r="B45" s="256" t="s">
        <v>65</v>
      </c>
      <c r="C45" s="349">
        <f>Valuations!C91</f>
        <v>92246991.982150912</v>
      </c>
      <c r="D45" s="327" t="s">
        <v>66</v>
      </c>
      <c r="E45" s="329"/>
      <c r="F45" s="329"/>
    </row>
    <row r="46" spans="2:6" x14ac:dyDescent="0.35">
      <c r="B46" s="256" t="s">
        <v>67</v>
      </c>
      <c r="C46" s="349">
        <f>Valuations!C93+Valuations!C94</f>
        <v>6830000</v>
      </c>
      <c r="D46" s="327" t="s">
        <v>68</v>
      </c>
      <c r="E46" s="329"/>
      <c r="F46" s="329"/>
    </row>
    <row r="47" spans="2:6" x14ac:dyDescent="0.35">
      <c r="B47" s="257" t="s">
        <v>69</v>
      </c>
      <c r="C47" s="350">
        <f>Valuations!C23</f>
        <v>99076991.982150912</v>
      </c>
      <c r="D47" s="259" t="s">
        <v>70</v>
      </c>
      <c r="E47" s="329"/>
      <c r="F47" s="329"/>
    </row>
    <row r="50" spans="2:6" ht="14.5" customHeight="1" x14ac:dyDescent="0.35">
      <c r="B50" s="705" t="s">
        <v>71</v>
      </c>
      <c r="C50" s="706"/>
      <c r="D50" s="707"/>
      <c r="E50" s="326"/>
      <c r="F50" s="326"/>
    </row>
    <row r="51" spans="2:6" x14ac:dyDescent="0.35">
      <c r="B51" s="247" t="s">
        <v>38</v>
      </c>
      <c r="C51" s="246" t="s">
        <v>39</v>
      </c>
      <c r="D51" s="248" t="s">
        <v>72</v>
      </c>
      <c r="E51" s="329"/>
      <c r="F51" s="329"/>
    </row>
    <row r="52" spans="2:6" x14ac:dyDescent="0.35">
      <c r="B52" s="256" t="s">
        <v>48</v>
      </c>
      <c r="C52" s="347">
        <f>Valuations!C20</f>
        <v>0.754637883243928</v>
      </c>
      <c r="D52" s="327" t="s">
        <v>73</v>
      </c>
      <c r="E52" s="329"/>
      <c r="F52" s="329"/>
    </row>
    <row r="53" spans="2:6" x14ac:dyDescent="0.35">
      <c r="B53" s="256" t="s">
        <v>50</v>
      </c>
      <c r="C53" s="347">
        <f>Valuations!C22</f>
        <v>0.36201055642999869</v>
      </c>
      <c r="D53" s="327" t="s">
        <v>74</v>
      </c>
      <c r="E53" s="329"/>
      <c r="F53" s="329"/>
    </row>
    <row r="54" spans="2:6" x14ac:dyDescent="0.35">
      <c r="B54" s="256" t="s">
        <v>75</v>
      </c>
      <c r="C54" s="349">
        <f>Valuations!C21</f>
        <v>92246991.982150912</v>
      </c>
      <c r="D54" s="327" t="s">
        <v>76</v>
      </c>
      <c r="E54" s="329"/>
      <c r="F54" s="329"/>
    </row>
    <row r="55" spans="2:6" x14ac:dyDescent="0.35">
      <c r="B55" s="256" t="s">
        <v>77</v>
      </c>
      <c r="C55" s="349">
        <f>Valuations!C23</f>
        <v>99076991.982150912</v>
      </c>
      <c r="D55" s="327" t="s">
        <v>78</v>
      </c>
      <c r="E55" s="329"/>
      <c r="F55" s="329"/>
    </row>
    <row r="56" spans="2:6" x14ac:dyDescent="0.35">
      <c r="B56" s="256" t="s">
        <v>52</v>
      </c>
      <c r="C56" s="351">
        <f>Valuations!C24</f>
        <v>21.96871912931644</v>
      </c>
      <c r="D56" s="327" t="s">
        <v>79</v>
      </c>
      <c r="E56" s="329"/>
      <c r="F56" s="329"/>
    </row>
    <row r="57" spans="2:6" x14ac:dyDescent="0.35">
      <c r="B57" s="257" t="s">
        <v>80</v>
      </c>
      <c r="C57" s="352">
        <f>Valuations!C26</f>
        <v>0.81987128154413469</v>
      </c>
      <c r="D57" s="259" t="s">
        <v>81</v>
      </c>
      <c r="E57" s="329"/>
      <c r="F57" s="329"/>
    </row>
    <row r="58" spans="2:6" x14ac:dyDescent="0.35">
      <c r="B58" s="329"/>
      <c r="C58" s="347"/>
      <c r="D58" s="329"/>
      <c r="E58" s="329"/>
      <c r="F58" s="329"/>
    </row>
    <row r="59" spans="2:6" x14ac:dyDescent="0.35">
      <c r="B59" s="329"/>
      <c r="C59" s="329"/>
      <c r="D59" s="329"/>
      <c r="E59" s="329"/>
      <c r="F59" s="329"/>
    </row>
    <row r="60" spans="2:6" x14ac:dyDescent="0.35">
      <c r="B60" s="329"/>
      <c r="C60" s="329"/>
      <c r="D60" s="329"/>
      <c r="E60" s="329"/>
      <c r="F60" s="329"/>
    </row>
    <row r="61" spans="2:6" ht="14.5" customHeight="1" x14ac:dyDescent="0.35">
      <c r="B61" s="711"/>
      <c r="C61" s="704"/>
      <c r="D61" s="329"/>
      <c r="E61" s="711"/>
      <c r="F61" s="704"/>
    </row>
    <row r="62" spans="2:6" x14ac:dyDescent="0.35">
      <c r="B62" s="330"/>
      <c r="C62" s="330"/>
      <c r="D62" s="329"/>
      <c r="E62" s="330"/>
      <c r="F62" s="330"/>
    </row>
    <row r="63" spans="2:6" x14ac:dyDescent="0.35">
      <c r="B63" s="329"/>
      <c r="C63" s="260"/>
      <c r="D63" s="329"/>
      <c r="E63" s="329"/>
      <c r="F63" s="349"/>
    </row>
    <row r="64" spans="2:6" ht="14.5" customHeight="1" x14ac:dyDescent="0.35">
      <c r="B64" s="238" t="s">
        <v>36</v>
      </c>
      <c r="C64" s="238"/>
      <c r="D64" s="337"/>
      <c r="E64" s="238" t="s">
        <v>37</v>
      </c>
      <c r="F64" s="238" t="s">
        <v>39</v>
      </c>
    </row>
    <row r="65" spans="2:6" ht="14.5" customHeight="1" x14ac:dyDescent="0.35">
      <c r="B65" s="286" t="s">
        <v>38</v>
      </c>
      <c r="C65" s="286" t="s">
        <v>39</v>
      </c>
      <c r="D65" s="337"/>
      <c r="E65" s="286" t="s">
        <v>38</v>
      </c>
      <c r="F65" s="286" t="s">
        <v>39</v>
      </c>
    </row>
    <row r="66" spans="2:6" ht="14.5" customHeight="1" x14ac:dyDescent="0.35">
      <c r="B66" s="287" t="s">
        <v>40</v>
      </c>
      <c r="C66" s="353">
        <f>Debt!C5+Debt!D5</f>
        <v>10245000</v>
      </c>
      <c r="D66" s="337"/>
      <c r="E66" s="287" t="s">
        <v>41</v>
      </c>
      <c r="F66" s="353">
        <f>Inputs!E113</f>
        <v>17075000</v>
      </c>
    </row>
    <row r="67" spans="2:6" ht="14.5" customHeight="1" x14ac:dyDescent="0.35">
      <c r="B67" s="287" t="s">
        <v>42</v>
      </c>
      <c r="C67" s="353">
        <f>Debt!C5</f>
        <v>10245000</v>
      </c>
      <c r="D67" s="337"/>
      <c r="E67" s="287" t="s">
        <v>82</v>
      </c>
      <c r="F67" s="353">
        <f>SUM(Cashflow!D13:O13)</f>
        <v>2487500.0000000005</v>
      </c>
    </row>
    <row r="68" spans="2:6" ht="14.5" customHeight="1" x14ac:dyDescent="0.35">
      <c r="B68" s="287" t="s">
        <v>83</v>
      </c>
      <c r="C68" s="353">
        <f>Debt!D5</f>
        <v>0</v>
      </c>
      <c r="D68" s="337"/>
      <c r="E68" s="287" t="s">
        <v>19</v>
      </c>
      <c r="F68" s="353">
        <f>Debt!C5+Debt!D5</f>
        <v>10245000</v>
      </c>
    </row>
    <row r="69" spans="2:6" ht="14.5" customHeight="1" x14ac:dyDescent="0.35">
      <c r="B69" s="287" t="s">
        <v>45</v>
      </c>
      <c r="C69" s="354">
        <f>Debt!C6</f>
        <v>10</v>
      </c>
      <c r="D69" s="337"/>
      <c r="E69" s="287" t="s">
        <v>46</v>
      </c>
      <c r="F69" s="355">
        <f>F68/F67</f>
        <v>4.1185929648241197</v>
      </c>
    </row>
    <row r="70" spans="2:6" x14ac:dyDescent="0.35">
      <c r="B70" s="287" t="s">
        <v>84</v>
      </c>
      <c r="C70" s="354">
        <f>Debt!D6</f>
        <v>10</v>
      </c>
      <c r="D70" s="337"/>
      <c r="E70" s="287" t="s">
        <v>48</v>
      </c>
      <c r="F70" s="356">
        <f>Valuations!C109</f>
        <v>0.754637883243928</v>
      </c>
    </row>
    <row r="71" spans="2:6" ht="14.5" customHeight="1" x14ac:dyDescent="0.35">
      <c r="B71" s="287" t="s">
        <v>49</v>
      </c>
      <c r="C71" s="288">
        <f>Debt!C7</f>
        <v>0.08</v>
      </c>
      <c r="D71" s="337"/>
      <c r="E71" s="287" t="s">
        <v>50</v>
      </c>
      <c r="F71" s="356">
        <f>Valuations!C123</f>
        <v>0.36201055642999869</v>
      </c>
    </row>
    <row r="72" spans="2:6" x14ac:dyDescent="0.35">
      <c r="B72" s="287" t="s">
        <v>85</v>
      </c>
      <c r="C72" s="288">
        <f>Debt!D7</f>
        <v>0.12</v>
      </c>
      <c r="D72" s="337"/>
      <c r="E72" s="287" t="s">
        <v>52</v>
      </c>
      <c r="F72" s="357">
        <f>Valuations!C127</f>
        <v>21.96871912931644</v>
      </c>
    </row>
    <row r="73" spans="2:6" ht="14.5" customHeight="1" x14ac:dyDescent="0.35">
      <c r="B73" s="287" t="s">
        <v>86</v>
      </c>
      <c r="C73" s="289" t="s">
        <v>31</v>
      </c>
      <c r="D73" s="337"/>
      <c r="E73" s="287" t="s">
        <v>54</v>
      </c>
      <c r="F73" s="289" t="s">
        <v>33</v>
      </c>
    </row>
    <row r="74" spans="2:6" x14ac:dyDescent="0.35">
      <c r="B74" s="337" t="s">
        <v>53</v>
      </c>
      <c r="C74" s="337">
        <f>C66/Inputs!E113</f>
        <v>0.6</v>
      </c>
      <c r="D74" s="337"/>
      <c r="E74" s="290"/>
      <c r="F74" s="290"/>
    </row>
    <row r="75" spans="2:6" ht="14.5" customHeight="1" x14ac:dyDescent="0.35">
      <c r="B75" s="238" t="s">
        <v>87</v>
      </c>
      <c r="C75" s="238"/>
      <c r="D75" s="337"/>
      <c r="E75" s="238" t="s">
        <v>88</v>
      </c>
      <c r="F75" s="238"/>
    </row>
    <row r="76" spans="2:6" ht="14.5" customHeight="1" x14ac:dyDescent="0.35">
      <c r="B76" s="286" t="s">
        <v>89</v>
      </c>
      <c r="C76" s="286" t="s">
        <v>90</v>
      </c>
      <c r="D76" s="337"/>
      <c r="E76" s="286" t="s">
        <v>38</v>
      </c>
      <c r="F76" s="286" t="s">
        <v>39</v>
      </c>
    </row>
    <row r="77" spans="2:6" ht="14.5" customHeight="1" x14ac:dyDescent="0.35">
      <c r="B77" s="287" t="s">
        <v>91</v>
      </c>
      <c r="C77" s="353">
        <f>'Revenue Assumptions'!D5</f>
        <v>5000</v>
      </c>
      <c r="D77" s="337"/>
      <c r="E77" s="287" t="s">
        <v>92</v>
      </c>
      <c r="F77" s="353">
        <f>'P&amp;L'!S28</f>
        <v>23361053.072145991</v>
      </c>
    </row>
    <row r="78" spans="2:6" ht="14.5" customHeight="1" x14ac:dyDescent="0.35">
      <c r="B78" s="287" t="s">
        <v>93</v>
      </c>
      <c r="C78" s="353">
        <f>'Revenue Assumptions'!D6</f>
        <v>3000</v>
      </c>
      <c r="D78" s="337"/>
      <c r="E78" s="287" t="s">
        <v>94</v>
      </c>
      <c r="F78" s="353">
        <f>'P&amp;L'!S41</f>
        <v>23262556.832554996</v>
      </c>
    </row>
    <row r="79" spans="2:6" ht="14.5" customHeight="1" x14ac:dyDescent="0.35">
      <c r="B79" s="287" t="s">
        <v>95</v>
      </c>
      <c r="C79" s="353">
        <f>'Revenue Assumptions'!D7</f>
        <v>1500</v>
      </c>
      <c r="D79" s="337"/>
      <c r="E79" s="287" t="s">
        <v>96</v>
      </c>
      <c r="F79" s="355">
        <f>'P&amp;L'!S42</f>
        <v>0.99578374145691084</v>
      </c>
    </row>
    <row r="80" spans="2:6" ht="14.5" customHeight="1" x14ac:dyDescent="0.35">
      <c r="B80" s="287" t="s">
        <v>97</v>
      </c>
      <c r="C80" s="291">
        <f>'Revenue Assumptions'!D8</f>
        <v>3500</v>
      </c>
      <c r="D80" s="337"/>
      <c r="E80" s="287" t="s">
        <v>17</v>
      </c>
      <c r="F80" s="353">
        <f>'P&amp;L'!S77</f>
        <v>16893777.659875534</v>
      </c>
    </row>
    <row r="81" spans="2:6" ht="14.5" customHeight="1" x14ac:dyDescent="0.35">
      <c r="B81" s="287" t="s">
        <v>98</v>
      </c>
      <c r="C81" s="291">
        <f>'Revenue Assumptions'!D9</f>
        <v>3500</v>
      </c>
      <c r="D81" s="337"/>
      <c r="E81" s="287" t="s">
        <v>99</v>
      </c>
      <c r="F81" s="355">
        <f>'P&amp;L'!S78</f>
        <v>0.72315993665621336</v>
      </c>
    </row>
    <row r="82" spans="2:6" ht="14.5" customHeight="1" x14ac:dyDescent="0.35">
      <c r="B82" s="287" t="s">
        <v>100</v>
      </c>
      <c r="C82" s="292">
        <f>'Revenue Assumptions'!D12</f>
        <v>3500</v>
      </c>
      <c r="D82" s="337"/>
      <c r="E82" s="287" t="s">
        <v>101</v>
      </c>
      <c r="F82" s="353">
        <f>'P&amp;L'!S93</f>
        <v>11796958.361912875</v>
      </c>
    </row>
    <row r="83" spans="2:6" ht="14.5" customHeight="1" x14ac:dyDescent="0.35">
      <c r="B83" s="287" t="s">
        <v>102</v>
      </c>
      <c r="C83" s="353">
        <f>'Revenue Assumptions'!D13</f>
        <v>2000</v>
      </c>
      <c r="D83" s="337"/>
      <c r="E83" s="287" t="s">
        <v>103</v>
      </c>
      <c r="F83" s="355">
        <f>IF(F77=0,0,F82/F77)</f>
        <v>0.50498401443977303</v>
      </c>
    </row>
    <row r="84" spans="2:6" x14ac:dyDescent="0.35">
      <c r="B84" s="287" t="s">
        <v>104</v>
      </c>
      <c r="C84" s="355">
        <f>MAX(C77:C83)</f>
        <v>5000</v>
      </c>
      <c r="D84" s="337"/>
      <c r="E84" s="287"/>
      <c r="F84" s="355"/>
    </row>
    <row r="85" spans="2:6" ht="14.5" customHeight="1" x14ac:dyDescent="0.35">
      <c r="B85" s="290"/>
      <c r="C85" s="290"/>
      <c r="D85" s="337"/>
      <c r="E85" s="290"/>
      <c r="F85" s="290"/>
    </row>
    <row r="86" spans="2:6" ht="15.65" customHeight="1" x14ac:dyDescent="0.35">
      <c r="B86" s="238" t="s">
        <v>105</v>
      </c>
      <c r="C86" s="238"/>
      <c r="D86" s="337"/>
      <c r="E86" s="238" t="s">
        <v>106</v>
      </c>
      <c r="F86" s="238"/>
    </row>
    <row r="87" spans="2:6" ht="14.5" customHeight="1" x14ac:dyDescent="0.35">
      <c r="B87" s="286" t="s">
        <v>107</v>
      </c>
      <c r="C87" s="286" t="s">
        <v>108</v>
      </c>
      <c r="D87" s="337"/>
      <c r="E87" s="286" t="s">
        <v>109</v>
      </c>
      <c r="F87" s="286" t="s">
        <v>39</v>
      </c>
    </row>
    <row r="88" spans="2:6" x14ac:dyDescent="0.35">
      <c r="B88" s="287" t="s">
        <v>110</v>
      </c>
      <c r="C88" s="358">
        <f>Inputs!E9</f>
        <v>45715</v>
      </c>
      <c r="D88" s="337"/>
      <c r="E88" s="287" t="s">
        <v>111</v>
      </c>
      <c r="F88" s="353">
        <f>IFERROR(INDEX('P&amp;L'!$H$14:$S$14, MATCH(Inputs!$E$266,'P&amp;L'!$H$6:$S$6,0)),0)</f>
        <v>7499918.3628077153</v>
      </c>
    </row>
    <row r="89" spans="2:6" ht="14.5" customHeight="1" x14ac:dyDescent="0.35">
      <c r="B89" s="287" t="s">
        <v>112</v>
      </c>
      <c r="C89" s="358">
        <f>Inputs!E14</f>
        <v>46174</v>
      </c>
      <c r="D89" s="337"/>
      <c r="E89" s="287" t="s">
        <v>113</v>
      </c>
      <c r="F89" s="353">
        <f>IFERROR(INDEX('P&amp;L'!$H$15:$S$15, MATCH(Inputs!$E$266,'P&amp;L'!$H$6:$S$6,0)),0)</f>
        <v>1024083.8526579784</v>
      </c>
    </row>
    <row r="90" spans="2:6" ht="14.5" customHeight="1" x14ac:dyDescent="0.35">
      <c r="B90" s="287" t="s">
        <v>114</v>
      </c>
      <c r="C90" s="358">
        <f>Inputs!E18</f>
        <v>46420</v>
      </c>
      <c r="D90" s="337"/>
      <c r="E90" s="287" t="s">
        <v>115</v>
      </c>
      <c r="F90" s="353">
        <f>IFERROR(INDEX('P&amp;L'!$H$16:$S$16, MATCH(Inputs!$E$266,'P&amp;L'!$H$6:$S$6,0)),0)</f>
        <v>142788.35577582745</v>
      </c>
    </row>
    <row r="91" spans="2:6" ht="14.5" customHeight="1" x14ac:dyDescent="0.35">
      <c r="B91" s="287" t="s">
        <v>116</v>
      </c>
      <c r="C91" s="358">
        <f>Inputs!E19</f>
        <v>46568</v>
      </c>
      <c r="D91" s="337"/>
      <c r="E91" s="287" t="s">
        <v>117</v>
      </c>
      <c r="F91" s="355">
        <f>IFERROR(INDEX('P&amp;L'!$H$17:$S$17, MATCH(Inputs!$E$266,'P&amp;L'!$H$6:$S$6,0)),0)</f>
        <v>138629.4716270169</v>
      </c>
    </row>
    <row r="92" spans="2:6" ht="14.5" customHeight="1" x14ac:dyDescent="0.35">
      <c r="B92" s="287" t="s">
        <v>118</v>
      </c>
      <c r="C92" s="358">
        <f>Inputs!E22</f>
        <v>46569</v>
      </c>
      <c r="D92" s="337"/>
      <c r="E92" s="287" t="s">
        <v>119</v>
      </c>
      <c r="F92" s="355">
        <f>IFERROR(INDEX('P&amp;L'!$H$18:$S$18, MATCH(Inputs!$E$266,'P&amp;L'!$H$6:$S$6,0)),0)</f>
        <v>7152098.02715436</v>
      </c>
    </row>
    <row r="93" spans="2:6" ht="14.5" customHeight="1" x14ac:dyDescent="0.35">
      <c r="B93" s="287" t="s">
        <v>120</v>
      </c>
      <c r="C93" s="358">
        <f>Inputs!E10</f>
        <v>50099</v>
      </c>
      <c r="D93" s="337"/>
      <c r="E93" s="287" t="s">
        <v>121</v>
      </c>
      <c r="F93" s="292">
        <f>IFERROR(INDEX('P&amp;L'!$H$20:$S$20, MATCH(Inputs!$E$266,'P&amp;L'!$H$6:$S$6,0)),0)</f>
        <v>2548000</v>
      </c>
    </row>
    <row r="94" spans="2:6" ht="14.5" customHeight="1" x14ac:dyDescent="0.35">
      <c r="B94" s="287" t="s">
        <v>122</v>
      </c>
      <c r="C94" s="353" t="str">
        <f>Valuations!C13</f>
        <v>FY36</v>
      </c>
      <c r="D94" s="337"/>
      <c r="E94" s="287" t="s">
        <v>123</v>
      </c>
      <c r="F94" s="353">
        <f>IFERROR(INDEX('P&amp;L'!$H$24:$S$24, MATCH(Inputs!$E$266,'P&amp;L'!$H$6:$S$6,0)),0)</f>
        <v>2310396.4944031811</v>
      </c>
    </row>
    <row r="95" spans="2:6" x14ac:dyDescent="0.35">
      <c r="B95" s="287" t="s">
        <v>124</v>
      </c>
      <c r="C95" s="355" t="str">
        <f>"12 years"</f>
        <v>12 years</v>
      </c>
      <c r="D95" s="337"/>
      <c r="E95" s="287" t="s">
        <v>125</v>
      </c>
      <c r="F95" s="355">
        <f>IFERROR(INDEX('P&amp;L'!$H$25:$S$25, MATCH(Inputs!$E$266,'P&amp;L'!$H$6:$S$6,0)),0)</f>
        <v>718096.2077199074</v>
      </c>
    </row>
    <row r="97" spans="2:7" ht="15.65" customHeight="1" x14ac:dyDescent="0.35">
      <c r="B97" s="238" t="s">
        <v>126</v>
      </c>
      <c r="C97" s="238"/>
      <c r="D97" s="337"/>
      <c r="E97" s="238" t="s">
        <v>127</v>
      </c>
      <c r="F97" s="238"/>
      <c r="G97" s="329"/>
    </row>
    <row r="98" spans="2:7" ht="14.5" customHeight="1" x14ac:dyDescent="0.35">
      <c r="B98" s="286" t="s">
        <v>128</v>
      </c>
      <c r="C98" s="286" t="s">
        <v>39</v>
      </c>
      <c r="D98" s="337"/>
      <c r="E98" s="286" t="s">
        <v>129</v>
      </c>
      <c r="F98" s="286" t="s">
        <v>130</v>
      </c>
      <c r="G98" s="329"/>
    </row>
    <row r="99" spans="2:7" ht="14.5" customHeight="1" x14ac:dyDescent="0.35">
      <c r="B99" s="287" t="s">
        <v>131</v>
      </c>
      <c r="C99" s="353">
        <f>IFERROR(INDEX('P&amp;L'!$H$68:$S$68, MATCH(Inputs!$E$266,'P&amp;L'!$H$6:$S$6,0)),0)</f>
        <v>2831589.4795171032</v>
      </c>
      <c r="D99" s="337"/>
      <c r="E99" s="287" t="s">
        <v>132</v>
      </c>
      <c r="F99" s="353">
        <f>IFERROR((INDEX('Calendar Assumptions'!$F$5:$P$5,MATCH(Inputs!$E$266,'Calendar Assumptions'!$F$4:$P$4,0))+INDEX('Calendar Assumptions'!$F$6:$P$6,MATCH(Inputs!$E$266,'Calendar Assumptions'!$F$4:$P$4,0))+INDEX('Calendar Assumptions'!$F$7:$P$7,MATCH(Inputs!$E$266,'Calendar Assumptions'!$F$4:$P$4,0))),0)</f>
        <v>52</v>
      </c>
      <c r="G99" s="329"/>
    </row>
    <row r="100" spans="2:7" x14ac:dyDescent="0.35">
      <c r="B100" s="287" t="s">
        <v>133</v>
      </c>
      <c r="C100" s="353">
        <f>IFERROR(INDEX('P&amp;L'!$H$45:$S$45, MATCH(Inputs!$E$266,'P&amp;L'!$H$6:$S$6,0)),0)</f>
        <v>350000</v>
      </c>
      <c r="D100" s="337"/>
      <c r="E100" s="287" t="s">
        <v>134</v>
      </c>
      <c r="F100" s="353">
        <f>IFERROR(INDEX('Calendar Assumptions'!$F$8:$P$8, MATCH(Inputs!$E$266,'Calendar Assumptions'!$F$4:$P$4,0)),0)</f>
        <v>18</v>
      </c>
      <c r="G100" s="329"/>
    </row>
    <row r="101" spans="2:7" s="166" customFormat="1" x14ac:dyDescent="0.35">
      <c r="B101" s="287" t="s">
        <v>135</v>
      </c>
      <c r="C101" s="353">
        <f>IFERROR(INDEX('P&amp;L'!$H$46:$S$46, MATCH(Inputs!$E$266,'P&amp;L'!$H$6:$S$6,0)),0)</f>
        <v>260954.6367658489</v>
      </c>
      <c r="D101" s="337"/>
      <c r="E101" s="287" t="s">
        <v>136</v>
      </c>
      <c r="F101" s="353">
        <f>IFERROR(INDEX('Calendar Assumptions'!$F$9:$P$9, MATCH(Inputs!$E$266,'Calendar Assumptions'!$F$4:$P$4,0)),0)</f>
        <v>15</v>
      </c>
      <c r="G101" s="329"/>
    </row>
    <row r="102" spans="2:7" s="166" customFormat="1" x14ac:dyDescent="0.35">
      <c r="B102" s="287" t="s">
        <v>137</v>
      </c>
      <c r="C102" s="355">
        <v>0</v>
      </c>
      <c r="D102" s="337"/>
      <c r="E102" s="287" t="s">
        <v>138</v>
      </c>
      <c r="F102" s="355">
        <f>IFERROR(INDEX('Calendar Assumptions'!$F$10:$P$10, MATCH(Inputs!$E$266,'Calendar Assumptions'!$F$4:$P$4,0)),0)</f>
        <v>15</v>
      </c>
      <c r="G102" s="329"/>
    </row>
    <row r="103" spans="2:7" s="166" customFormat="1" x14ac:dyDescent="0.35">
      <c r="B103" s="287" t="s">
        <v>139</v>
      </c>
      <c r="C103" s="355">
        <f>IFERROR(INDEX('P&amp;L'!$H$48:$S$48, MATCH(Inputs!$E$266,'P&amp;L'!$H$6:$S$6,0)),0)</f>
        <v>65238.659191462226</v>
      </c>
      <c r="D103" s="337"/>
      <c r="E103" s="287" t="s">
        <v>140</v>
      </c>
      <c r="F103" s="355">
        <f>IFERROR(INDEX('Calendar Assumptions'!$F$11:$P$11, MATCH(Inputs!$E$266,'Calendar Assumptions'!$F$4:$P$4,0)),0)</f>
        <v>3</v>
      </c>
      <c r="G103" s="329"/>
    </row>
    <row r="104" spans="2:7" s="166" customFormat="1" x14ac:dyDescent="0.35">
      <c r="B104" s="287" t="s">
        <v>141</v>
      </c>
      <c r="C104" s="292">
        <f>IFERROR((INDEX('P&amp;L'!$H$61:$S$61, MATCH(Inputs!$E$266,'P&amp;L'!$H$6:$S$6,0))+INDEX('P&amp;L'!$H$62:$S$62, MATCH(Inputs!$E$266,'P&amp;L'!$H$6:$S$6,0))+INDEX('P&amp;L'!$H$63:$S$63, MATCH(Inputs!$E$266,'P&amp;L'!$H$6:$S$6,0))+INDEX('P&amp;L'!$H$64:$S$64, MATCH(Inputs!$E$266,'P&amp;L'!$H$6:$S$6,0))+INDEX('P&amp;L'!$H$65:$S$65, MATCH(Inputs!$E$266,'P&amp;L'!$H$6:$S$6,0))+INDEX('P&amp;L'!$H$66:$S$66, MATCH(Inputs!$E$266,'P&amp;L'!$H$6:$S$6,0))),0)</f>
        <v>596519.65713910363</v>
      </c>
      <c r="D104" s="337"/>
      <c r="E104" s="287" t="s">
        <v>142</v>
      </c>
      <c r="F104" s="292">
        <f>IFERROR(INDEX('Calendar Assumptions'!$F$12:$P$12, MATCH(Inputs!$E$266,'Calendar Assumptions'!$F$4:$P$4,0)),0)</f>
        <v>29</v>
      </c>
      <c r="G104" s="329"/>
    </row>
    <row r="105" spans="2:7" s="166" customFormat="1" x14ac:dyDescent="0.35">
      <c r="B105" s="287" t="s">
        <v>143</v>
      </c>
      <c r="C105" s="353">
        <v>0</v>
      </c>
      <c r="D105" s="337"/>
      <c r="E105" s="287" t="s">
        <v>102</v>
      </c>
      <c r="F105" s="353">
        <f>IFERROR(INDEX('Calendar Assumptions'!$F$13:$P$13, MATCH(Inputs!$E$266,'Calendar Assumptions'!$F$4:$P$4,0)),0)</f>
        <v>12</v>
      </c>
      <c r="G105" s="329"/>
    </row>
    <row r="106" spans="2:7" s="166" customFormat="1" x14ac:dyDescent="0.35">
      <c r="B106" s="290"/>
      <c r="C106" s="290"/>
      <c r="D106" s="337"/>
      <c r="E106" s="287" t="s">
        <v>144</v>
      </c>
      <c r="F106" s="355">
        <f>IFERROR(INDEX('Calendar Assumptions'!$F$14:$P$14, MATCH(Inputs!$E$266,'Calendar Assumptions'!$F$4:$P$4,0)),0)</f>
        <v>10</v>
      </c>
      <c r="G106" s="329"/>
    </row>
    <row r="107" spans="2:7" s="166" customFormat="1" x14ac:dyDescent="0.35">
      <c r="B107" s="329"/>
      <c r="C107" s="329"/>
      <c r="D107" s="329"/>
      <c r="E107" s="329"/>
      <c r="F107" s="329"/>
      <c r="G107" s="329"/>
    </row>
    <row r="108" spans="2:7" ht="14.5" customHeight="1" x14ac:dyDescent="0.35">
      <c r="B108" s="705" t="s">
        <v>145</v>
      </c>
      <c r="C108" s="707"/>
      <c r="D108" s="329"/>
      <c r="E108" s="705" t="s">
        <v>146</v>
      </c>
      <c r="F108" s="706"/>
      <c r="G108" s="707"/>
    </row>
    <row r="109" spans="2:7" x14ac:dyDescent="0.35">
      <c r="B109" s="247" t="s">
        <v>38</v>
      </c>
      <c r="C109" s="248" t="s">
        <v>39</v>
      </c>
      <c r="D109" s="329"/>
      <c r="E109" s="247" t="s">
        <v>38</v>
      </c>
      <c r="F109" s="246" t="s">
        <v>39</v>
      </c>
      <c r="G109" s="248" t="s">
        <v>147</v>
      </c>
    </row>
    <row r="110" spans="2:7" ht="14.5" customHeight="1" x14ac:dyDescent="0.35">
      <c r="B110" s="256" t="s">
        <v>148</v>
      </c>
      <c r="C110" s="359">
        <f>AVERAGE('P&amp;L'!K106,'P&amp;L'!L106,'P&amp;L'!M106,'P&amp;L'!N106)</f>
        <v>9.6092829940713163</v>
      </c>
      <c r="D110" s="329"/>
      <c r="E110" s="256" t="s">
        <v>149</v>
      </c>
      <c r="F110" s="260">
        <f>'Calendar Assumptions'!N16</f>
        <v>180</v>
      </c>
      <c r="G110" s="327" t="s">
        <v>150</v>
      </c>
    </row>
    <row r="111" spans="2:7" ht="14.5" customHeight="1" x14ac:dyDescent="0.35">
      <c r="B111" s="256" t="s">
        <v>151</v>
      </c>
      <c r="C111" s="359">
        <f>MIN('P&amp;L'!K106,'P&amp;L'!L106,'P&amp;L'!M106,'P&amp;L'!N106)</f>
        <v>8.3450465499454438</v>
      </c>
      <c r="D111" s="329"/>
      <c r="E111" s="256" t="s">
        <v>92</v>
      </c>
      <c r="F111" s="349">
        <f>'P&amp;L'!S28</f>
        <v>23361053.072145991</v>
      </c>
      <c r="G111" s="327" t="s">
        <v>152</v>
      </c>
    </row>
    <row r="112" spans="2:7" ht="14.5" customHeight="1" x14ac:dyDescent="0.35">
      <c r="B112" s="256" t="s">
        <v>153</v>
      </c>
      <c r="C112" s="359">
        <f>AVERAGE('P&amp;L'!K77/'P&amp;L'!K85,'P&amp;L'!L77/'P&amp;L'!L85,'P&amp;L'!M77/'P&amp;L'!M85,'P&amp;L'!N77/'P&amp;L'!N85)</f>
        <v>26.817814127908182</v>
      </c>
      <c r="D112" s="329"/>
      <c r="E112" s="256" t="s">
        <v>154</v>
      </c>
      <c r="F112" s="349">
        <f>F111/F110</f>
        <v>129783.62817858884</v>
      </c>
      <c r="G112" s="327" t="s">
        <v>155</v>
      </c>
    </row>
    <row r="113" spans="1:14" ht="14.5" customHeight="1" x14ac:dyDescent="0.35">
      <c r="A113" s="329"/>
      <c r="B113" s="257" t="s">
        <v>156</v>
      </c>
      <c r="C113" s="360">
        <f>MIN('P&amp;L'!K77/'P&amp;L'!K85,'P&amp;L'!L77/'P&amp;L'!L85,'P&amp;L'!M77/'P&amp;L'!M85,'P&amp;L'!N77/'P&amp;L'!N85)</f>
        <v>20.094884351571931</v>
      </c>
      <c r="D113" s="329"/>
      <c r="E113" s="256" t="s">
        <v>157</v>
      </c>
      <c r="F113" s="349">
        <f>'P&amp;L'!S77/F110</f>
        <v>93854.320332641859</v>
      </c>
      <c r="G113" s="327" t="s">
        <v>155</v>
      </c>
      <c r="H113" s="329"/>
      <c r="I113" s="329"/>
      <c r="J113" s="329"/>
      <c r="K113" s="329"/>
      <c r="L113" s="329"/>
      <c r="M113" s="329"/>
      <c r="N113" s="329"/>
    </row>
    <row r="114" spans="1:14" x14ac:dyDescent="0.35">
      <c r="A114" s="329"/>
      <c r="B114" s="329"/>
      <c r="C114" s="329"/>
      <c r="D114" s="329"/>
      <c r="E114" s="257" t="s">
        <v>80</v>
      </c>
      <c r="F114" s="352">
        <f>Valuations!C26</f>
        <v>0.81987128154413469</v>
      </c>
      <c r="G114" s="259" t="s">
        <v>158</v>
      </c>
      <c r="H114" s="329"/>
      <c r="I114" s="329"/>
      <c r="J114" s="329"/>
      <c r="K114" s="329"/>
      <c r="L114" s="329"/>
      <c r="M114" s="329"/>
      <c r="N114" s="329"/>
    </row>
    <row r="115" spans="1:14" x14ac:dyDescent="0.35">
      <c r="A115" s="329"/>
      <c r="B115" s="329"/>
      <c r="C115" s="329"/>
      <c r="D115" s="329"/>
      <c r="E115" s="329"/>
      <c r="F115" s="329"/>
      <c r="G115" s="329"/>
      <c r="H115" s="329"/>
      <c r="I115" s="329"/>
      <c r="J115" s="329"/>
      <c r="K115" s="329"/>
      <c r="L115" s="329"/>
      <c r="M115" s="329"/>
      <c r="N115" s="329"/>
    </row>
    <row r="116" spans="1:14" x14ac:dyDescent="0.35">
      <c r="A116" s="329"/>
      <c r="B116" s="329"/>
      <c r="C116" s="329"/>
      <c r="D116" s="329"/>
      <c r="E116" s="329"/>
      <c r="F116" s="329"/>
      <c r="G116" s="329"/>
      <c r="H116" s="329"/>
      <c r="I116" s="329"/>
      <c r="J116" s="329"/>
      <c r="K116" s="329"/>
      <c r="L116" s="329"/>
      <c r="M116" s="329"/>
      <c r="N116" s="329"/>
    </row>
    <row r="117" spans="1:14" x14ac:dyDescent="0.35">
      <c r="A117" s="329"/>
      <c r="B117" s="329"/>
      <c r="C117" s="329"/>
      <c r="D117" s="329"/>
      <c r="E117" s="329"/>
      <c r="F117" s="329"/>
      <c r="G117" s="329"/>
      <c r="H117" s="329"/>
      <c r="I117" s="329"/>
      <c r="J117" s="329"/>
      <c r="K117" s="329"/>
      <c r="L117" s="329"/>
      <c r="M117" s="329"/>
      <c r="N117" s="329"/>
    </row>
    <row r="118" spans="1:14" ht="14.5" customHeight="1" x14ac:dyDescent="0.35">
      <c r="A118" s="329"/>
      <c r="B118" s="708" t="s">
        <v>159</v>
      </c>
      <c r="C118" s="706"/>
      <c r="D118" s="706"/>
      <c r="E118" s="706"/>
      <c r="F118" s="706"/>
      <c r="G118" s="707"/>
      <c r="H118" s="329"/>
      <c r="I118" s="329"/>
      <c r="J118" s="329"/>
      <c r="K118" s="329"/>
      <c r="L118" s="329"/>
      <c r="M118" s="329"/>
      <c r="N118" s="329"/>
    </row>
    <row r="119" spans="1:14" x14ac:dyDescent="0.35">
      <c r="A119" s="329"/>
      <c r="B119" s="712" t="s">
        <v>160</v>
      </c>
      <c r="C119" s="704"/>
      <c r="D119" s="704"/>
      <c r="E119" s="704"/>
      <c r="F119" s="704"/>
      <c r="G119" s="713"/>
      <c r="H119" s="281"/>
      <c r="I119" s="329"/>
      <c r="J119" s="329"/>
      <c r="K119" s="329"/>
      <c r="L119" s="329"/>
      <c r="M119" s="329"/>
      <c r="N119" s="329"/>
    </row>
    <row r="120" spans="1:14" x14ac:dyDescent="0.35">
      <c r="A120" s="329"/>
      <c r="B120" s="247" t="s">
        <v>161</v>
      </c>
      <c r="C120" s="279" t="s">
        <v>162</v>
      </c>
      <c r="D120" s="279" t="s">
        <v>163</v>
      </c>
      <c r="E120" s="279" t="s">
        <v>164</v>
      </c>
      <c r="F120" s="279" t="s">
        <v>165</v>
      </c>
      <c r="G120" s="280" t="s">
        <v>166</v>
      </c>
      <c r="H120" s="282"/>
      <c r="I120" s="329"/>
      <c r="J120" s="329"/>
      <c r="K120" s="329"/>
      <c r="L120" s="329"/>
      <c r="M120" s="329"/>
      <c r="N120" s="329"/>
    </row>
    <row r="121" spans="1:14" x14ac:dyDescent="0.35">
      <c r="A121" s="329"/>
      <c r="B121" s="261">
        <v>0.08</v>
      </c>
      <c r="C121" s="361">
        <f>Valuations!$C$72*6/(1+0.08)^10</f>
        <v>46950526.807229184</v>
      </c>
      <c r="D121" s="361">
        <f>Valuations!$C$72*7/(1+0.08)^10</f>
        <v>54775614.608434044</v>
      </c>
      <c r="E121" s="361">
        <f>Valuations!$C$72*8/(1+0.08)^10</f>
        <v>62600702.409638904</v>
      </c>
      <c r="F121" s="361">
        <f>Valuations!$C$72*9/(1+0.08)^10</f>
        <v>70425790.210843772</v>
      </c>
      <c r="G121" s="362">
        <f>Valuations!$C$72*10/(1+0.08)^10</f>
        <v>78250878.012048647</v>
      </c>
      <c r="H121" s="281"/>
      <c r="I121" s="329"/>
      <c r="J121" s="329"/>
      <c r="K121" s="329"/>
      <c r="L121" s="329"/>
      <c r="M121" s="329"/>
      <c r="N121" s="329"/>
    </row>
    <row r="122" spans="1:14" x14ac:dyDescent="0.35">
      <c r="A122" s="329"/>
      <c r="B122" s="261">
        <v>0.09</v>
      </c>
      <c r="C122" s="361">
        <f>Valuations!$C$72*6/(1+0.09)^10</f>
        <v>42816685.516946331</v>
      </c>
      <c r="D122" s="361">
        <f>Valuations!$C$72*7/(1+0.09)^10</f>
        <v>49952799.769770712</v>
      </c>
      <c r="E122" s="361">
        <f>Valuations!$C$72*8/(1+0.09)^10</f>
        <v>57088914.0225951</v>
      </c>
      <c r="F122" s="361">
        <f>Valuations!$C$72*9/(1+0.09)^10</f>
        <v>64225028.275419496</v>
      </c>
      <c r="G122" s="362">
        <f>Valuations!$C$72*10/(1+0.09)^10</f>
        <v>71361142.528243884</v>
      </c>
      <c r="H122" s="329"/>
      <c r="I122" s="329"/>
      <c r="J122" s="329"/>
      <c r="K122" s="329"/>
      <c r="L122" s="329"/>
      <c r="M122" s="329"/>
      <c r="N122" s="329"/>
    </row>
    <row r="123" spans="1:14" x14ac:dyDescent="0.35">
      <c r="A123" s="329"/>
      <c r="B123" s="261">
        <v>0.1</v>
      </c>
      <c r="C123" s="361">
        <f>Valuations!$C$72*6/(1+0.1)^10</f>
        <v>39079695.659277275</v>
      </c>
      <c r="D123" s="363">
        <f>Valuations!$C$72*7/(1+0.1)^10</f>
        <v>45592978.269156821</v>
      </c>
      <c r="E123" s="363">
        <f>Valuations!$C$72*8/(1+0.1)^10</f>
        <v>52106260.879036367</v>
      </c>
      <c r="F123" s="361">
        <f>Valuations!$C$72*9/(1+0.1)^10</f>
        <v>58619543.48891592</v>
      </c>
      <c r="G123" s="362">
        <f>Valuations!$C$72*10/(1+0.1)^10</f>
        <v>65132826.098795466</v>
      </c>
      <c r="H123" s="329"/>
      <c r="I123" s="329"/>
      <c r="J123" s="329"/>
      <c r="K123" s="329"/>
      <c r="L123" s="329"/>
      <c r="M123" s="329"/>
      <c r="N123" s="329"/>
    </row>
    <row r="124" spans="1:14" x14ac:dyDescent="0.35">
      <c r="A124" s="329"/>
      <c r="B124" s="261">
        <v>0.11</v>
      </c>
      <c r="C124" s="361">
        <f>Valuations!$C$72*6/(1+0.11)^10</f>
        <v>35698357.678049989</v>
      </c>
      <c r="D124" s="361">
        <f>Valuations!$C$72*7/(1+0.11)^10</f>
        <v>41648083.957724988</v>
      </c>
      <c r="E124" s="361">
        <f>Valuations!$C$72*8/(1+0.11)^10</f>
        <v>47597810.237399988</v>
      </c>
      <c r="F124" s="361">
        <f>Valuations!$C$72*9/(1+0.11)^10</f>
        <v>53547536.517074987</v>
      </c>
      <c r="G124" s="362">
        <f>Valuations!$C$72*10/(1+0.11)^10</f>
        <v>59497262.796749987</v>
      </c>
      <c r="H124" s="329"/>
      <c r="I124" s="329"/>
      <c r="J124" s="329"/>
      <c r="K124" s="329"/>
      <c r="L124" s="329"/>
      <c r="M124" s="329"/>
      <c r="N124" s="329"/>
    </row>
    <row r="125" spans="1:14" x14ac:dyDescent="0.35">
      <c r="A125" s="329"/>
      <c r="B125" s="262">
        <v>0.12</v>
      </c>
      <c r="C125" s="364">
        <f>Valuations!$C$72*6/(1+0.12)^10</f>
        <v>32636065.62836232</v>
      </c>
      <c r="D125" s="364">
        <f>Valuations!$C$72*7/(1+0.12)^10</f>
        <v>38075409.899756037</v>
      </c>
      <c r="E125" s="364">
        <f>Valuations!$C$72*8/(1+0.12)^10</f>
        <v>43514754.17114976</v>
      </c>
      <c r="F125" s="364">
        <f>Valuations!$C$72*9/(1+0.12)^10</f>
        <v>48954098.442543484</v>
      </c>
      <c r="G125" s="365">
        <f>Valuations!$C$72*10/(1+0.12)^10</f>
        <v>54393442.713937208</v>
      </c>
      <c r="H125" s="329"/>
      <c r="I125" s="329"/>
      <c r="J125" s="329"/>
      <c r="K125" s="329"/>
      <c r="L125" s="329"/>
      <c r="M125" s="329"/>
      <c r="N125" s="329"/>
    </row>
    <row r="126" spans="1:14" x14ac:dyDescent="0.35">
      <c r="A126" s="329"/>
      <c r="B126" s="329"/>
      <c r="C126" s="329"/>
      <c r="D126" s="329"/>
      <c r="E126" s="329"/>
      <c r="F126" s="329"/>
      <c r="G126" s="329"/>
      <c r="H126" s="329"/>
      <c r="I126" s="329"/>
      <c r="J126" s="329"/>
      <c r="K126" s="329"/>
      <c r="L126" s="329"/>
      <c r="M126" s="329"/>
      <c r="N126" s="329"/>
    </row>
    <row r="127" spans="1:14" ht="14.5" customHeight="1" x14ac:dyDescent="0.35">
      <c r="A127" s="703" t="s">
        <v>167</v>
      </c>
      <c r="B127" s="704"/>
      <c r="C127" s="704"/>
      <c r="D127" s="704"/>
      <c r="E127" s="704"/>
      <c r="F127" s="704"/>
      <c r="G127" s="704"/>
      <c r="H127" s="704"/>
      <c r="I127" s="704"/>
      <c r="J127" s="704"/>
      <c r="K127" s="704"/>
      <c r="L127" s="704"/>
      <c r="M127" s="704"/>
      <c r="N127" s="704"/>
    </row>
  </sheetData>
  <mergeCells count="13">
    <mergeCell ref="A127:N127"/>
    <mergeCell ref="B50:D50"/>
    <mergeCell ref="B118:G118"/>
    <mergeCell ref="E27:F27"/>
    <mergeCell ref="A15:N15"/>
    <mergeCell ref="B61:C61"/>
    <mergeCell ref="B119:G119"/>
    <mergeCell ref="B108:C108"/>
    <mergeCell ref="E61:F61"/>
    <mergeCell ref="B27:C27"/>
    <mergeCell ref="B39:D39"/>
    <mergeCell ref="E108:G108"/>
    <mergeCell ref="E39:F39"/>
  </mergeCells>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tint="0.499984740745262"/>
  </sheetPr>
  <dimension ref="B1:O182"/>
  <sheetViews>
    <sheetView workbookViewId="0">
      <pane xSplit="1" ySplit="4" topLeftCell="B148" activePane="bottomRight" state="frozen"/>
      <selection pane="topRight"/>
      <selection pane="bottomLeft"/>
      <selection pane="bottomRight" activeCell="F141" sqref="F141"/>
    </sheetView>
  </sheetViews>
  <sheetFormatPr defaultRowHeight="14.5" x14ac:dyDescent="0.35"/>
  <cols>
    <col min="1" max="1" width="3" customWidth="1"/>
    <col min="2" max="2" width="34.1796875" customWidth="1"/>
    <col min="3" max="3" width="19" customWidth="1"/>
    <col min="4" max="4" width="47.54296875" customWidth="1"/>
    <col min="5" max="14" width="16" customWidth="1"/>
    <col min="15" max="16" width="18" customWidth="1"/>
  </cols>
  <sheetData>
    <row r="1" spans="2:14" ht="23.15" customHeight="1" x14ac:dyDescent="0.35">
      <c r="B1" s="723" t="s">
        <v>168</v>
      </c>
      <c r="C1" s="704"/>
      <c r="D1" s="704"/>
      <c r="E1" s="704"/>
      <c r="F1" s="704"/>
      <c r="G1" s="704"/>
      <c r="H1" s="704"/>
      <c r="I1" s="704"/>
      <c r="J1" s="704"/>
      <c r="K1" s="704"/>
      <c r="L1" s="704"/>
      <c r="M1" s="704"/>
      <c r="N1" s="704"/>
    </row>
    <row r="2" spans="2:14" x14ac:dyDescent="0.35">
      <c r="B2" s="724" t="s">
        <v>169</v>
      </c>
      <c r="C2" s="704"/>
      <c r="D2" s="704"/>
      <c r="E2" s="704"/>
      <c r="F2" s="704"/>
      <c r="G2" s="704"/>
      <c r="H2" s="704"/>
      <c r="I2" s="704"/>
      <c r="J2" s="704"/>
      <c r="K2" s="704"/>
      <c r="L2" s="704"/>
      <c r="M2" s="704"/>
      <c r="N2" s="704"/>
    </row>
    <row r="3" spans="2:14" x14ac:dyDescent="0.35">
      <c r="B3" s="66"/>
      <c r="C3" s="66"/>
      <c r="D3" s="66"/>
      <c r="E3" s="66"/>
      <c r="F3" s="66"/>
      <c r="G3" s="66"/>
      <c r="H3" s="66"/>
      <c r="I3" s="66"/>
      <c r="J3" s="66"/>
      <c r="K3" s="66"/>
      <c r="L3" s="66"/>
      <c r="M3" s="66"/>
      <c r="N3" s="66"/>
    </row>
    <row r="4" spans="2:14" ht="15.65" customHeight="1" x14ac:dyDescent="0.35">
      <c r="B4" s="725" t="s">
        <v>170</v>
      </c>
      <c r="C4" s="704"/>
      <c r="D4" s="704"/>
      <c r="E4" s="704"/>
      <c r="F4" s="704"/>
      <c r="G4" s="704"/>
      <c r="H4" s="704"/>
      <c r="I4" s="704"/>
      <c r="J4" s="704"/>
      <c r="K4" s="704"/>
      <c r="L4" s="704"/>
      <c r="M4" s="704"/>
      <c r="N4" s="704"/>
    </row>
    <row r="5" spans="2:14" x14ac:dyDescent="0.35">
      <c r="B5" s="213" t="s">
        <v>11</v>
      </c>
      <c r="C5" s="67" t="str">
        <f>Scenarios!B4</f>
        <v>Base</v>
      </c>
      <c r="D5" s="720" t="s">
        <v>171</v>
      </c>
      <c r="E5" s="717"/>
      <c r="F5" s="717"/>
      <c r="G5" s="717"/>
      <c r="H5" s="717"/>
      <c r="I5" s="717"/>
      <c r="J5" s="717"/>
      <c r="K5" s="717"/>
      <c r="L5" s="717"/>
      <c r="M5" s="717"/>
      <c r="N5" s="718"/>
    </row>
    <row r="6" spans="2:14" x14ac:dyDescent="0.35">
      <c r="B6" s="213" t="s">
        <v>172</v>
      </c>
      <c r="C6" s="67" t="s">
        <v>173</v>
      </c>
      <c r="D6" s="720" t="s">
        <v>174</v>
      </c>
      <c r="E6" s="717"/>
      <c r="F6" s="717"/>
      <c r="G6" s="717"/>
      <c r="H6" s="717"/>
      <c r="I6" s="717"/>
      <c r="J6" s="717"/>
      <c r="K6" s="717"/>
      <c r="L6" s="717"/>
      <c r="M6" s="717"/>
      <c r="N6" s="718"/>
    </row>
    <row r="7" spans="2:14" x14ac:dyDescent="0.35">
      <c r="B7" s="213" t="s">
        <v>175</v>
      </c>
      <c r="C7" s="366">
        <f>Inputs!E14</f>
        <v>46174</v>
      </c>
      <c r="D7" s="720" t="s">
        <v>176</v>
      </c>
      <c r="E7" s="717"/>
      <c r="F7" s="717"/>
      <c r="G7" s="717"/>
      <c r="H7" s="717"/>
      <c r="I7" s="717"/>
      <c r="J7" s="717"/>
      <c r="K7" s="717"/>
      <c r="L7" s="717"/>
      <c r="M7" s="717"/>
      <c r="N7" s="718"/>
    </row>
    <row r="8" spans="2:14" x14ac:dyDescent="0.35">
      <c r="B8" s="213" t="s">
        <v>177</v>
      </c>
      <c r="C8" s="67" t="s">
        <v>178</v>
      </c>
      <c r="D8" s="720" t="s">
        <v>179</v>
      </c>
      <c r="E8" s="717"/>
      <c r="F8" s="717"/>
      <c r="G8" s="717"/>
      <c r="H8" s="717"/>
      <c r="I8" s="717"/>
      <c r="J8" s="717"/>
      <c r="K8" s="717"/>
      <c r="L8" s="717"/>
      <c r="M8" s="717"/>
      <c r="N8" s="718"/>
    </row>
    <row r="9" spans="2:14" x14ac:dyDescent="0.35">
      <c r="B9" s="213" t="s">
        <v>180</v>
      </c>
      <c r="C9" s="68">
        <f>Inputs!E257</f>
        <v>0.1</v>
      </c>
      <c r="D9" s="720" t="s">
        <v>181</v>
      </c>
      <c r="E9" s="717"/>
      <c r="F9" s="717"/>
      <c r="G9" s="717"/>
      <c r="H9" s="717"/>
      <c r="I9" s="717"/>
      <c r="J9" s="717"/>
      <c r="K9" s="717"/>
      <c r="L9" s="717"/>
      <c r="M9" s="717"/>
      <c r="N9" s="718"/>
    </row>
    <row r="10" spans="2:14" x14ac:dyDescent="0.35">
      <c r="B10" s="213" t="s">
        <v>182</v>
      </c>
      <c r="C10" s="68">
        <f>Inputs!E258</f>
        <v>0.15</v>
      </c>
      <c r="D10" s="720" t="s">
        <v>183</v>
      </c>
      <c r="E10" s="717"/>
      <c r="F10" s="717"/>
      <c r="G10" s="717"/>
      <c r="H10" s="717"/>
      <c r="I10" s="717"/>
      <c r="J10" s="717"/>
      <c r="K10" s="717"/>
      <c r="L10" s="717"/>
      <c r="M10" s="717"/>
      <c r="N10" s="718"/>
    </row>
    <row r="11" spans="2:14" x14ac:dyDescent="0.35">
      <c r="B11" s="213" t="s">
        <v>184</v>
      </c>
      <c r="C11" s="68">
        <f>Debt!C7</f>
        <v>0.08</v>
      </c>
      <c r="D11" s="720" t="s">
        <v>185</v>
      </c>
      <c r="E11" s="717"/>
      <c r="F11" s="717"/>
      <c r="G11" s="717"/>
      <c r="H11" s="717"/>
      <c r="I11" s="717"/>
      <c r="J11" s="717"/>
      <c r="K11" s="717"/>
      <c r="L11" s="717"/>
      <c r="M11" s="717"/>
      <c r="N11" s="718"/>
    </row>
    <row r="12" spans="2:14" x14ac:dyDescent="0.35">
      <c r="B12" s="213" t="s">
        <v>186</v>
      </c>
      <c r="C12" s="68">
        <f>Inputs!E260</f>
        <v>0.3</v>
      </c>
      <c r="D12" s="720" t="s">
        <v>187</v>
      </c>
      <c r="E12" s="717"/>
      <c r="F12" s="717"/>
      <c r="G12" s="717"/>
      <c r="H12" s="717"/>
      <c r="I12" s="717"/>
      <c r="J12" s="717"/>
      <c r="K12" s="717"/>
      <c r="L12" s="717"/>
      <c r="M12" s="717"/>
      <c r="N12" s="718"/>
    </row>
    <row r="13" spans="2:14" x14ac:dyDescent="0.35">
      <c r="B13" s="213" t="s">
        <v>188</v>
      </c>
      <c r="C13" s="67" t="str">
        <f>Inputs!E266</f>
        <v>FY36</v>
      </c>
      <c r="D13" s="720" t="s">
        <v>189</v>
      </c>
      <c r="E13" s="717"/>
      <c r="F13" s="717"/>
      <c r="G13" s="717"/>
      <c r="H13" s="717"/>
      <c r="I13" s="717"/>
      <c r="J13" s="717"/>
      <c r="K13" s="717"/>
      <c r="L13" s="717"/>
      <c r="M13" s="717"/>
      <c r="N13" s="718"/>
    </row>
    <row r="14" spans="2:14" x14ac:dyDescent="0.35">
      <c r="B14" s="213" t="s">
        <v>190</v>
      </c>
      <c r="C14" s="68" t="str">
        <f>"EBITDA Multiple"</f>
        <v>EBITDA Multiple</v>
      </c>
      <c r="D14" s="720" t="s">
        <v>191</v>
      </c>
      <c r="E14" s="717"/>
      <c r="F14" s="717"/>
      <c r="G14" s="717"/>
      <c r="H14" s="717"/>
      <c r="I14" s="717"/>
      <c r="J14" s="717"/>
      <c r="K14" s="717"/>
      <c r="L14" s="717"/>
      <c r="M14" s="717"/>
      <c r="N14" s="718"/>
    </row>
    <row r="15" spans="2:14" x14ac:dyDescent="0.35">
      <c r="B15" s="213" t="s">
        <v>192</v>
      </c>
      <c r="C15" s="367">
        <f>Inputs!E261</f>
        <v>8</v>
      </c>
      <c r="D15" s="720" t="s">
        <v>193</v>
      </c>
      <c r="E15" s="717"/>
      <c r="F15" s="717"/>
      <c r="G15" s="717"/>
      <c r="H15" s="717"/>
      <c r="I15" s="717"/>
      <c r="J15" s="717"/>
      <c r="K15" s="717"/>
      <c r="L15" s="717"/>
      <c r="M15" s="717"/>
      <c r="N15" s="718"/>
    </row>
    <row r="16" spans="2:14" x14ac:dyDescent="0.35">
      <c r="B16" s="213" t="s">
        <v>194</v>
      </c>
      <c r="C16" s="68" t="str">
        <f>Inputs!E263</f>
        <v>No</v>
      </c>
      <c r="D16" s="720" t="s">
        <v>195</v>
      </c>
      <c r="E16" s="717"/>
      <c r="F16" s="717"/>
      <c r="G16" s="717"/>
      <c r="H16" s="717"/>
      <c r="I16" s="717"/>
      <c r="J16" s="717"/>
      <c r="K16" s="717"/>
      <c r="L16" s="717"/>
      <c r="M16" s="717"/>
      <c r="N16" s="718"/>
    </row>
    <row r="19" spans="2:14" x14ac:dyDescent="0.35">
      <c r="B19" s="553" t="s">
        <v>38</v>
      </c>
      <c r="C19" s="553" t="s">
        <v>39</v>
      </c>
      <c r="D19" s="553" t="s">
        <v>196</v>
      </c>
      <c r="E19" s="553" t="s">
        <v>197</v>
      </c>
      <c r="F19" s="726" t="s">
        <v>198</v>
      </c>
      <c r="G19" s="717"/>
      <c r="H19" s="717"/>
      <c r="I19" s="717"/>
      <c r="J19" s="717"/>
      <c r="K19" s="717"/>
      <c r="L19" s="717"/>
      <c r="M19" s="717"/>
      <c r="N19" s="718"/>
    </row>
    <row r="20" spans="2:14" x14ac:dyDescent="0.35">
      <c r="B20" s="213" t="s">
        <v>199</v>
      </c>
      <c r="C20" s="68">
        <f>C109</f>
        <v>0.754637883243928</v>
      </c>
      <c r="D20" s="69" t="s">
        <v>158</v>
      </c>
      <c r="E20" s="69" t="s">
        <v>200</v>
      </c>
      <c r="F20" s="716" t="s">
        <v>201</v>
      </c>
      <c r="G20" s="717"/>
      <c r="H20" s="717"/>
      <c r="I20" s="717"/>
      <c r="J20" s="717"/>
      <c r="K20" s="717"/>
      <c r="L20" s="717"/>
      <c r="M20" s="717"/>
      <c r="N20" s="718"/>
    </row>
    <row r="21" spans="2:14" x14ac:dyDescent="0.35">
      <c r="B21" s="213" t="s">
        <v>75</v>
      </c>
      <c r="C21" s="368">
        <f>C91</f>
        <v>92246991.982150912</v>
      </c>
      <c r="D21" s="69" t="s">
        <v>152</v>
      </c>
      <c r="E21" s="69" t="s">
        <v>200</v>
      </c>
      <c r="F21" s="716" t="s">
        <v>202</v>
      </c>
      <c r="G21" s="717"/>
      <c r="H21" s="717"/>
      <c r="I21" s="717"/>
      <c r="J21" s="717"/>
      <c r="K21" s="717"/>
      <c r="L21" s="717"/>
      <c r="M21" s="717"/>
      <c r="N21" s="718"/>
    </row>
    <row r="22" spans="2:14" x14ac:dyDescent="0.35">
      <c r="B22" s="213" t="s">
        <v>203</v>
      </c>
      <c r="C22" s="68">
        <f>C123</f>
        <v>0.36201055642999869</v>
      </c>
      <c r="D22" s="69" t="s">
        <v>158</v>
      </c>
      <c r="E22" s="69" t="s">
        <v>204</v>
      </c>
      <c r="F22" s="716" t="s">
        <v>205</v>
      </c>
      <c r="G22" s="717"/>
      <c r="H22" s="717"/>
      <c r="I22" s="717"/>
      <c r="J22" s="717"/>
      <c r="K22" s="717"/>
      <c r="L22" s="717"/>
      <c r="M22" s="717"/>
      <c r="N22" s="718"/>
    </row>
    <row r="23" spans="2:14" x14ac:dyDescent="0.35">
      <c r="B23" s="213" t="s">
        <v>77</v>
      </c>
      <c r="C23" s="368">
        <f>C98</f>
        <v>99076991.982150912</v>
      </c>
      <c r="D23" s="69" t="s">
        <v>152</v>
      </c>
      <c r="E23" s="69" t="s">
        <v>204</v>
      </c>
      <c r="F23" s="716" t="s">
        <v>206</v>
      </c>
      <c r="G23" s="717"/>
      <c r="H23" s="717"/>
      <c r="I23" s="717"/>
      <c r="J23" s="717"/>
      <c r="K23" s="717"/>
      <c r="L23" s="717"/>
      <c r="M23" s="717"/>
      <c r="N23" s="718"/>
    </row>
    <row r="24" spans="2:14" x14ac:dyDescent="0.35">
      <c r="B24" s="213" t="s">
        <v>207</v>
      </c>
      <c r="C24" s="369">
        <f>C127</f>
        <v>21.96871912931644</v>
      </c>
      <c r="D24" s="69" t="s">
        <v>208</v>
      </c>
      <c r="E24" s="69" t="s">
        <v>204</v>
      </c>
      <c r="F24" s="716" t="s">
        <v>209</v>
      </c>
      <c r="G24" s="717"/>
      <c r="H24" s="717"/>
      <c r="I24" s="717"/>
      <c r="J24" s="717"/>
      <c r="K24" s="717"/>
      <c r="L24" s="717"/>
      <c r="M24" s="717"/>
      <c r="N24" s="718"/>
    </row>
    <row r="25" spans="2:14" x14ac:dyDescent="0.35">
      <c r="B25" s="213" t="s">
        <v>210</v>
      </c>
      <c r="C25" s="67" t="str">
        <f>C128</f>
        <v>FY29</v>
      </c>
      <c r="D25" s="69" t="s">
        <v>15</v>
      </c>
      <c r="E25" s="69" t="s">
        <v>204</v>
      </c>
      <c r="F25" s="716" t="s">
        <v>211</v>
      </c>
      <c r="G25" s="717"/>
      <c r="H25" s="717"/>
      <c r="I25" s="717"/>
      <c r="J25" s="717"/>
      <c r="K25" s="717"/>
      <c r="L25" s="717"/>
      <c r="M25" s="717"/>
      <c r="N25" s="718"/>
    </row>
    <row r="26" spans="2:14" x14ac:dyDescent="0.35">
      <c r="B26" s="213" t="s">
        <v>212</v>
      </c>
      <c r="C26" s="68">
        <f>C130</f>
        <v>0.81987128154413469</v>
      </c>
      <c r="D26" s="69" t="s">
        <v>158</v>
      </c>
      <c r="E26" s="69" t="s">
        <v>213</v>
      </c>
      <c r="F26" s="716" t="s">
        <v>214</v>
      </c>
      <c r="G26" s="717"/>
      <c r="H26" s="717"/>
      <c r="I26" s="717"/>
      <c r="J26" s="717"/>
      <c r="K26" s="717"/>
      <c r="L26" s="717"/>
      <c r="M26" s="717"/>
      <c r="N26" s="718"/>
    </row>
    <row r="27" spans="2:14" x14ac:dyDescent="0.35">
      <c r="B27" s="66"/>
      <c r="C27" s="66"/>
      <c r="D27" s="66"/>
      <c r="E27" s="66"/>
      <c r="F27" s="66"/>
      <c r="G27" s="66"/>
      <c r="H27" s="66"/>
      <c r="I27" s="66"/>
      <c r="J27" s="66"/>
      <c r="K27" s="66"/>
      <c r="L27" s="66"/>
      <c r="M27" s="66"/>
      <c r="N27" s="66"/>
    </row>
    <row r="28" spans="2:14" ht="15.65" customHeight="1" x14ac:dyDescent="0.35">
      <c r="B28" s="329"/>
      <c r="C28" s="329"/>
      <c r="D28" s="329"/>
      <c r="E28" s="329"/>
      <c r="F28" s="329"/>
      <c r="G28" s="329"/>
      <c r="H28" s="329"/>
      <c r="I28" s="329"/>
      <c r="J28" s="329"/>
      <c r="K28" s="329"/>
      <c r="L28" s="329"/>
      <c r="M28" s="329"/>
      <c r="N28" s="329"/>
    </row>
    <row r="29" spans="2:14" x14ac:dyDescent="0.35">
      <c r="B29" s="719" t="s">
        <v>215</v>
      </c>
      <c r="C29" s="704"/>
      <c r="D29" s="704"/>
      <c r="E29" s="704"/>
      <c r="F29" s="704"/>
      <c r="G29" s="704"/>
      <c r="H29" s="704"/>
      <c r="I29" s="704"/>
      <c r="J29" s="704"/>
      <c r="K29" s="704"/>
      <c r="L29" s="704"/>
      <c r="M29" s="704"/>
      <c r="N29" s="704"/>
    </row>
    <row r="30" spans="2:14" x14ac:dyDescent="0.35">
      <c r="B30" s="246" t="s">
        <v>216</v>
      </c>
      <c r="C30" s="246" t="s">
        <v>39</v>
      </c>
      <c r="D30" s="246" t="s">
        <v>217</v>
      </c>
      <c r="E30" s="329"/>
      <c r="F30" s="329"/>
      <c r="G30" s="329"/>
      <c r="H30" s="329"/>
      <c r="I30" s="329"/>
      <c r="J30" s="329"/>
      <c r="K30" s="329"/>
      <c r="L30" s="329"/>
      <c r="M30" s="329"/>
      <c r="N30" s="329"/>
    </row>
    <row r="31" spans="2:14" x14ac:dyDescent="0.35">
      <c r="B31" s="329" t="s">
        <v>218</v>
      </c>
      <c r="C31" s="263">
        <f>Inputs!E267</f>
        <v>0.04</v>
      </c>
      <c r="D31" s="329" t="s">
        <v>219</v>
      </c>
      <c r="E31" s="329"/>
      <c r="F31" s="329"/>
      <c r="G31" s="329"/>
      <c r="H31" s="329"/>
      <c r="I31" s="329"/>
      <c r="J31" s="329"/>
      <c r="K31" s="329"/>
      <c r="L31" s="329"/>
      <c r="M31" s="329"/>
      <c r="N31" s="329"/>
    </row>
    <row r="32" spans="2:14" x14ac:dyDescent="0.35">
      <c r="B32" s="329" t="s">
        <v>220</v>
      </c>
      <c r="C32" s="263">
        <f>0.065</f>
        <v>6.5000000000000002E-2</v>
      </c>
      <c r="D32" s="329" t="s">
        <v>221</v>
      </c>
      <c r="E32" s="329"/>
      <c r="F32" s="329"/>
      <c r="G32" s="329"/>
      <c r="H32" s="329"/>
      <c r="I32" s="329"/>
      <c r="J32" s="329"/>
      <c r="K32" s="329"/>
      <c r="L32" s="329"/>
      <c r="M32" s="329"/>
      <c r="N32" s="329"/>
    </row>
    <row r="33" spans="2:14" x14ac:dyDescent="0.35">
      <c r="B33" s="329" t="s">
        <v>222</v>
      </c>
      <c r="C33" s="264">
        <f>Inputs!E269</f>
        <v>0.8</v>
      </c>
      <c r="D33" s="329" t="s">
        <v>223</v>
      </c>
      <c r="E33" s="329"/>
      <c r="F33" s="329"/>
      <c r="G33" s="329"/>
      <c r="H33" s="329"/>
      <c r="I33" s="329"/>
      <c r="J33" s="329"/>
      <c r="K33" s="329"/>
      <c r="L33" s="329"/>
      <c r="M33" s="329"/>
      <c r="N33" s="329"/>
    </row>
    <row r="34" spans="2:14" x14ac:dyDescent="0.35">
      <c r="B34" s="329" t="s">
        <v>224</v>
      </c>
      <c r="C34" s="263">
        <f>Dashboard!F68/Dashboard!F67</f>
        <v>4.1185929648241197</v>
      </c>
      <c r="D34" s="329" t="s">
        <v>225</v>
      </c>
      <c r="E34" s="329"/>
      <c r="F34" s="329"/>
      <c r="G34" s="329"/>
      <c r="H34" s="329"/>
      <c r="I34" s="329"/>
      <c r="J34" s="329"/>
      <c r="K34" s="329"/>
      <c r="L34" s="329"/>
      <c r="M34" s="329"/>
      <c r="N34" s="329"/>
    </row>
    <row r="35" spans="2:14" x14ac:dyDescent="0.35">
      <c r="B35" s="329" t="s">
        <v>226</v>
      </c>
      <c r="C35" s="263">
        <f>C12</f>
        <v>0.3</v>
      </c>
      <c r="D35" s="329" t="s">
        <v>227</v>
      </c>
      <c r="E35" s="329"/>
      <c r="F35" s="329"/>
      <c r="G35" s="329"/>
      <c r="H35" s="329"/>
      <c r="I35" s="329"/>
      <c r="J35" s="329"/>
      <c r="K35" s="329"/>
      <c r="L35" s="329"/>
      <c r="M35" s="329"/>
      <c r="N35" s="329"/>
    </row>
    <row r="36" spans="2:14" x14ac:dyDescent="0.35">
      <c r="B36" s="329" t="s">
        <v>228</v>
      </c>
      <c r="C36" s="264">
        <f>C33*(1+(1-C35)*C34)</f>
        <v>3.1064120603015071</v>
      </c>
      <c r="D36" s="329" t="s">
        <v>229</v>
      </c>
      <c r="E36" s="329"/>
      <c r="F36" s="329"/>
      <c r="G36" s="329"/>
      <c r="H36" s="329"/>
      <c r="I36" s="329"/>
      <c r="J36" s="329"/>
      <c r="K36" s="329"/>
      <c r="L36" s="329"/>
      <c r="M36" s="329"/>
      <c r="N36" s="329"/>
    </row>
    <row r="37" spans="2:14" x14ac:dyDescent="0.35">
      <c r="B37" s="329" t="s">
        <v>182</v>
      </c>
      <c r="C37" s="263">
        <f>C31+C36*C32</f>
        <v>0.24191678391959798</v>
      </c>
      <c r="D37" s="329" t="s">
        <v>230</v>
      </c>
      <c r="E37" s="329"/>
      <c r="F37" s="329"/>
      <c r="G37" s="329"/>
      <c r="H37" s="329"/>
      <c r="I37" s="329"/>
      <c r="J37" s="329"/>
      <c r="K37" s="329"/>
      <c r="L37" s="329"/>
      <c r="M37" s="329"/>
      <c r="N37" s="329"/>
    </row>
    <row r="38" spans="2:14" x14ac:dyDescent="0.35">
      <c r="B38" s="329" t="s">
        <v>231</v>
      </c>
      <c r="C38" s="263">
        <f>C11</f>
        <v>0.08</v>
      </c>
      <c r="D38" s="329" t="s">
        <v>232</v>
      </c>
      <c r="E38" s="329"/>
      <c r="F38" s="329"/>
      <c r="G38" s="329"/>
      <c r="H38" s="329"/>
      <c r="I38" s="329"/>
      <c r="J38" s="329"/>
      <c r="K38" s="329"/>
      <c r="L38" s="329"/>
      <c r="M38" s="329"/>
      <c r="N38" s="329"/>
    </row>
    <row r="39" spans="2:14" x14ac:dyDescent="0.35">
      <c r="B39" s="329" t="s">
        <v>233</v>
      </c>
      <c r="C39" s="263">
        <f>C38*(1-C35)</f>
        <v>5.5999999999999994E-2</v>
      </c>
      <c r="D39" s="329" t="s">
        <v>234</v>
      </c>
      <c r="E39" s="329"/>
      <c r="F39" s="329"/>
      <c r="G39" s="329"/>
      <c r="H39" s="329"/>
      <c r="I39" s="329"/>
      <c r="J39" s="329"/>
      <c r="K39" s="329"/>
      <c r="L39" s="329"/>
      <c r="M39" s="329"/>
      <c r="N39" s="329"/>
    </row>
    <row r="40" spans="2:14" x14ac:dyDescent="0.35">
      <c r="B40" s="329"/>
      <c r="C40" s="329"/>
      <c r="D40" s="329"/>
      <c r="E40" s="329"/>
      <c r="F40" s="329"/>
      <c r="G40" s="329"/>
      <c r="H40" s="329"/>
      <c r="I40" s="329"/>
      <c r="J40" s="329"/>
      <c r="K40" s="329"/>
      <c r="L40" s="329"/>
      <c r="M40" s="329"/>
      <c r="N40" s="329"/>
    </row>
    <row r="41" spans="2:14" x14ac:dyDescent="0.35">
      <c r="B41" s="329" t="s">
        <v>235</v>
      </c>
      <c r="C41" s="263">
        <f>1/(1+C34)</f>
        <v>0.19536618888670729</v>
      </c>
      <c r="D41" s="329" t="s">
        <v>236</v>
      </c>
      <c r="E41" s="329"/>
      <c r="F41" s="329"/>
      <c r="G41" s="329"/>
      <c r="H41" s="329"/>
      <c r="I41" s="329"/>
      <c r="J41" s="329"/>
      <c r="K41" s="329"/>
      <c r="L41" s="329"/>
      <c r="M41" s="329"/>
      <c r="N41" s="329"/>
    </row>
    <row r="42" spans="2:14" x14ac:dyDescent="0.35">
      <c r="B42" s="329" t="s">
        <v>237</v>
      </c>
      <c r="C42" s="263">
        <f>C34/(1+C34)</f>
        <v>0.80463381111329269</v>
      </c>
      <c r="D42" s="329" t="s">
        <v>238</v>
      </c>
      <c r="E42" s="329"/>
      <c r="F42" s="329"/>
      <c r="G42" s="329"/>
      <c r="H42" s="329"/>
      <c r="I42" s="329"/>
      <c r="J42" s="329"/>
      <c r="K42" s="329"/>
      <c r="L42" s="329"/>
      <c r="M42" s="329"/>
      <c r="N42" s="329"/>
    </row>
    <row r="43" spans="2:14" x14ac:dyDescent="0.35">
      <c r="B43" s="329"/>
      <c r="C43" s="329"/>
      <c r="D43" s="329"/>
      <c r="E43" s="329"/>
      <c r="F43" s="329"/>
      <c r="G43" s="329"/>
      <c r="H43" s="329"/>
      <c r="I43" s="329"/>
      <c r="J43" s="329"/>
      <c r="K43" s="329"/>
      <c r="L43" s="329"/>
      <c r="M43" s="329"/>
      <c r="N43" s="329"/>
    </row>
    <row r="44" spans="2:14" ht="15.65" customHeight="1" x14ac:dyDescent="0.35">
      <c r="B44" s="329" t="s">
        <v>239</v>
      </c>
      <c r="C44" s="263">
        <f>C41*C37+C42*C39</f>
        <v>9.2321853524445316E-2</v>
      </c>
      <c r="D44" s="329" t="s">
        <v>240</v>
      </c>
      <c r="E44" s="329"/>
      <c r="F44" s="329"/>
      <c r="G44" s="329"/>
      <c r="H44" s="329"/>
      <c r="I44" s="329"/>
      <c r="J44" s="329"/>
      <c r="K44" s="329"/>
      <c r="L44" s="329"/>
      <c r="M44" s="329"/>
      <c r="N44" s="329"/>
    </row>
    <row r="45" spans="2:14" x14ac:dyDescent="0.35">
      <c r="B45" s="329" t="s">
        <v>241</v>
      </c>
      <c r="C45" s="263">
        <f>C9</f>
        <v>0.1</v>
      </c>
      <c r="D45" s="329" t="s">
        <v>242</v>
      </c>
      <c r="E45" s="329"/>
      <c r="F45" s="329"/>
      <c r="G45" s="329"/>
      <c r="H45" s="329"/>
      <c r="I45" s="329"/>
      <c r="J45" s="329"/>
      <c r="K45" s="329"/>
      <c r="L45" s="329"/>
      <c r="M45" s="329"/>
      <c r="N45" s="329"/>
    </row>
    <row r="46" spans="2:14" x14ac:dyDescent="0.35">
      <c r="B46" s="329"/>
      <c r="C46" s="329"/>
      <c r="D46" s="329"/>
      <c r="E46" s="329"/>
      <c r="F46" s="329"/>
      <c r="G46" s="329"/>
      <c r="H46" s="329"/>
      <c r="I46" s="329"/>
      <c r="J46" s="329"/>
      <c r="K46" s="329"/>
      <c r="L46" s="329"/>
      <c r="M46" s="329"/>
      <c r="N46" s="329"/>
    </row>
    <row r="47" spans="2:14" x14ac:dyDescent="0.35">
      <c r="B47" s="329" t="s">
        <v>243</v>
      </c>
      <c r="C47" s="263">
        <f>C45</f>
        <v>0.1</v>
      </c>
      <c r="D47" s="329" t="s">
        <v>244</v>
      </c>
      <c r="E47" s="329"/>
      <c r="F47" s="329"/>
      <c r="G47" s="329"/>
      <c r="H47" s="329"/>
      <c r="I47" s="329"/>
      <c r="J47" s="329"/>
      <c r="K47" s="329"/>
      <c r="L47" s="329"/>
      <c r="M47" s="329"/>
      <c r="N47" s="329"/>
    </row>
    <row r="50" spans="2:14" x14ac:dyDescent="0.35">
      <c r="B50" s="719" t="s">
        <v>245</v>
      </c>
      <c r="C50" s="704"/>
      <c r="D50" s="704"/>
      <c r="E50" s="704"/>
      <c r="F50" s="704"/>
      <c r="G50" s="704"/>
      <c r="H50" s="704"/>
      <c r="I50" s="704"/>
      <c r="J50" s="704"/>
      <c r="K50" s="704"/>
      <c r="L50" s="704"/>
      <c r="M50" s="704"/>
      <c r="N50" s="704"/>
    </row>
    <row r="51" spans="2:14" x14ac:dyDescent="0.35">
      <c r="B51" s="721" t="s">
        <v>246</v>
      </c>
      <c r="C51" s="704"/>
      <c r="D51" s="704"/>
      <c r="E51" s="704"/>
      <c r="F51" s="704"/>
      <c r="G51" s="704"/>
      <c r="H51" s="704"/>
      <c r="I51" s="704"/>
      <c r="J51" s="704"/>
      <c r="K51" s="704"/>
      <c r="L51" s="704"/>
      <c r="M51" s="704"/>
      <c r="N51" s="704"/>
    </row>
    <row r="52" spans="2:14" x14ac:dyDescent="0.35">
      <c r="B52" s="329"/>
      <c r="C52" s="329"/>
      <c r="D52" s="329"/>
      <c r="E52" s="329"/>
      <c r="F52" s="329"/>
      <c r="G52" s="329"/>
      <c r="H52" s="329"/>
      <c r="I52" s="329"/>
      <c r="J52" s="329"/>
      <c r="K52" s="329"/>
      <c r="L52" s="329"/>
      <c r="M52" s="329"/>
      <c r="N52" s="329"/>
    </row>
    <row r="53" spans="2:14" x14ac:dyDescent="0.35">
      <c r="B53" s="246" t="s">
        <v>38</v>
      </c>
      <c r="C53" s="265" t="str">
        <f>'P&amp;L'!H6</f>
        <v>FY25</v>
      </c>
      <c r="D53" s="265" t="str">
        <f>'P&amp;L'!I6</f>
        <v>FY26</v>
      </c>
      <c r="E53" s="265" t="str">
        <f>'P&amp;L'!J6</f>
        <v>FY27</v>
      </c>
      <c r="F53" s="265" t="str">
        <f>'P&amp;L'!K6</f>
        <v>FY28</v>
      </c>
      <c r="G53" s="265" t="str">
        <f>'P&amp;L'!L6</f>
        <v>FY29</v>
      </c>
      <c r="H53" s="265" t="str">
        <f>'P&amp;L'!M6</f>
        <v>FY30</v>
      </c>
      <c r="I53" s="265" t="str">
        <f>'P&amp;L'!N6</f>
        <v>FY31</v>
      </c>
      <c r="J53" s="265" t="str">
        <f>'P&amp;L'!O6</f>
        <v>FY32</v>
      </c>
      <c r="K53" s="265" t="str">
        <f>'P&amp;L'!P6</f>
        <v>FY33</v>
      </c>
      <c r="L53" s="265" t="str">
        <f>'P&amp;L'!Q6</f>
        <v>FY34</v>
      </c>
      <c r="M53" s="265" t="str">
        <f>'P&amp;L'!R6</f>
        <v>FY35</v>
      </c>
      <c r="N53" s="265" t="str">
        <f>'P&amp;L'!S6</f>
        <v>FY36</v>
      </c>
    </row>
    <row r="54" spans="2:14" x14ac:dyDescent="0.35">
      <c r="B54" s="329" t="s">
        <v>247</v>
      </c>
      <c r="C54" s="370">
        <f>'P&amp;L'!H5</f>
        <v>45838</v>
      </c>
      <c r="D54" s="370">
        <f>'P&amp;L'!I5</f>
        <v>46203</v>
      </c>
      <c r="E54" s="370">
        <f>'P&amp;L'!J5</f>
        <v>46568</v>
      </c>
      <c r="F54" s="370">
        <f>'P&amp;L'!K5</f>
        <v>46934</v>
      </c>
      <c r="G54" s="370">
        <f>'P&amp;L'!L5</f>
        <v>47299</v>
      </c>
      <c r="H54" s="370">
        <f>'P&amp;L'!M5</f>
        <v>47664</v>
      </c>
      <c r="I54" s="370">
        <f>'P&amp;L'!N5</f>
        <v>48029</v>
      </c>
      <c r="J54" s="370">
        <f>'P&amp;L'!O5</f>
        <v>48395</v>
      </c>
      <c r="K54" s="370">
        <f>'P&amp;L'!P5</f>
        <v>48760</v>
      </c>
      <c r="L54" s="370">
        <f>'P&amp;L'!Q5</f>
        <v>49125</v>
      </c>
      <c r="M54" s="370">
        <f>'P&amp;L'!R5</f>
        <v>49490</v>
      </c>
      <c r="N54" s="370">
        <f>'P&amp;L'!S5</f>
        <v>49856</v>
      </c>
    </row>
    <row r="55" spans="2:14" x14ac:dyDescent="0.35">
      <c r="B55" s="329" t="s">
        <v>248</v>
      </c>
      <c r="C55" s="264">
        <f t="shared" ref="C55:N55" si="0">IF(C54="","",(C54-$C$7)/365)</f>
        <v>-0.92054794520547945</v>
      </c>
      <c r="D55" s="264">
        <f t="shared" si="0"/>
        <v>7.9452054794520555E-2</v>
      </c>
      <c r="E55" s="264">
        <f t="shared" si="0"/>
        <v>1.0794520547945206</v>
      </c>
      <c r="F55" s="264">
        <f t="shared" si="0"/>
        <v>2.0821917808219177</v>
      </c>
      <c r="G55" s="264">
        <f t="shared" si="0"/>
        <v>3.0821917808219177</v>
      </c>
      <c r="H55" s="264">
        <f t="shared" si="0"/>
        <v>4.0821917808219181</v>
      </c>
      <c r="I55" s="264">
        <f t="shared" si="0"/>
        <v>5.0821917808219181</v>
      </c>
      <c r="J55" s="264">
        <f t="shared" si="0"/>
        <v>6.0849315068493155</v>
      </c>
      <c r="K55" s="264">
        <f t="shared" si="0"/>
        <v>7.0849315068493155</v>
      </c>
      <c r="L55" s="264">
        <f t="shared" si="0"/>
        <v>8.0849315068493155</v>
      </c>
      <c r="M55" s="264">
        <f t="shared" si="0"/>
        <v>9.0849315068493155</v>
      </c>
      <c r="N55" s="264">
        <f t="shared" si="0"/>
        <v>10.087671232876712</v>
      </c>
    </row>
    <row r="56" spans="2:14" x14ac:dyDescent="0.35">
      <c r="B56" s="329"/>
      <c r="C56" s="329"/>
      <c r="D56" s="329"/>
      <c r="E56" s="329"/>
      <c r="F56" s="329"/>
      <c r="G56" s="329"/>
      <c r="H56" s="329"/>
      <c r="I56" s="329"/>
      <c r="J56" s="329"/>
      <c r="K56" s="329"/>
      <c r="L56" s="329"/>
      <c r="M56" s="329"/>
      <c r="N56" s="329"/>
    </row>
    <row r="57" spans="2:14" x14ac:dyDescent="0.35">
      <c r="B57" s="329" t="s">
        <v>16</v>
      </c>
      <c r="C57" s="349">
        <f>'P&amp;L'!H28</f>
        <v>0</v>
      </c>
      <c r="D57" s="349">
        <f>'P&amp;L'!I28</f>
        <v>0</v>
      </c>
      <c r="E57" s="349">
        <f>'P&amp;L'!J28</f>
        <v>0</v>
      </c>
      <c r="F57" s="349">
        <f>'P&amp;L'!K28</f>
        <v>18192909.376900002</v>
      </c>
      <c r="G57" s="349">
        <f>'P&amp;L'!L28</f>
        <v>19173294.981985252</v>
      </c>
      <c r="H57" s="349">
        <f>'P&amp;L'!M28</f>
        <v>20282270.272967502</v>
      </c>
      <c r="I57" s="349">
        <f>'P&amp;L'!N28</f>
        <v>20817158.552451402</v>
      </c>
      <c r="J57" s="349">
        <f>'P&amp;L'!O28</f>
        <v>21296978.378726114</v>
      </c>
      <c r="K57" s="349">
        <f>'P&amp;L'!P28</f>
        <v>21790858.176506594</v>
      </c>
      <c r="L57" s="349">
        <f>'P&amp;L'!Q28</f>
        <v>22299211.380105965</v>
      </c>
      <c r="M57" s="349">
        <f>'P&amp;L'!R28</f>
        <v>22822463.617745914</v>
      </c>
      <c r="N57" s="349">
        <f>'P&amp;L'!S28</f>
        <v>23361053.072145991</v>
      </c>
    </row>
    <row r="58" spans="2:14" x14ac:dyDescent="0.35">
      <c r="B58" s="329" t="s">
        <v>17</v>
      </c>
      <c r="C58" s="349">
        <f>'P&amp;L'!H77</f>
        <v>0</v>
      </c>
      <c r="D58" s="349">
        <f>'P&amp;L'!I77</f>
        <v>0</v>
      </c>
      <c r="E58" s="349">
        <f>'P&amp;L'!J77</f>
        <v>0</v>
      </c>
      <c r="F58" s="349">
        <f>'P&amp;L'!K77</f>
        <v>13999302.1323661</v>
      </c>
      <c r="G58" s="349">
        <f>'P&amp;L'!L77</f>
        <v>14401312.244882211</v>
      </c>
      <c r="H58" s="349">
        <f>'P&amp;L'!M77</f>
        <v>15322989.91056283</v>
      </c>
      <c r="I58" s="349">
        <f>'P&amp;L'!N77</f>
        <v>15770795.881999265</v>
      </c>
      <c r="J58" s="349">
        <f>'P&amp;L'!O77</f>
        <v>16058922.470677335</v>
      </c>
      <c r="K58" s="349">
        <f>'P&amp;L'!P77</f>
        <v>15923838.183258889</v>
      </c>
      <c r="L58" s="349">
        <f>'P&amp;L'!Q77</f>
        <v>16210473.304412302</v>
      </c>
      <c r="M58" s="349">
        <f>'P&amp;L'!R77</f>
        <v>16547518.944046786</v>
      </c>
      <c r="N58" s="349">
        <f>'P&amp;L'!S77</f>
        <v>16893777.659875534</v>
      </c>
    </row>
    <row r="59" spans="2:14" x14ac:dyDescent="0.35">
      <c r="B59" s="329" t="s">
        <v>249</v>
      </c>
      <c r="C59" s="349">
        <f>-'P&amp;L'!H81</f>
        <v>0</v>
      </c>
      <c r="D59" s="349">
        <f>-'P&amp;L'!I81</f>
        <v>0</v>
      </c>
      <c r="E59" s="349">
        <f>-'P&amp;L'!J81</f>
        <v>0</v>
      </c>
      <c r="F59" s="349">
        <f>-'P&amp;L'!K81</f>
        <v>0</v>
      </c>
      <c r="G59" s="349">
        <f>-'P&amp;L'!L81</f>
        <v>0</v>
      </c>
      <c r="H59" s="349">
        <f>-'P&amp;L'!M81</f>
        <v>0</v>
      </c>
      <c r="I59" s="349">
        <f>-'P&amp;L'!N81</f>
        <v>0</v>
      </c>
      <c r="J59" s="349">
        <f>-'P&amp;L'!O81</f>
        <v>0</v>
      </c>
      <c r="K59" s="349">
        <f>-'P&amp;L'!P81</f>
        <v>0</v>
      </c>
      <c r="L59" s="349">
        <f>-'P&amp;L'!Q81</f>
        <v>0</v>
      </c>
      <c r="M59" s="349">
        <f>-'P&amp;L'!R81</f>
        <v>0</v>
      </c>
      <c r="N59" s="349">
        <f>-'P&amp;L'!S81</f>
        <v>0</v>
      </c>
    </row>
    <row r="60" spans="2:14" x14ac:dyDescent="0.35">
      <c r="B60" s="329" t="s">
        <v>250</v>
      </c>
      <c r="C60" s="349">
        <f t="shared" ref="C60:N60" si="1">C58+C59</f>
        <v>0</v>
      </c>
      <c r="D60" s="349">
        <f t="shared" si="1"/>
        <v>0</v>
      </c>
      <c r="E60" s="349">
        <f t="shared" si="1"/>
        <v>0</v>
      </c>
      <c r="F60" s="349">
        <f t="shared" si="1"/>
        <v>13999302.1323661</v>
      </c>
      <c r="G60" s="349">
        <f t="shared" si="1"/>
        <v>14401312.244882211</v>
      </c>
      <c r="H60" s="349">
        <f t="shared" si="1"/>
        <v>15322989.91056283</v>
      </c>
      <c r="I60" s="349">
        <f t="shared" si="1"/>
        <v>15770795.881999265</v>
      </c>
      <c r="J60" s="349">
        <f t="shared" si="1"/>
        <v>16058922.470677335</v>
      </c>
      <c r="K60" s="349">
        <f t="shared" si="1"/>
        <v>15923838.183258889</v>
      </c>
      <c r="L60" s="349">
        <f t="shared" si="1"/>
        <v>16210473.304412302</v>
      </c>
      <c r="M60" s="349">
        <f t="shared" si="1"/>
        <v>16547518.944046786</v>
      </c>
      <c r="N60" s="349">
        <f t="shared" si="1"/>
        <v>16893777.659875534</v>
      </c>
    </row>
    <row r="61" spans="2:14" x14ac:dyDescent="0.35">
      <c r="B61" s="329" t="s">
        <v>251</v>
      </c>
      <c r="C61" s="349">
        <f t="shared" ref="C61:N61" si="2">-MAX(0,C60)*$C$35</f>
        <v>0</v>
      </c>
      <c r="D61" s="349">
        <f t="shared" si="2"/>
        <v>0</v>
      </c>
      <c r="E61" s="349">
        <f t="shared" si="2"/>
        <v>0</v>
      </c>
      <c r="F61" s="349">
        <f t="shared" si="2"/>
        <v>-4199790.6397098303</v>
      </c>
      <c r="G61" s="349">
        <f t="shared" si="2"/>
        <v>-4320393.6734646633</v>
      </c>
      <c r="H61" s="349">
        <f t="shared" si="2"/>
        <v>-4596896.973168849</v>
      </c>
      <c r="I61" s="349">
        <f t="shared" si="2"/>
        <v>-4731238.7645997796</v>
      </c>
      <c r="J61" s="349">
        <f t="shared" si="2"/>
        <v>-4817676.7412032001</v>
      </c>
      <c r="K61" s="349">
        <f t="shared" si="2"/>
        <v>-4777151.454977667</v>
      </c>
      <c r="L61" s="349">
        <f t="shared" si="2"/>
        <v>-4863141.9913236899</v>
      </c>
      <c r="M61" s="349">
        <f t="shared" si="2"/>
        <v>-4964255.6832140358</v>
      </c>
      <c r="N61" s="349">
        <f t="shared" si="2"/>
        <v>-5068133.29796266</v>
      </c>
    </row>
    <row r="62" spans="2:14" x14ac:dyDescent="0.35">
      <c r="B62" s="329" t="s">
        <v>252</v>
      </c>
      <c r="C62" s="349">
        <f t="shared" ref="C62:N62" si="3">C60+C61</f>
        <v>0</v>
      </c>
      <c r="D62" s="349">
        <f t="shared" si="3"/>
        <v>0</v>
      </c>
      <c r="E62" s="349">
        <f t="shared" si="3"/>
        <v>0</v>
      </c>
      <c r="F62" s="349">
        <f t="shared" si="3"/>
        <v>9799511.49265627</v>
      </c>
      <c r="G62" s="349">
        <f t="shared" si="3"/>
        <v>10080918.571417548</v>
      </c>
      <c r="H62" s="349">
        <f t="shared" si="3"/>
        <v>10726092.937393982</v>
      </c>
      <c r="I62" s="349">
        <f t="shared" si="3"/>
        <v>11039557.117399486</v>
      </c>
      <c r="J62" s="349">
        <f t="shared" si="3"/>
        <v>11241245.729474135</v>
      </c>
      <c r="K62" s="349">
        <f t="shared" si="3"/>
        <v>11146686.728281222</v>
      </c>
      <c r="L62" s="349">
        <f t="shared" si="3"/>
        <v>11347331.313088611</v>
      </c>
      <c r="M62" s="349">
        <f t="shared" si="3"/>
        <v>11583263.260832749</v>
      </c>
      <c r="N62" s="349">
        <f t="shared" si="3"/>
        <v>11825644.361912875</v>
      </c>
    </row>
    <row r="63" spans="2:14" ht="15.65" customHeight="1" x14ac:dyDescent="0.35">
      <c r="B63" s="329" t="s">
        <v>253</v>
      </c>
      <c r="C63" s="349">
        <f>'P&amp;L'!H81</f>
        <v>0</v>
      </c>
      <c r="D63" s="349">
        <f>'P&amp;L'!I81</f>
        <v>0</v>
      </c>
      <c r="E63" s="349">
        <f>'P&amp;L'!J81</f>
        <v>0</v>
      </c>
      <c r="F63" s="349">
        <f>'P&amp;L'!K81</f>
        <v>0</v>
      </c>
      <c r="G63" s="349">
        <f>'P&amp;L'!L81</f>
        <v>0</v>
      </c>
      <c r="H63" s="349">
        <f>'P&amp;L'!M81</f>
        <v>0</v>
      </c>
      <c r="I63" s="349">
        <f>'P&amp;L'!N81</f>
        <v>0</v>
      </c>
      <c r="J63" s="349">
        <f>'P&amp;L'!O81</f>
        <v>0</v>
      </c>
      <c r="K63" s="349">
        <f>'P&amp;L'!P81</f>
        <v>0</v>
      </c>
      <c r="L63" s="349">
        <f>'P&amp;L'!Q81</f>
        <v>0</v>
      </c>
      <c r="M63" s="349">
        <f>'P&amp;L'!R81</f>
        <v>0</v>
      </c>
      <c r="N63" s="349">
        <f>'P&amp;L'!S81</f>
        <v>0</v>
      </c>
    </row>
    <row r="64" spans="2:14" x14ac:dyDescent="0.35">
      <c r="B64" s="329" t="s">
        <v>254</v>
      </c>
      <c r="C64" s="349">
        <f>Cashflow!D26</f>
        <v>0</v>
      </c>
      <c r="D64" s="349">
        <f>Cashflow!E26</f>
        <v>-780000</v>
      </c>
      <c r="E64" s="349">
        <f>Cashflow!F26</f>
        <v>0</v>
      </c>
      <c r="F64" s="349">
        <f>Cashflow!G26</f>
        <v>-17075000</v>
      </c>
      <c r="G64" s="349">
        <f>Cashflow!H26</f>
        <v>0</v>
      </c>
      <c r="H64" s="349">
        <f>Cashflow!I26</f>
        <v>0</v>
      </c>
      <c r="I64" s="349">
        <f>Cashflow!J26</f>
        <v>0</v>
      </c>
      <c r="J64" s="349">
        <f>Cashflow!K26</f>
        <v>0</v>
      </c>
      <c r="K64" s="349">
        <f>Cashflow!L26</f>
        <v>0</v>
      </c>
      <c r="L64" s="349">
        <f>Cashflow!M26</f>
        <v>0</v>
      </c>
      <c r="M64" s="349">
        <f>Cashflow!N26</f>
        <v>0</v>
      </c>
      <c r="N64" s="349">
        <f>Cashflow!O26</f>
        <v>0</v>
      </c>
    </row>
    <row r="65" spans="2:14" x14ac:dyDescent="0.35">
      <c r="B65" s="329" t="s">
        <v>255</v>
      </c>
      <c r="C65" s="349">
        <f>IFERROR(Cashflow!D35,0)</f>
        <v>0</v>
      </c>
      <c r="D65" s="349">
        <f>IFERROR(Cashflow!E35,0)</f>
        <v>0</v>
      </c>
      <c r="E65" s="349">
        <f>IFERROR(Cashflow!F35,0)</f>
        <v>0</v>
      </c>
      <c r="F65" s="349">
        <f>IFERROR(Cashflow!G35,0)</f>
        <v>-981418.65365129989</v>
      </c>
      <c r="G65" s="349">
        <f>IFERROR(Cashflow!H35,0)</f>
        <v>-9466.7832519072108</v>
      </c>
      <c r="H65" s="349">
        <f>IFERROR(Cashflow!I35,0)</f>
        <v>-68172.407975737704</v>
      </c>
      <c r="I65" s="349">
        <f>IFERROR(Cashflow!J35,0)</f>
        <v>-33278.846150359372</v>
      </c>
      <c r="J65" s="349">
        <f>IFERROR(Cashflow!K35,0)</f>
        <v>-15908.582934431033</v>
      </c>
      <c r="K65" s="349">
        <f>IFERROR(Cashflow!L35,0)</f>
        <v>36842.76497430657</v>
      </c>
      <c r="L65" s="349">
        <f>IFERROR(Cashflow!M35,0)</f>
        <v>-14558.478091440164</v>
      </c>
      <c r="M65" s="349">
        <f>IFERROR(Cashflow!N35,0)</f>
        <v>-20164.518322134856</v>
      </c>
      <c r="N65" s="349">
        <f>0</f>
        <v>0</v>
      </c>
    </row>
    <row r="66" spans="2:14" x14ac:dyDescent="0.35">
      <c r="B66" s="255" t="s">
        <v>256</v>
      </c>
      <c r="C66" s="371">
        <f t="shared" ref="C66:N66" si="4">C62+C63+C64+C65</f>
        <v>0</v>
      </c>
      <c r="D66" s="371">
        <f t="shared" si="4"/>
        <v>-780000</v>
      </c>
      <c r="E66" s="371">
        <f t="shared" si="4"/>
        <v>0</v>
      </c>
      <c r="F66" s="371">
        <f t="shared" si="4"/>
        <v>-8256907.1609950298</v>
      </c>
      <c r="G66" s="371">
        <f t="shared" si="4"/>
        <v>10071451.78816564</v>
      </c>
      <c r="H66" s="371">
        <f t="shared" si="4"/>
        <v>10657920.529418245</v>
      </c>
      <c r="I66" s="371">
        <f t="shared" si="4"/>
        <v>11006278.271249127</v>
      </c>
      <c r="J66" s="371">
        <f t="shared" si="4"/>
        <v>11225337.146539703</v>
      </c>
      <c r="K66" s="371">
        <f t="shared" si="4"/>
        <v>11183529.49325553</v>
      </c>
      <c r="L66" s="371">
        <f t="shared" si="4"/>
        <v>11332772.83499717</v>
      </c>
      <c r="M66" s="371">
        <f t="shared" si="4"/>
        <v>11563098.742510615</v>
      </c>
      <c r="N66" s="371">
        <f t="shared" si="4"/>
        <v>11825644.361912875</v>
      </c>
    </row>
    <row r="67" spans="2:14" x14ac:dyDescent="0.35">
      <c r="B67" s="329"/>
      <c r="C67" s="329"/>
      <c r="D67" s="329"/>
      <c r="E67" s="329"/>
      <c r="F67" s="329"/>
      <c r="G67" s="329"/>
      <c r="H67" s="329"/>
      <c r="I67" s="329"/>
      <c r="J67" s="329"/>
      <c r="K67" s="329"/>
      <c r="L67" s="329"/>
      <c r="M67" s="329"/>
      <c r="N67" s="329"/>
    </row>
    <row r="68" spans="2:14" x14ac:dyDescent="0.35">
      <c r="B68" s="329"/>
      <c r="C68" s="329"/>
      <c r="D68" s="329"/>
      <c r="E68" s="329"/>
      <c r="F68" s="329"/>
      <c r="G68" s="329"/>
      <c r="H68" s="329"/>
      <c r="I68" s="329"/>
      <c r="J68" s="329"/>
      <c r="K68" s="329"/>
      <c r="L68" s="329"/>
      <c r="M68" s="329"/>
      <c r="N68" s="329"/>
    </row>
    <row r="69" spans="2:14" x14ac:dyDescent="0.35">
      <c r="B69" s="719" t="s">
        <v>257</v>
      </c>
      <c r="C69" s="704"/>
      <c r="D69" s="704"/>
      <c r="E69" s="704"/>
      <c r="F69" s="704"/>
      <c r="G69" s="704"/>
      <c r="H69" s="704"/>
      <c r="I69" s="704"/>
      <c r="J69" s="704"/>
      <c r="K69" s="704"/>
      <c r="L69" s="704"/>
      <c r="M69" s="704"/>
      <c r="N69" s="704"/>
    </row>
    <row r="70" spans="2:14" x14ac:dyDescent="0.35">
      <c r="B70" s="329"/>
      <c r="C70" s="329"/>
      <c r="D70" s="329"/>
      <c r="E70" s="329"/>
      <c r="F70" s="329"/>
      <c r="G70" s="329"/>
      <c r="H70" s="329"/>
      <c r="I70" s="329"/>
      <c r="J70" s="329"/>
      <c r="K70" s="329"/>
      <c r="L70" s="329"/>
      <c r="M70" s="329"/>
      <c r="N70" s="329"/>
    </row>
    <row r="71" spans="2:14" x14ac:dyDescent="0.35">
      <c r="B71" s="329" t="s">
        <v>122</v>
      </c>
      <c r="C71" s="266" t="str">
        <f>C13</f>
        <v>FY36</v>
      </c>
      <c r="D71" s="329"/>
      <c r="E71" s="329"/>
      <c r="F71" s="329"/>
      <c r="G71" s="329"/>
      <c r="H71" s="329"/>
      <c r="I71" s="329"/>
      <c r="J71" s="329"/>
      <c r="K71" s="329"/>
      <c r="L71" s="329"/>
      <c r="M71" s="329"/>
      <c r="N71" s="329"/>
    </row>
    <row r="72" spans="2:14" x14ac:dyDescent="0.35">
      <c r="B72" s="329" t="s">
        <v>61</v>
      </c>
      <c r="C72" s="349">
        <f>N58</f>
        <v>16893777.659875534</v>
      </c>
      <c r="D72" s="329"/>
      <c r="E72" s="329"/>
      <c r="F72" s="329"/>
      <c r="G72" s="329"/>
      <c r="H72" s="329"/>
      <c r="I72" s="329"/>
      <c r="J72" s="329"/>
      <c r="K72" s="329"/>
      <c r="L72" s="329"/>
      <c r="M72" s="329"/>
      <c r="N72" s="329"/>
    </row>
    <row r="73" spans="2:14" x14ac:dyDescent="0.35">
      <c r="B73" s="329" t="s">
        <v>59</v>
      </c>
      <c r="C73" s="351">
        <f>C15</f>
        <v>8</v>
      </c>
      <c r="D73" s="329"/>
      <c r="E73" s="329"/>
      <c r="F73" s="329"/>
      <c r="G73" s="329"/>
      <c r="H73" s="329"/>
      <c r="I73" s="329"/>
      <c r="J73" s="329"/>
      <c r="K73" s="329"/>
      <c r="L73" s="329"/>
      <c r="M73" s="329"/>
      <c r="N73" s="329"/>
    </row>
    <row r="74" spans="2:14" x14ac:dyDescent="0.35">
      <c r="B74" s="329" t="s">
        <v>258</v>
      </c>
      <c r="C74" s="349">
        <f>C72*C73</f>
        <v>135150221.27900428</v>
      </c>
      <c r="D74" s="329"/>
      <c r="E74" s="329"/>
      <c r="F74" s="329"/>
      <c r="G74" s="329"/>
      <c r="H74" s="329"/>
      <c r="I74" s="329"/>
      <c r="J74" s="329"/>
      <c r="K74" s="329"/>
      <c r="L74" s="329"/>
      <c r="M74" s="329"/>
      <c r="N74" s="329"/>
    </row>
    <row r="75" spans="2:14" x14ac:dyDescent="0.35">
      <c r="B75" s="329"/>
      <c r="C75" s="329"/>
      <c r="D75" s="329"/>
      <c r="E75" s="329"/>
      <c r="F75" s="329"/>
      <c r="G75" s="329"/>
      <c r="H75" s="329"/>
      <c r="I75" s="329"/>
      <c r="J75" s="329"/>
      <c r="K75" s="329"/>
      <c r="L75" s="329"/>
      <c r="M75" s="329"/>
      <c r="N75" s="329"/>
    </row>
    <row r="76" spans="2:14" x14ac:dyDescent="0.35">
      <c r="B76" s="721" t="s">
        <v>259</v>
      </c>
      <c r="C76" s="704"/>
      <c r="D76" s="704"/>
      <c r="E76" s="704"/>
      <c r="F76" s="704"/>
      <c r="G76" s="704"/>
      <c r="H76" s="704"/>
      <c r="I76" s="704"/>
      <c r="J76" s="704"/>
      <c r="K76" s="704"/>
      <c r="L76" s="704"/>
      <c r="M76" s="704"/>
      <c r="N76" s="704"/>
    </row>
    <row r="77" spans="2:14" x14ac:dyDescent="0.35">
      <c r="B77" s="246" t="s">
        <v>38</v>
      </c>
      <c r="C77" s="265" t="str">
        <f t="shared" ref="C77:N77" si="5">C53</f>
        <v>FY25</v>
      </c>
      <c r="D77" s="265" t="str">
        <f t="shared" si="5"/>
        <v>FY26</v>
      </c>
      <c r="E77" s="265" t="str">
        <f t="shared" si="5"/>
        <v>FY27</v>
      </c>
      <c r="F77" s="265" t="str">
        <f t="shared" si="5"/>
        <v>FY28</v>
      </c>
      <c r="G77" s="265" t="str">
        <f t="shared" si="5"/>
        <v>FY29</v>
      </c>
      <c r="H77" s="265" t="str">
        <f t="shared" si="5"/>
        <v>FY30</v>
      </c>
      <c r="I77" s="265" t="str">
        <f t="shared" si="5"/>
        <v>FY31</v>
      </c>
      <c r="J77" s="265" t="str">
        <f t="shared" si="5"/>
        <v>FY32</v>
      </c>
      <c r="K77" s="265" t="str">
        <f t="shared" si="5"/>
        <v>FY33</v>
      </c>
      <c r="L77" s="265" t="str">
        <f t="shared" si="5"/>
        <v>FY34</v>
      </c>
      <c r="M77" s="265" t="str">
        <f t="shared" si="5"/>
        <v>FY35</v>
      </c>
      <c r="N77" s="265" t="str">
        <f t="shared" si="5"/>
        <v>FY36</v>
      </c>
    </row>
    <row r="78" spans="2:14" x14ac:dyDescent="0.35">
      <c r="B78" s="329" t="s">
        <v>260</v>
      </c>
      <c r="C78" s="264">
        <f t="shared" ref="C78:N78" si="6">C55</f>
        <v>-0.92054794520547945</v>
      </c>
      <c r="D78" s="264">
        <f t="shared" si="6"/>
        <v>7.9452054794520555E-2</v>
      </c>
      <c r="E78" s="264">
        <f t="shared" si="6"/>
        <v>1.0794520547945206</v>
      </c>
      <c r="F78" s="264">
        <f t="shared" si="6"/>
        <v>2.0821917808219177</v>
      </c>
      <c r="G78" s="264">
        <f t="shared" si="6"/>
        <v>3.0821917808219177</v>
      </c>
      <c r="H78" s="264">
        <f t="shared" si="6"/>
        <v>4.0821917808219181</v>
      </c>
      <c r="I78" s="264">
        <f t="shared" si="6"/>
        <v>5.0821917808219181</v>
      </c>
      <c r="J78" s="264">
        <f t="shared" si="6"/>
        <v>6.0849315068493155</v>
      </c>
      <c r="K78" s="264">
        <f t="shared" si="6"/>
        <v>7.0849315068493155</v>
      </c>
      <c r="L78" s="264">
        <f t="shared" si="6"/>
        <v>8.0849315068493155</v>
      </c>
      <c r="M78" s="264">
        <f t="shared" si="6"/>
        <v>9.0849315068493155</v>
      </c>
      <c r="N78" s="264">
        <f t="shared" si="6"/>
        <v>10.087671232876712</v>
      </c>
    </row>
    <row r="79" spans="2:14" x14ac:dyDescent="0.35">
      <c r="B79" s="329" t="s">
        <v>261</v>
      </c>
      <c r="C79" s="372">
        <f t="shared" ref="C79:N79" si="7">IF(C78="","",1/(1+$C$47)^C78)</f>
        <v>1.0917016112105959</v>
      </c>
      <c r="D79" s="372">
        <f t="shared" si="7"/>
        <v>0.99245601019145091</v>
      </c>
      <c r="E79" s="372">
        <f t="shared" si="7"/>
        <v>0.90223273653768254</v>
      </c>
      <c r="F79" s="372">
        <f t="shared" si="7"/>
        <v>0.81999742988345092</v>
      </c>
      <c r="G79" s="372">
        <f t="shared" si="7"/>
        <v>0.74545220898495534</v>
      </c>
      <c r="H79" s="372">
        <f t="shared" si="7"/>
        <v>0.67768382634995938</v>
      </c>
      <c r="I79" s="372">
        <f t="shared" si="7"/>
        <v>0.61607620577269029</v>
      </c>
      <c r="J79" s="372">
        <f t="shared" si="7"/>
        <v>0.55992304966076212</v>
      </c>
      <c r="K79" s="372">
        <f t="shared" si="7"/>
        <v>0.5090209542370564</v>
      </c>
      <c r="L79" s="372">
        <f t="shared" si="7"/>
        <v>0.46274632203368771</v>
      </c>
      <c r="M79" s="372">
        <f t="shared" si="7"/>
        <v>0.42067847457607965</v>
      </c>
      <c r="N79" s="372">
        <f t="shared" si="7"/>
        <v>0.38233512705761669</v>
      </c>
    </row>
    <row r="80" spans="2:14" x14ac:dyDescent="0.35">
      <c r="B80" s="329" t="s">
        <v>262</v>
      </c>
      <c r="C80" s="349">
        <f t="shared" ref="C80:N80" si="8">C66</f>
        <v>0</v>
      </c>
      <c r="D80" s="349">
        <f t="shared" si="8"/>
        <v>-780000</v>
      </c>
      <c r="E80" s="349">
        <f t="shared" si="8"/>
        <v>0</v>
      </c>
      <c r="F80" s="349">
        <f t="shared" si="8"/>
        <v>-8256907.1609950298</v>
      </c>
      <c r="G80" s="349">
        <f t="shared" si="8"/>
        <v>10071451.78816564</v>
      </c>
      <c r="H80" s="349">
        <f t="shared" si="8"/>
        <v>10657920.529418245</v>
      </c>
      <c r="I80" s="349">
        <f t="shared" si="8"/>
        <v>11006278.271249127</v>
      </c>
      <c r="J80" s="349">
        <f t="shared" si="8"/>
        <v>11225337.146539703</v>
      </c>
      <c r="K80" s="349">
        <f t="shared" si="8"/>
        <v>11183529.49325553</v>
      </c>
      <c r="L80" s="349">
        <f t="shared" si="8"/>
        <v>11332772.83499717</v>
      </c>
      <c r="M80" s="349">
        <f t="shared" si="8"/>
        <v>11563098.742510615</v>
      </c>
      <c r="N80" s="349">
        <f t="shared" si="8"/>
        <v>11825644.361912875</v>
      </c>
    </row>
    <row r="81" spans="2:14" x14ac:dyDescent="0.35">
      <c r="B81" s="329" t="s">
        <v>63</v>
      </c>
      <c r="C81" s="349">
        <f>0</f>
        <v>0</v>
      </c>
      <c r="D81" s="349">
        <f>0</f>
        <v>0</v>
      </c>
      <c r="E81" s="349">
        <f>0</f>
        <v>0</v>
      </c>
      <c r="F81" s="349">
        <f>0</f>
        <v>0</v>
      </c>
      <c r="G81" s="349">
        <f>0</f>
        <v>0</v>
      </c>
      <c r="H81" s="349">
        <f>0</f>
        <v>0</v>
      </c>
      <c r="I81" s="349">
        <f>0</f>
        <v>0</v>
      </c>
      <c r="J81" s="349">
        <f>0</f>
        <v>0</v>
      </c>
      <c r="K81" s="349">
        <f>0</f>
        <v>0</v>
      </c>
      <c r="L81" s="349">
        <f>0</f>
        <v>0</v>
      </c>
      <c r="M81" s="349">
        <f>0</f>
        <v>0</v>
      </c>
      <c r="N81" s="349">
        <f>$C$74</f>
        <v>135150221.27900428</v>
      </c>
    </row>
    <row r="82" spans="2:14" x14ac:dyDescent="0.35">
      <c r="B82" s="329" t="s">
        <v>263</v>
      </c>
      <c r="C82" s="349">
        <f t="shared" ref="C82:N82" si="9">IF(C79="","",C80*C79)</f>
        <v>0</v>
      </c>
      <c r="D82" s="349">
        <f t="shared" si="9"/>
        <v>-774115.68794933171</v>
      </c>
      <c r="E82" s="349">
        <f t="shared" si="9"/>
        <v>0</v>
      </c>
      <c r="F82" s="349">
        <f t="shared" si="9"/>
        <v>-6770642.6508021858</v>
      </c>
      <c r="G82" s="349">
        <f t="shared" si="9"/>
        <v>7507785.9831735548</v>
      </c>
      <c r="H82" s="349">
        <f t="shared" si="9"/>
        <v>7222700.3653099407</v>
      </c>
      <c r="I82" s="349">
        <f t="shared" si="9"/>
        <v>6780706.1570295673</v>
      </c>
      <c r="J82" s="349">
        <f t="shared" si="9"/>
        <v>6285325.0085607478</v>
      </c>
      <c r="K82" s="349">
        <f t="shared" si="9"/>
        <v>5692650.854395193</v>
      </c>
      <c r="L82" s="349">
        <f t="shared" si="9"/>
        <v>5244198.9478382282</v>
      </c>
      <c r="M82" s="349">
        <f t="shared" si="9"/>
        <v>4864346.74037195</v>
      </c>
      <c r="N82" s="349">
        <f t="shared" si="9"/>
        <v>4521359.239650147</v>
      </c>
    </row>
    <row r="83" spans="2:14" x14ac:dyDescent="0.35">
      <c r="B83" s="329" t="s">
        <v>264</v>
      </c>
      <c r="C83" s="349">
        <f t="shared" ref="C83:N83" si="10">IF(C79="","",C81*C79)</f>
        <v>0</v>
      </c>
      <c r="D83" s="349">
        <f t="shared" si="10"/>
        <v>0</v>
      </c>
      <c r="E83" s="349">
        <f t="shared" si="10"/>
        <v>0</v>
      </c>
      <c r="F83" s="349">
        <f t="shared" si="10"/>
        <v>0</v>
      </c>
      <c r="G83" s="349">
        <f t="shared" si="10"/>
        <v>0</v>
      </c>
      <c r="H83" s="349">
        <f t="shared" si="10"/>
        <v>0</v>
      </c>
      <c r="I83" s="349">
        <f t="shared" si="10"/>
        <v>0</v>
      </c>
      <c r="J83" s="349">
        <f t="shared" si="10"/>
        <v>0</v>
      </c>
      <c r="K83" s="349">
        <f t="shared" si="10"/>
        <v>0</v>
      </c>
      <c r="L83" s="349">
        <f t="shared" si="10"/>
        <v>0</v>
      </c>
      <c r="M83" s="349">
        <f t="shared" si="10"/>
        <v>0</v>
      </c>
      <c r="N83" s="349">
        <f t="shared" si="10"/>
        <v>51672677.02457311</v>
      </c>
    </row>
    <row r="84" spans="2:14" x14ac:dyDescent="0.35">
      <c r="B84" s="329"/>
      <c r="C84" s="329"/>
      <c r="D84" s="329"/>
      <c r="E84" s="329"/>
      <c r="F84" s="329"/>
      <c r="G84" s="329"/>
      <c r="H84" s="329"/>
      <c r="I84" s="329"/>
      <c r="J84" s="329"/>
      <c r="K84" s="329"/>
      <c r="L84" s="329"/>
      <c r="M84" s="329"/>
      <c r="N84" s="329"/>
    </row>
    <row r="85" spans="2:14" x14ac:dyDescent="0.35">
      <c r="B85" s="329"/>
      <c r="C85" s="329"/>
      <c r="D85" s="329"/>
      <c r="E85" s="329"/>
      <c r="F85" s="329"/>
      <c r="G85" s="329"/>
      <c r="H85" s="329"/>
      <c r="I85" s="329"/>
      <c r="J85" s="329"/>
      <c r="K85" s="329"/>
      <c r="L85" s="329"/>
      <c r="M85" s="329"/>
      <c r="N85" s="329"/>
    </row>
    <row r="86" spans="2:14" x14ac:dyDescent="0.35">
      <c r="B86" s="719" t="s">
        <v>265</v>
      </c>
      <c r="C86" s="704"/>
      <c r="D86" s="704"/>
      <c r="E86" s="704"/>
      <c r="F86" s="704"/>
      <c r="G86" s="704"/>
      <c r="H86" s="704"/>
      <c r="I86" s="704"/>
      <c r="J86" s="704"/>
      <c r="K86" s="704"/>
      <c r="L86" s="704"/>
      <c r="M86" s="704"/>
      <c r="N86" s="704"/>
    </row>
    <row r="87" spans="2:14" x14ac:dyDescent="0.35">
      <c r="B87" s="329"/>
      <c r="C87" s="329"/>
      <c r="D87" s="329"/>
      <c r="E87" s="329"/>
      <c r="F87" s="329"/>
      <c r="G87" s="329"/>
      <c r="H87" s="329"/>
      <c r="I87" s="329"/>
      <c r="J87" s="329"/>
      <c r="K87" s="329"/>
      <c r="L87" s="329"/>
      <c r="M87" s="329"/>
      <c r="N87" s="329"/>
    </row>
    <row r="88" spans="2:14" x14ac:dyDescent="0.35">
      <c r="B88" s="246" t="s">
        <v>216</v>
      </c>
      <c r="C88" s="246" t="s">
        <v>39</v>
      </c>
      <c r="D88" s="246" t="s">
        <v>56</v>
      </c>
      <c r="E88" s="329"/>
      <c r="F88" s="329"/>
      <c r="G88" s="329"/>
      <c r="H88" s="329"/>
      <c r="I88" s="329"/>
      <c r="J88" s="329"/>
      <c r="K88" s="329"/>
      <c r="L88" s="329"/>
      <c r="M88" s="329"/>
      <c r="N88" s="329"/>
    </row>
    <row r="89" spans="2:14" x14ac:dyDescent="0.35">
      <c r="B89" s="329" t="s">
        <v>266</v>
      </c>
      <c r="C89" s="349">
        <f>SUM(C82:N82)</f>
        <v>40574314.95757781</v>
      </c>
      <c r="D89" s="329" t="s">
        <v>267</v>
      </c>
      <c r="E89" s="329"/>
      <c r="F89" s="329"/>
      <c r="G89" s="329"/>
      <c r="H89" s="329"/>
      <c r="I89" s="329"/>
      <c r="J89" s="329"/>
      <c r="K89" s="329"/>
      <c r="L89" s="329"/>
      <c r="M89" s="329"/>
      <c r="N89" s="329"/>
    </row>
    <row r="90" spans="2:14" x14ac:dyDescent="0.35">
      <c r="B90" s="329" t="s">
        <v>264</v>
      </c>
      <c r="C90" s="349">
        <f>SUM(C83:N83)</f>
        <v>51672677.02457311</v>
      </c>
      <c r="D90" s="329" t="s">
        <v>268</v>
      </c>
      <c r="E90" s="329"/>
      <c r="F90" s="329"/>
      <c r="G90" s="329"/>
      <c r="H90" s="329"/>
      <c r="I90" s="329"/>
      <c r="J90" s="329"/>
      <c r="K90" s="329"/>
      <c r="L90" s="329"/>
      <c r="M90" s="329"/>
      <c r="N90" s="329"/>
    </row>
    <row r="91" spans="2:14" x14ac:dyDescent="0.35">
      <c r="B91" s="255" t="s">
        <v>269</v>
      </c>
      <c r="C91" s="371">
        <f>C89+C90</f>
        <v>92246991.982150912</v>
      </c>
      <c r="D91" s="255" t="s">
        <v>270</v>
      </c>
      <c r="E91" s="329"/>
      <c r="F91" s="329"/>
      <c r="G91" s="329"/>
      <c r="H91" s="329"/>
      <c r="I91" s="329"/>
      <c r="J91" s="329"/>
      <c r="K91" s="329"/>
      <c r="L91" s="329"/>
      <c r="M91" s="329"/>
      <c r="N91" s="329"/>
    </row>
    <row r="92" spans="2:14" x14ac:dyDescent="0.35">
      <c r="B92" s="329"/>
      <c r="C92" s="349"/>
      <c r="D92" s="329"/>
      <c r="E92" s="329"/>
      <c r="F92" s="329"/>
      <c r="G92" s="329"/>
      <c r="H92" s="329"/>
      <c r="I92" s="329"/>
      <c r="J92" s="329"/>
      <c r="K92" s="329"/>
      <c r="L92" s="329"/>
      <c r="M92" s="329"/>
      <c r="N92" s="329"/>
    </row>
    <row r="93" spans="2:14" x14ac:dyDescent="0.35">
      <c r="B93" s="329" t="s">
        <v>271</v>
      </c>
      <c r="C93" s="349">
        <f>-Debt!J24-Debt!J41</f>
        <v>-9220500</v>
      </c>
      <c r="D93" s="329" t="s">
        <v>272</v>
      </c>
      <c r="E93" s="329"/>
      <c r="F93" s="329"/>
      <c r="G93" s="329"/>
      <c r="H93" s="329"/>
      <c r="I93" s="329"/>
      <c r="J93" s="329"/>
      <c r="K93" s="329"/>
      <c r="L93" s="329"/>
      <c r="M93" s="329"/>
      <c r="N93" s="329"/>
    </row>
    <row r="94" spans="2:14" x14ac:dyDescent="0.35">
      <c r="B94" s="329" t="s">
        <v>273</v>
      </c>
      <c r="C94" s="349">
        <f>'Balance Sheet'!H10</f>
        <v>16050500</v>
      </c>
      <c r="D94" s="329" t="s">
        <v>274</v>
      </c>
      <c r="E94" s="329"/>
      <c r="F94" s="329"/>
      <c r="G94" s="329"/>
      <c r="H94" s="329"/>
      <c r="I94" s="329"/>
      <c r="J94" s="329"/>
      <c r="K94" s="329"/>
      <c r="L94" s="329"/>
      <c r="M94" s="329"/>
      <c r="N94" s="329"/>
    </row>
    <row r="95" spans="2:14" x14ac:dyDescent="0.35">
      <c r="B95" s="329" t="s">
        <v>275</v>
      </c>
      <c r="C95" s="349">
        <f>0</f>
        <v>0</v>
      </c>
      <c r="D95" s="329" t="s">
        <v>276</v>
      </c>
      <c r="E95" s="329"/>
      <c r="F95" s="329"/>
      <c r="G95" s="329"/>
      <c r="H95" s="329"/>
      <c r="I95" s="329"/>
      <c r="J95" s="329"/>
      <c r="K95" s="329"/>
      <c r="L95" s="329"/>
      <c r="M95" s="329"/>
      <c r="N95" s="329"/>
    </row>
    <row r="96" spans="2:14" x14ac:dyDescent="0.35">
      <c r="B96" s="329" t="s">
        <v>277</v>
      </c>
      <c r="C96" s="349">
        <f>0</f>
        <v>0</v>
      </c>
      <c r="D96" s="329" t="s">
        <v>276</v>
      </c>
      <c r="E96" s="329"/>
      <c r="F96" s="329"/>
      <c r="G96" s="329"/>
      <c r="H96" s="329"/>
      <c r="I96" s="329"/>
      <c r="J96" s="329"/>
      <c r="K96" s="329"/>
      <c r="L96" s="329"/>
      <c r="M96" s="329"/>
      <c r="N96" s="329"/>
    </row>
    <row r="98" spans="2:14" x14ac:dyDescent="0.35">
      <c r="B98" s="267" t="s">
        <v>69</v>
      </c>
      <c r="C98" s="373">
        <f>C91+C93+C94+C95+C96</f>
        <v>99076991.982150912</v>
      </c>
      <c r="D98" s="267" t="s">
        <v>278</v>
      </c>
      <c r="E98" s="329"/>
      <c r="F98" s="329"/>
      <c r="G98" s="329"/>
      <c r="H98" s="329"/>
      <c r="I98" s="329"/>
      <c r="J98" s="329"/>
      <c r="K98" s="329"/>
      <c r="L98" s="329"/>
      <c r="M98" s="329"/>
      <c r="N98" s="329"/>
    </row>
    <row r="99" spans="2:14" x14ac:dyDescent="0.35">
      <c r="B99" s="329"/>
      <c r="C99" s="329"/>
      <c r="D99" s="329"/>
      <c r="E99" s="329"/>
      <c r="F99" s="329"/>
      <c r="G99" s="329"/>
      <c r="H99" s="329"/>
      <c r="I99" s="329"/>
      <c r="J99" s="329"/>
      <c r="K99" s="329"/>
      <c r="L99" s="329"/>
      <c r="M99" s="329"/>
      <c r="N99" s="329"/>
    </row>
    <row r="100" spans="2:14" x14ac:dyDescent="0.35">
      <c r="B100" s="329"/>
      <c r="C100" s="329"/>
      <c r="D100" s="329"/>
      <c r="E100" s="329"/>
      <c r="F100" s="329"/>
      <c r="G100" s="329"/>
      <c r="H100" s="329"/>
      <c r="I100" s="329"/>
      <c r="J100" s="329"/>
      <c r="K100" s="329"/>
      <c r="L100" s="329"/>
      <c r="M100" s="329"/>
      <c r="N100" s="329"/>
    </row>
    <row r="101" spans="2:14" x14ac:dyDescent="0.35">
      <c r="B101" s="719" t="s">
        <v>71</v>
      </c>
      <c r="C101" s="704"/>
      <c r="D101" s="704"/>
      <c r="E101" s="704"/>
      <c r="F101" s="704"/>
      <c r="G101" s="704"/>
      <c r="H101" s="704"/>
      <c r="I101" s="704"/>
      <c r="J101" s="704"/>
      <c r="K101" s="704"/>
      <c r="L101" s="704"/>
      <c r="M101" s="704"/>
      <c r="N101" s="704"/>
    </row>
    <row r="102" spans="2:14" x14ac:dyDescent="0.35">
      <c r="B102" s="329"/>
      <c r="C102" s="329"/>
      <c r="D102" s="329"/>
      <c r="E102" s="329"/>
      <c r="F102" s="329"/>
      <c r="G102" s="329"/>
      <c r="H102" s="329"/>
      <c r="I102" s="329"/>
      <c r="J102" s="329"/>
      <c r="K102" s="329"/>
      <c r="L102" s="329"/>
      <c r="M102" s="329"/>
      <c r="N102" s="329"/>
    </row>
    <row r="103" spans="2:14" x14ac:dyDescent="0.35">
      <c r="B103" s="715" t="s">
        <v>279</v>
      </c>
      <c r="C103" s="704"/>
      <c r="D103" s="704"/>
      <c r="E103" s="329"/>
      <c r="F103" s="329"/>
      <c r="G103" s="329"/>
      <c r="H103" s="329"/>
      <c r="I103" s="329"/>
      <c r="J103" s="329"/>
      <c r="K103" s="329"/>
      <c r="L103" s="329"/>
      <c r="M103" s="329"/>
      <c r="N103" s="329"/>
    </row>
    <row r="104" spans="2:14" x14ac:dyDescent="0.35">
      <c r="B104" s="329"/>
      <c r="C104" s="329"/>
      <c r="D104" s="329"/>
      <c r="E104" s="329"/>
      <c r="F104" s="329"/>
      <c r="G104" s="329"/>
      <c r="H104" s="329"/>
      <c r="I104" s="329"/>
      <c r="J104" s="329"/>
      <c r="K104" s="329"/>
      <c r="L104" s="329"/>
      <c r="M104" s="329"/>
      <c r="N104" s="329"/>
    </row>
    <row r="105" spans="2:14" x14ac:dyDescent="0.35">
      <c r="B105" s="268" t="s">
        <v>280</v>
      </c>
      <c r="C105" s="269" t="str">
        <f t="shared" ref="C105:N105" si="11">C53</f>
        <v>FY25</v>
      </c>
      <c r="D105" s="269" t="str">
        <f t="shared" si="11"/>
        <v>FY26</v>
      </c>
      <c r="E105" s="269" t="str">
        <f t="shared" si="11"/>
        <v>FY27</v>
      </c>
      <c r="F105" s="269" t="str">
        <f t="shared" si="11"/>
        <v>FY28</v>
      </c>
      <c r="G105" s="269" t="str">
        <f t="shared" si="11"/>
        <v>FY29</v>
      </c>
      <c r="H105" s="269" t="str">
        <f t="shared" si="11"/>
        <v>FY30</v>
      </c>
      <c r="I105" s="269" t="str">
        <f t="shared" si="11"/>
        <v>FY31</v>
      </c>
      <c r="J105" s="269" t="str">
        <f t="shared" si="11"/>
        <v>FY32</v>
      </c>
      <c r="K105" s="269" t="str">
        <f t="shared" si="11"/>
        <v>FY33</v>
      </c>
      <c r="L105" s="269" t="str">
        <f t="shared" si="11"/>
        <v>FY34</v>
      </c>
      <c r="M105" s="269" t="str">
        <f t="shared" si="11"/>
        <v>FY35</v>
      </c>
      <c r="N105" s="269" t="str">
        <f t="shared" si="11"/>
        <v>FY36</v>
      </c>
    </row>
    <row r="106" spans="2:14" x14ac:dyDescent="0.35">
      <c r="B106" s="270" t="s">
        <v>108</v>
      </c>
      <c r="C106" s="374">
        <f t="shared" ref="C106:N106" si="12">C54</f>
        <v>45838</v>
      </c>
      <c r="D106" s="374">
        <f t="shared" si="12"/>
        <v>46203</v>
      </c>
      <c r="E106" s="374">
        <f t="shared" si="12"/>
        <v>46568</v>
      </c>
      <c r="F106" s="374">
        <f t="shared" si="12"/>
        <v>46934</v>
      </c>
      <c r="G106" s="374">
        <f t="shared" si="12"/>
        <v>47299</v>
      </c>
      <c r="H106" s="374">
        <f t="shared" si="12"/>
        <v>47664</v>
      </c>
      <c r="I106" s="374">
        <f t="shared" si="12"/>
        <v>48029</v>
      </c>
      <c r="J106" s="374">
        <f t="shared" si="12"/>
        <v>48395</v>
      </c>
      <c r="K106" s="374">
        <f t="shared" si="12"/>
        <v>48760</v>
      </c>
      <c r="L106" s="374">
        <f t="shared" si="12"/>
        <v>49125</v>
      </c>
      <c r="M106" s="374">
        <f t="shared" si="12"/>
        <v>49490</v>
      </c>
      <c r="N106" s="374">
        <f t="shared" si="12"/>
        <v>49856</v>
      </c>
    </row>
    <row r="107" spans="2:14" x14ac:dyDescent="0.35">
      <c r="B107" s="271" t="s">
        <v>281</v>
      </c>
      <c r="C107" s="375">
        <f t="shared" ref="C107:N107" si="13">C80+C81</f>
        <v>0</v>
      </c>
      <c r="D107" s="375">
        <f t="shared" si="13"/>
        <v>-780000</v>
      </c>
      <c r="E107" s="375">
        <f t="shared" si="13"/>
        <v>0</v>
      </c>
      <c r="F107" s="375">
        <f t="shared" si="13"/>
        <v>-8256907.1609950298</v>
      </c>
      <c r="G107" s="375">
        <f t="shared" si="13"/>
        <v>10071451.78816564</v>
      </c>
      <c r="H107" s="375">
        <f t="shared" si="13"/>
        <v>10657920.529418245</v>
      </c>
      <c r="I107" s="375">
        <f t="shared" si="13"/>
        <v>11006278.271249127</v>
      </c>
      <c r="J107" s="375">
        <f t="shared" si="13"/>
        <v>11225337.146539703</v>
      </c>
      <c r="K107" s="375">
        <f t="shared" si="13"/>
        <v>11183529.49325553</v>
      </c>
      <c r="L107" s="375">
        <f t="shared" si="13"/>
        <v>11332772.83499717</v>
      </c>
      <c r="M107" s="375">
        <f t="shared" si="13"/>
        <v>11563098.742510615</v>
      </c>
      <c r="N107" s="375">
        <f t="shared" si="13"/>
        <v>146975865.64091715</v>
      </c>
    </row>
    <row r="108" spans="2:14" x14ac:dyDescent="0.35">
      <c r="B108" s="270"/>
      <c r="C108" s="323"/>
      <c r="D108" s="323"/>
      <c r="E108" s="323"/>
      <c r="F108" s="323"/>
      <c r="G108" s="323"/>
      <c r="H108" s="323"/>
      <c r="I108" s="323"/>
      <c r="J108" s="323"/>
      <c r="K108" s="323"/>
      <c r="L108" s="323"/>
      <c r="M108" s="323"/>
      <c r="N108" s="323"/>
    </row>
    <row r="109" spans="2:14" x14ac:dyDescent="0.35">
      <c r="B109" s="270" t="s">
        <v>199</v>
      </c>
      <c r="C109" s="272">
        <f>(C181/C182)^(1/10)-1</f>
        <v>0.754637883243928</v>
      </c>
      <c r="D109" s="323" t="s">
        <v>282</v>
      </c>
      <c r="E109" s="323"/>
      <c r="F109" s="323"/>
      <c r="G109" s="323"/>
      <c r="H109" s="323"/>
      <c r="I109" s="323"/>
      <c r="J109" s="323"/>
      <c r="K109" s="323"/>
      <c r="L109" s="323"/>
      <c r="M109" s="323"/>
      <c r="N109" s="323"/>
    </row>
    <row r="110" spans="2:14" x14ac:dyDescent="0.35">
      <c r="B110" s="270" t="s">
        <v>75</v>
      </c>
      <c r="C110" s="338">
        <f>C91</f>
        <v>92246991.982150912</v>
      </c>
      <c r="D110" s="323" t="s">
        <v>283</v>
      </c>
      <c r="E110" s="323"/>
      <c r="F110" s="323"/>
      <c r="G110" s="323"/>
      <c r="H110" s="323"/>
      <c r="I110" s="323"/>
      <c r="J110" s="323"/>
      <c r="K110" s="323"/>
      <c r="L110" s="323"/>
      <c r="M110" s="323"/>
      <c r="N110" s="323"/>
    </row>
    <row r="113" spans="2:15" x14ac:dyDescent="0.35">
      <c r="B113" s="722" t="s">
        <v>284</v>
      </c>
      <c r="C113" s="704"/>
      <c r="D113" s="704"/>
      <c r="E113" s="323"/>
      <c r="F113" s="323"/>
      <c r="G113" s="323"/>
      <c r="H113" s="323"/>
      <c r="I113" s="323"/>
      <c r="J113" s="323"/>
      <c r="K113" s="323"/>
      <c r="L113" s="323"/>
      <c r="M113" s="323"/>
      <c r="N113" s="323"/>
      <c r="O113" s="329"/>
    </row>
    <row r="114" spans="2:15" x14ac:dyDescent="0.35">
      <c r="B114" s="323"/>
      <c r="C114" s="323"/>
      <c r="D114" s="323"/>
      <c r="E114" s="323"/>
      <c r="F114" s="323"/>
      <c r="G114" s="323"/>
      <c r="H114" s="323"/>
      <c r="I114" s="323"/>
      <c r="J114" s="323"/>
      <c r="K114" s="323"/>
      <c r="L114" s="323"/>
      <c r="M114" s="323"/>
      <c r="N114" s="323"/>
      <c r="O114" s="329"/>
    </row>
    <row r="115" spans="2:15" x14ac:dyDescent="0.35">
      <c r="B115" s="268" t="s">
        <v>285</v>
      </c>
      <c r="C115" s="269" t="str">
        <f t="shared" ref="C115:N115" si="14">C53</f>
        <v>FY25</v>
      </c>
      <c r="D115" s="269" t="str">
        <f t="shared" si="14"/>
        <v>FY26</v>
      </c>
      <c r="E115" s="269" t="str">
        <f t="shared" si="14"/>
        <v>FY27</v>
      </c>
      <c r="F115" s="269" t="str">
        <f t="shared" si="14"/>
        <v>FY28</v>
      </c>
      <c r="G115" s="269" t="str">
        <f t="shared" si="14"/>
        <v>FY29</v>
      </c>
      <c r="H115" s="269" t="str">
        <f t="shared" si="14"/>
        <v>FY30</v>
      </c>
      <c r="I115" s="269" t="str">
        <f t="shared" si="14"/>
        <v>FY31</v>
      </c>
      <c r="J115" s="269" t="str">
        <f t="shared" si="14"/>
        <v>FY32</v>
      </c>
      <c r="K115" s="269" t="str">
        <f t="shared" si="14"/>
        <v>FY33</v>
      </c>
      <c r="L115" s="269" t="str">
        <f t="shared" si="14"/>
        <v>FY34</v>
      </c>
      <c r="M115" s="269" t="str">
        <f t="shared" si="14"/>
        <v>FY35</v>
      </c>
      <c r="N115" s="269" t="str">
        <f t="shared" si="14"/>
        <v>FY36</v>
      </c>
      <c r="O115" s="329"/>
    </row>
    <row r="116" spans="2:15" x14ac:dyDescent="0.35">
      <c r="B116" s="270" t="s">
        <v>108</v>
      </c>
      <c r="C116" s="273">
        <f t="shared" ref="C116:N116" si="15">C106</f>
        <v>45838</v>
      </c>
      <c r="D116" s="273">
        <f t="shared" si="15"/>
        <v>46203</v>
      </c>
      <c r="E116" s="273">
        <f t="shared" si="15"/>
        <v>46568</v>
      </c>
      <c r="F116" s="273">
        <f t="shared" si="15"/>
        <v>46934</v>
      </c>
      <c r="G116" s="273">
        <f t="shared" si="15"/>
        <v>47299</v>
      </c>
      <c r="H116" s="273">
        <f t="shared" si="15"/>
        <v>47664</v>
      </c>
      <c r="I116" s="273">
        <f t="shared" si="15"/>
        <v>48029</v>
      </c>
      <c r="J116" s="273">
        <f t="shared" si="15"/>
        <v>48395</v>
      </c>
      <c r="K116" s="273">
        <f t="shared" si="15"/>
        <v>48760</v>
      </c>
      <c r="L116" s="273">
        <f t="shared" si="15"/>
        <v>49125</v>
      </c>
      <c r="M116" s="273">
        <f t="shared" si="15"/>
        <v>49490</v>
      </c>
      <c r="N116" s="273">
        <f t="shared" si="15"/>
        <v>49856</v>
      </c>
      <c r="O116" s="329"/>
    </row>
    <row r="117" spans="2:15" x14ac:dyDescent="0.35">
      <c r="B117" s="270" t="s">
        <v>286</v>
      </c>
      <c r="C117" s="338">
        <f>-Cashflow!D16</f>
        <v>0</v>
      </c>
      <c r="D117" s="338">
        <f>-Cashflow!E16</f>
        <v>-2487500.0000000005</v>
      </c>
      <c r="E117" s="338">
        <f>-Cashflow!F16</f>
        <v>-5122500</v>
      </c>
      <c r="F117" s="338">
        <f>-Cashflow!G16</f>
        <v>0</v>
      </c>
      <c r="G117" s="338">
        <f>-Cashflow!H16</f>
        <v>0</v>
      </c>
      <c r="H117" s="338">
        <f>-Cashflow!I16</f>
        <v>0</v>
      </c>
      <c r="I117" s="338">
        <f>-Cashflow!J16</f>
        <v>0</v>
      </c>
      <c r="J117" s="338">
        <f>-Cashflow!K16</f>
        <v>0</v>
      </c>
      <c r="K117" s="338">
        <f>-Cashflow!L16</f>
        <v>0</v>
      </c>
      <c r="L117" s="338">
        <f>-Cashflow!M16</f>
        <v>0</v>
      </c>
      <c r="M117" s="338">
        <f>-Cashflow!N16</f>
        <v>0</v>
      </c>
      <c r="N117" s="338">
        <f>-Cashflow!O16</f>
        <v>0</v>
      </c>
      <c r="O117" s="329"/>
    </row>
    <row r="118" spans="2:15" x14ac:dyDescent="0.35">
      <c r="B118" s="270" t="s">
        <v>287</v>
      </c>
      <c r="C118" s="338">
        <f>-Cashflow!D32</f>
        <v>0</v>
      </c>
      <c r="D118" s="338">
        <f>-Cashflow!E32</f>
        <v>0</v>
      </c>
      <c r="E118" s="338">
        <f>-Cashflow!F32</f>
        <v>0</v>
      </c>
      <c r="F118" s="338">
        <f>-Cashflow!G32</f>
        <v>7449479.5941250166</v>
      </c>
      <c r="G118" s="338">
        <f>-Cashflow!H32</f>
        <v>7720502.8571340386</v>
      </c>
      <c r="H118" s="338">
        <f>-Cashflow!I32</f>
        <v>8282539.9499151856</v>
      </c>
      <c r="I118" s="338">
        <f>-Cashflow!J32</f>
        <v>8579208.893919589</v>
      </c>
      <c r="J118" s="338">
        <f>-Cashflow!K32</f>
        <v>8992996.5835793074</v>
      </c>
      <c r="K118" s="338">
        <f>-Cashflow!L32</f>
        <v>8756707.7826249786</v>
      </c>
      <c r="L118" s="338">
        <f>-Cashflow!M32</f>
        <v>8963121.0504708886</v>
      </c>
      <c r="M118" s="338">
        <f>-Cashflow!N32</f>
        <v>9197764.2086661998</v>
      </c>
      <c r="N118" s="338">
        <f>0</f>
        <v>0</v>
      </c>
      <c r="O118" s="329"/>
    </row>
    <row r="119" spans="2:15" x14ac:dyDescent="0.35">
      <c r="B119" s="270" t="s">
        <v>288</v>
      </c>
      <c r="C119" s="338">
        <f>0</f>
        <v>0</v>
      </c>
      <c r="D119" s="338">
        <f>0</f>
        <v>0</v>
      </c>
      <c r="E119" s="338">
        <f>0</f>
        <v>0</v>
      </c>
      <c r="F119" s="338">
        <f>0</f>
        <v>0</v>
      </c>
      <c r="G119" s="338">
        <f>0</f>
        <v>0</v>
      </c>
      <c r="H119" s="338">
        <f>0</f>
        <v>0</v>
      </c>
      <c r="I119" s="338">
        <f>0</f>
        <v>0</v>
      </c>
      <c r="J119" s="338">
        <f>0</f>
        <v>0</v>
      </c>
      <c r="K119" s="338">
        <f>0</f>
        <v>0</v>
      </c>
      <c r="L119" s="338">
        <f>0</f>
        <v>0</v>
      </c>
      <c r="M119" s="338">
        <f>0</f>
        <v>0</v>
      </c>
      <c r="N119" s="338">
        <f>C74</f>
        <v>135150221.27900428</v>
      </c>
      <c r="O119" s="329"/>
    </row>
    <row r="120" spans="2:15" x14ac:dyDescent="0.35">
      <c r="B120" s="274" t="s">
        <v>289</v>
      </c>
      <c r="C120" s="376">
        <f t="shared" ref="C120:N120" si="16">C117+C118+C119</f>
        <v>0</v>
      </c>
      <c r="D120" s="376">
        <f t="shared" si="16"/>
        <v>-2487500.0000000005</v>
      </c>
      <c r="E120" s="376">
        <f t="shared" si="16"/>
        <v>-5122500</v>
      </c>
      <c r="F120" s="376">
        <f t="shared" si="16"/>
        <v>7449479.5941250166</v>
      </c>
      <c r="G120" s="376">
        <f t="shared" si="16"/>
        <v>7720502.8571340386</v>
      </c>
      <c r="H120" s="376">
        <f t="shared" si="16"/>
        <v>8282539.9499151856</v>
      </c>
      <c r="I120" s="376">
        <f t="shared" si="16"/>
        <v>8579208.893919589</v>
      </c>
      <c r="J120" s="376">
        <f t="shared" si="16"/>
        <v>8992996.5835793074</v>
      </c>
      <c r="K120" s="376">
        <f t="shared" si="16"/>
        <v>8756707.7826249786</v>
      </c>
      <c r="L120" s="376">
        <f t="shared" si="16"/>
        <v>8963121.0504708886</v>
      </c>
      <c r="M120" s="376">
        <f t="shared" si="16"/>
        <v>9197764.2086661998</v>
      </c>
      <c r="N120" s="376">
        <f t="shared" si="16"/>
        <v>135150221.27900428</v>
      </c>
      <c r="O120" s="329"/>
    </row>
    <row r="121" spans="2:15" x14ac:dyDescent="0.35">
      <c r="B121" s="270" t="s">
        <v>290</v>
      </c>
      <c r="C121" s="338">
        <f>C120</f>
        <v>0</v>
      </c>
      <c r="D121" s="338">
        <f t="shared" ref="D121:N121" si="17">C121+D120</f>
        <v>-2487500.0000000005</v>
      </c>
      <c r="E121" s="338">
        <f t="shared" si="17"/>
        <v>-7610000</v>
      </c>
      <c r="F121" s="338">
        <f t="shared" si="17"/>
        <v>-160520.40587498341</v>
      </c>
      <c r="G121" s="338">
        <f t="shared" si="17"/>
        <v>7559982.4512590552</v>
      </c>
      <c r="H121" s="338">
        <f t="shared" si="17"/>
        <v>15842522.40117424</v>
      </c>
      <c r="I121" s="338">
        <f t="shared" si="17"/>
        <v>24421731.295093827</v>
      </c>
      <c r="J121" s="338">
        <f t="shared" si="17"/>
        <v>33414727.878673136</v>
      </c>
      <c r="K121" s="338">
        <f t="shared" si="17"/>
        <v>42171435.661298111</v>
      </c>
      <c r="L121" s="338">
        <f t="shared" si="17"/>
        <v>51134556.711769</v>
      </c>
      <c r="M121" s="338">
        <f t="shared" si="17"/>
        <v>60332320.920435198</v>
      </c>
      <c r="N121" s="338">
        <f t="shared" si="17"/>
        <v>195482542.19943947</v>
      </c>
      <c r="O121" s="329"/>
    </row>
    <row r="122" spans="2:15" x14ac:dyDescent="0.35">
      <c r="B122" s="329"/>
      <c r="C122" s="329"/>
      <c r="D122" s="329"/>
      <c r="E122" s="329"/>
      <c r="F122" s="329"/>
      <c r="G122" s="329"/>
      <c r="H122" s="329"/>
      <c r="I122" s="329"/>
      <c r="J122" s="329"/>
      <c r="K122" s="329"/>
      <c r="L122" s="329"/>
      <c r="M122" s="329"/>
      <c r="N122" s="329"/>
      <c r="O122" s="329"/>
    </row>
    <row r="123" spans="2:15" x14ac:dyDescent="0.35">
      <c r="B123" s="275" t="s">
        <v>203</v>
      </c>
      <c r="C123" s="276">
        <f>(C180/C125)^(1/10)-1</f>
        <v>0.36201055642999869</v>
      </c>
      <c r="D123" s="329" t="s">
        <v>282</v>
      </c>
      <c r="E123" s="329"/>
      <c r="F123" s="329"/>
      <c r="G123" s="329"/>
      <c r="H123" s="329"/>
      <c r="I123" s="329"/>
      <c r="J123" s="329"/>
      <c r="K123" s="329"/>
      <c r="L123" s="329"/>
      <c r="M123" s="329"/>
      <c r="N123" s="329"/>
      <c r="O123" s="329" t="b">
        <f>ISERROR(IRR(D120:N120))</f>
        <v>0</v>
      </c>
    </row>
    <row r="124" spans="2:15" x14ac:dyDescent="0.35">
      <c r="B124" s="329" t="s">
        <v>77</v>
      </c>
      <c r="C124" s="349">
        <f>C98</f>
        <v>99076991.982150912</v>
      </c>
      <c r="D124" s="329" t="s">
        <v>291</v>
      </c>
      <c r="E124" s="329"/>
      <c r="F124" s="329"/>
      <c r="G124" s="329"/>
      <c r="H124" s="329"/>
      <c r="I124" s="329"/>
      <c r="J124" s="329"/>
      <c r="K124" s="329"/>
      <c r="L124" s="329"/>
      <c r="M124" s="329"/>
      <c r="N124" s="329"/>
      <c r="O124" s="329"/>
    </row>
    <row r="125" spans="2:15" x14ac:dyDescent="0.35">
      <c r="B125" s="329" t="s">
        <v>292</v>
      </c>
      <c r="C125" s="349">
        <f>-SUM(C117:N117)</f>
        <v>7610000</v>
      </c>
      <c r="D125" s="329" t="s">
        <v>293</v>
      </c>
      <c r="E125" s="329"/>
      <c r="F125" s="329"/>
      <c r="G125" s="329"/>
      <c r="H125" s="329"/>
      <c r="I125" s="329"/>
      <c r="J125" s="329"/>
      <c r="K125" s="329"/>
      <c r="L125" s="329"/>
      <c r="M125" s="329"/>
      <c r="N125" s="329"/>
      <c r="O125" s="329"/>
    </row>
    <row r="126" spans="2:15" x14ac:dyDescent="0.35">
      <c r="B126" s="329" t="s">
        <v>294</v>
      </c>
      <c r="C126" s="349">
        <f>SUM(C118:N118)+SUM(C119:N119)</f>
        <v>203092542.19943947</v>
      </c>
      <c r="D126" s="329" t="s">
        <v>295</v>
      </c>
      <c r="E126" s="329"/>
      <c r="F126" s="329"/>
      <c r="G126" s="329"/>
      <c r="H126" s="329"/>
      <c r="I126" s="329"/>
      <c r="J126" s="329"/>
      <c r="K126" s="329"/>
      <c r="L126" s="329"/>
      <c r="M126" s="329"/>
      <c r="N126" s="329"/>
      <c r="O126" s="329"/>
    </row>
    <row r="127" spans="2:15" x14ac:dyDescent="0.35">
      <c r="B127" s="275" t="s">
        <v>296</v>
      </c>
      <c r="C127" s="377">
        <f>C180/C125</f>
        <v>21.96871912931644</v>
      </c>
      <c r="D127" s="275" t="s">
        <v>297</v>
      </c>
      <c r="E127" s="329"/>
      <c r="F127" s="329"/>
      <c r="G127" s="329"/>
      <c r="H127" s="329"/>
      <c r="I127" s="329"/>
      <c r="J127" s="329"/>
      <c r="K127" s="329"/>
      <c r="L127" s="329"/>
      <c r="M127" s="329"/>
      <c r="N127" s="329"/>
      <c r="O127" s="329"/>
    </row>
    <row r="128" spans="2:15" x14ac:dyDescent="0.35">
      <c r="B128" s="275" t="s">
        <v>54</v>
      </c>
      <c r="C128" s="275" t="str">
        <f t="array" ref="C128">IFERROR(INDEX(C115:N115,MATCH(TRUE,C121:N121&gt;0,0)),"Not Achieved")</f>
        <v>FY29</v>
      </c>
      <c r="D128" s="275" t="s">
        <v>298</v>
      </c>
      <c r="E128" s="329"/>
      <c r="F128" s="329"/>
      <c r="G128" s="329"/>
      <c r="H128" s="329"/>
      <c r="I128" s="329"/>
      <c r="J128" s="329"/>
      <c r="K128" s="329"/>
      <c r="L128" s="329"/>
      <c r="M128" s="329"/>
      <c r="N128" s="329"/>
      <c r="O128" s="329"/>
    </row>
    <row r="130" spans="2:14" x14ac:dyDescent="0.35">
      <c r="B130" s="329" t="s">
        <v>212</v>
      </c>
      <c r="C130" s="263">
        <f>F58/Dashboard!F66</f>
        <v>0.81987128154413469</v>
      </c>
      <c r="D130" s="329" t="s">
        <v>299</v>
      </c>
      <c r="E130" s="329"/>
      <c r="F130" s="329"/>
      <c r="G130" s="329"/>
      <c r="H130" s="329"/>
      <c r="I130" s="329"/>
      <c r="J130" s="329"/>
      <c r="K130" s="329"/>
      <c r="L130" s="329"/>
      <c r="M130" s="329"/>
      <c r="N130" s="329"/>
    </row>
    <row r="131" spans="2:14" x14ac:dyDescent="0.35">
      <c r="B131" s="329"/>
      <c r="C131" s="329"/>
      <c r="D131" s="329"/>
      <c r="E131" s="329"/>
      <c r="F131" s="329"/>
      <c r="G131" s="329"/>
      <c r="H131" s="329"/>
      <c r="I131" s="329"/>
      <c r="J131" s="329"/>
      <c r="K131" s="329"/>
      <c r="L131" s="329"/>
      <c r="M131" s="329"/>
      <c r="N131" s="329"/>
    </row>
    <row r="132" spans="2:14" x14ac:dyDescent="0.35">
      <c r="B132" s="329"/>
      <c r="C132" s="329"/>
      <c r="D132" s="329"/>
      <c r="E132" s="329"/>
      <c r="F132" s="329"/>
      <c r="G132" s="329"/>
      <c r="H132" s="329"/>
      <c r="I132" s="329"/>
      <c r="J132" s="329"/>
      <c r="K132" s="329"/>
      <c r="L132" s="329"/>
      <c r="M132" s="329"/>
      <c r="N132" s="329"/>
    </row>
    <row r="133" spans="2:14" x14ac:dyDescent="0.35">
      <c r="B133" s="719" t="s">
        <v>300</v>
      </c>
      <c r="C133" s="704"/>
      <c r="D133" s="704"/>
      <c r="E133" s="704"/>
      <c r="F133" s="704"/>
      <c r="G133" s="704"/>
      <c r="H133" s="704"/>
      <c r="I133" s="704"/>
      <c r="J133" s="704"/>
      <c r="K133" s="704"/>
      <c r="L133" s="704"/>
      <c r="M133" s="704"/>
      <c r="N133" s="704"/>
    </row>
    <row r="134" spans="2:14" x14ac:dyDescent="0.35">
      <c r="B134" s="329"/>
      <c r="C134" s="329"/>
      <c r="D134" s="329"/>
      <c r="E134" s="329"/>
      <c r="F134" s="329"/>
      <c r="G134" s="329"/>
      <c r="H134" s="329"/>
      <c r="I134" s="329"/>
      <c r="J134" s="329"/>
      <c r="K134" s="329"/>
      <c r="L134" s="329"/>
      <c r="M134" s="329"/>
      <c r="N134" s="329"/>
    </row>
    <row r="135" spans="2:14" x14ac:dyDescent="0.35">
      <c r="B135" s="715" t="s">
        <v>160</v>
      </c>
      <c r="C135" s="704"/>
      <c r="D135" s="704"/>
      <c r="E135" s="704"/>
      <c r="F135" s="704"/>
      <c r="G135" s="704"/>
      <c r="H135" s="704"/>
      <c r="I135" s="704"/>
      <c r="J135" s="329"/>
      <c r="K135" s="329"/>
      <c r="L135" s="329"/>
      <c r="M135" s="329"/>
      <c r="N135" s="329"/>
    </row>
    <row r="136" spans="2:14" x14ac:dyDescent="0.35">
      <c r="B136" s="329"/>
      <c r="C136" s="329"/>
      <c r="D136" s="329"/>
      <c r="E136" s="329"/>
      <c r="F136" s="329"/>
      <c r="G136" s="329"/>
      <c r="H136" s="329"/>
      <c r="I136" s="329"/>
      <c r="J136" s="329"/>
      <c r="K136" s="329"/>
      <c r="L136" s="329"/>
      <c r="M136" s="329"/>
      <c r="N136" s="329"/>
    </row>
    <row r="137" spans="2:14" x14ac:dyDescent="0.35">
      <c r="B137" s="329"/>
      <c r="C137" s="246" t="s">
        <v>59</v>
      </c>
      <c r="D137" s="378">
        <v>6</v>
      </c>
      <c r="E137" s="378">
        <v>7</v>
      </c>
      <c r="F137" s="378">
        <v>8</v>
      </c>
      <c r="G137" s="378">
        <v>9</v>
      </c>
      <c r="H137" s="378">
        <v>10</v>
      </c>
      <c r="I137" s="329"/>
      <c r="J137" s="329"/>
      <c r="K137" s="329"/>
      <c r="L137" s="329"/>
      <c r="M137" s="329"/>
      <c r="N137" s="329"/>
    </row>
    <row r="138" spans="2:14" x14ac:dyDescent="0.35">
      <c r="B138" s="246" t="s">
        <v>57</v>
      </c>
      <c r="C138" s="329"/>
      <c r="D138" s="329"/>
      <c r="E138" s="329"/>
      <c r="F138" s="329"/>
      <c r="G138" s="329"/>
      <c r="H138" s="329"/>
      <c r="I138" s="329"/>
      <c r="J138" s="329"/>
      <c r="K138" s="329"/>
      <c r="L138" s="329"/>
      <c r="M138" s="329"/>
      <c r="N138" s="329"/>
    </row>
    <row r="139" spans="2:14" x14ac:dyDescent="0.35">
      <c r="B139" s="379">
        <v>0.08</v>
      </c>
      <c r="C139" s="329"/>
      <c r="D139" s="349">
        <f t="shared" ref="D139:H143" si="18">SUM($C$82:$N$82)+($C$72*D$137)/((1+$B139)^$N$78)</f>
        <v>87209120.240717784</v>
      </c>
      <c r="E139" s="349">
        <f t="shared" si="18"/>
        <v>94981587.787907779</v>
      </c>
      <c r="F139" s="349">
        <f t="shared" si="18"/>
        <v>102754055.33509777</v>
      </c>
      <c r="G139" s="349">
        <f t="shared" si="18"/>
        <v>110526522.88228777</v>
      </c>
      <c r="H139" s="349">
        <f t="shared" si="18"/>
        <v>118298990.42947778</v>
      </c>
      <c r="I139" s="329"/>
      <c r="J139" s="329"/>
      <c r="K139" s="329"/>
      <c r="L139" s="329"/>
      <c r="M139" s="329"/>
      <c r="N139" s="329"/>
    </row>
    <row r="140" spans="2:14" x14ac:dyDescent="0.35">
      <c r="B140" s="379">
        <v>0.09</v>
      </c>
      <c r="C140" s="329"/>
      <c r="D140" s="349">
        <f t="shared" si="18"/>
        <v>83068726.334377974</v>
      </c>
      <c r="E140" s="349">
        <f t="shared" si="18"/>
        <v>90151128.230511323</v>
      </c>
      <c r="F140" s="349">
        <f t="shared" si="18"/>
        <v>97233530.126644686</v>
      </c>
      <c r="G140" s="349">
        <f t="shared" si="18"/>
        <v>104315932.02277805</v>
      </c>
      <c r="H140" s="349">
        <f t="shared" si="18"/>
        <v>111398333.91891141</v>
      </c>
      <c r="I140" s="329"/>
      <c r="J140" s="329"/>
      <c r="K140" s="329"/>
      <c r="L140" s="329"/>
      <c r="M140" s="329"/>
      <c r="N140" s="329"/>
    </row>
    <row r="141" spans="2:14" x14ac:dyDescent="0.35">
      <c r="B141" s="379">
        <v>0.1</v>
      </c>
      <c r="C141" s="329"/>
      <c r="D141" s="349">
        <f t="shared" si="18"/>
        <v>79328822.72600764</v>
      </c>
      <c r="E141" s="349">
        <f t="shared" si="18"/>
        <v>85787907.354079276</v>
      </c>
      <c r="F141" s="380">
        <f t="shared" si="18"/>
        <v>92246991.982150912</v>
      </c>
      <c r="G141" s="349">
        <f t="shared" si="18"/>
        <v>98706076.610222548</v>
      </c>
      <c r="H141" s="349">
        <f t="shared" si="18"/>
        <v>105165161.2382942</v>
      </c>
      <c r="I141" s="329"/>
      <c r="J141" s="329"/>
      <c r="K141" s="329"/>
      <c r="L141" s="329"/>
      <c r="M141" s="329"/>
      <c r="N141" s="329"/>
    </row>
    <row r="142" spans="2:14" x14ac:dyDescent="0.35">
      <c r="B142" s="379">
        <v>0.11</v>
      </c>
      <c r="C142" s="329"/>
      <c r="D142" s="349">
        <f t="shared" si="18"/>
        <v>75947544.735753149</v>
      </c>
      <c r="E142" s="349">
        <f t="shared" si="18"/>
        <v>81843083.032115713</v>
      </c>
      <c r="F142" s="349">
        <f t="shared" si="18"/>
        <v>87738621.328478277</v>
      </c>
      <c r="G142" s="349">
        <f t="shared" si="18"/>
        <v>93634159.624840826</v>
      </c>
      <c r="H142" s="349">
        <f t="shared" si="18"/>
        <v>99529697.921203405</v>
      </c>
      <c r="I142" s="329"/>
      <c r="J142" s="329"/>
      <c r="K142" s="329"/>
      <c r="L142" s="329"/>
      <c r="M142" s="329"/>
      <c r="N142" s="329"/>
    </row>
    <row r="143" spans="2:14" x14ac:dyDescent="0.35">
      <c r="B143" s="379">
        <v>0.12</v>
      </c>
      <c r="C143" s="329"/>
      <c r="D143" s="349">
        <f t="shared" si="18"/>
        <v>72887725.105403781</v>
      </c>
      <c r="E143" s="349">
        <f t="shared" si="18"/>
        <v>78273293.463374764</v>
      </c>
      <c r="F143" s="349">
        <f t="shared" si="18"/>
        <v>83658861.821345776</v>
      </c>
      <c r="G143" s="349">
        <f t="shared" si="18"/>
        <v>89044430.179316759</v>
      </c>
      <c r="H143" s="349">
        <f t="shared" si="18"/>
        <v>94429998.537287772</v>
      </c>
      <c r="I143" s="329"/>
      <c r="J143" s="329"/>
      <c r="K143" s="329"/>
      <c r="L143" s="329"/>
      <c r="M143" s="329"/>
      <c r="N143" s="329"/>
    </row>
    <row r="146" spans="2:14" x14ac:dyDescent="0.35">
      <c r="B146" s="715" t="s">
        <v>301</v>
      </c>
      <c r="C146" s="704"/>
      <c r="D146" s="704"/>
      <c r="E146" s="704"/>
      <c r="F146" s="704"/>
      <c r="G146" s="704"/>
      <c r="H146" s="704"/>
      <c r="I146" s="704"/>
      <c r="J146" s="329"/>
      <c r="K146" s="329"/>
      <c r="L146" s="329"/>
      <c r="M146" s="329"/>
      <c r="N146" s="329"/>
    </row>
    <row r="147" spans="2:14" x14ac:dyDescent="0.35">
      <c r="B147" s="329"/>
      <c r="C147" s="329"/>
      <c r="D147" s="329"/>
      <c r="E147" s="329"/>
      <c r="F147" s="329"/>
      <c r="G147" s="329"/>
      <c r="H147" s="329"/>
      <c r="I147" s="329"/>
      <c r="J147" s="329"/>
      <c r="K147" s="329"/>
      <c r="L147" s="329"/>
      <c r="M147" s="329"/>
      <c r="N147" s="329"/>
    </row>
    <row r="148" spans="2:14" x14ac:dyDescent="0.35">
      <c r="B148" s="329"/>
      <c r="C148" s="246" t="s">
        <v>59</v>
      </c>
      <c r="D148" s="378">
        <v>6</v>
      </c>
      <c r="E148" s="378">
        <v>7</v>
      </c>
      <c r="F148" s="378">
        <v>8</v>
      </c>
      <c r="G148" s="378">
        <v>9</v>
      </c>
      <c r="H148" s="378">
        <v>10</v>
      </c>
      <c r="I148" s="329"/>
      <c r="J148" s="329"/>
      <c r="K148" s="329"/>
      <c r="L148" s="329"/>
      <c r="M148" s="329"/>
      <c r="N148" s="329"/>
    </row>
    <row r="149" spans="2:14" x14ac:dyDescent="0.35">
      <c r="B149" s="246" t="s">
        <v>302</v>
      </c>
      <c r="C149" s="329"/>
      <c r="D149" s="329"/>
      <c r="E149" s="329"/>
      <c r="F149" s="329"/>
      <c r="G149" s="329"/>
      <c r="H149" s="329"/>
      <c r="I149" s="329"/>
      <c r="J149" s="329"/>
      <c r="K149" s="329"/>
      <c r="L149" s="329"/>
      <c r="M149" s="329"/>
      <c r="N149" s="329"/>
    </row>
    <row r="150" spans="2:14" x14ac:dyDescent="0.35">
      <c r="B150" s="277">
        <v>-0.2</v>
      </c>
      <c r="C150" s="329"/>
      <c r="D150" s="347">
        <f>IFERROR((($C$72*(1+$B150)*D$148)/C125)^(1/($N$78))-1,0)</f>
        <v>0.26434405285597862</v>
      </c>
      <c r="E150" s="347">
        <f>IFERROR((($C$72*(1+$B150)*E$148)/C125)^(1/($N$78))-1,0)</f>
        <v>0.28381299113331582</v>
      </c>
      <c r="F150" s="347">
        <f>IFERROR((($C$72*(1+$B150)*F$148)/C125)^(1/($N$78))-1,0)</f>
        <v>0.30091990987988315</v>
      </c>
      <c r="G150" s="347">
        <f>IFERROR((($C$72*(1+$B150)*G$148)/C125)^(1/($N$78))-1,0)</f>
        <v>0.31619839335841093</v>
      </c>
      <c r="H150" s="347">
        <f>IFERROR((($C$72*(1+$B150)*H$148)/C125)^(1/($N$78))-1,0)</f>
        <v>0.33001744656239862</v>
      </c>
      <c r="I150" s="329"/>
      <c r="J150" s="329"/>
      <c r="K150" s="329"/>
      <c r="L150" s="329"/>
      <c r="M150" s="329"/>
      <c r="N150" s="329"/>
    </row>
    <row r="151" spans="2:14" x14ac:dyDescent="0.35">
      <c r="B151" s="277">
        <v>-0.1</v>
      </c>
      <c r="C151" s="329"/>
      <c r="D151" s="347">
        <f>IFERROR((($C$72*(1+$B151)*D$148)/C125)^(1/($N$78))-1,0)</f>
        <v>0.27919297597263593</v>
      </c>
      <c r="E151" s="347">
        <f>IFERROR((($C$72*(1+$B151)*E$148)/C125)^(1/($N$78))-1,0)</f>
        <v>0.29889056464540165</v>
      </c>
      <c r="F151" s="347">
        <f>IFERROR((($C$72*(1+$B151)*F$148)/C125)^(1/($N$78))-1,0)</f>
        <v>0.31619839335841093</v>
      </c>
      <c r="G151" s="347">
        <f>IFERROR((($C$72*(1+$B151)*G$148)/C125)^(1/($N$78))-1,0)</f>
        <v>0.33165631298487619</v>
      </c>
      <c r="H151" s="347">
        <f>IFERROR((($C$72*(1+$B151)*H$148)/C125)^(1/($N$78))-1,0)</f>
        <v>0.3456376622491073</v>
      </c>
      <c r="I151" s="329"/>
      <c r="J151" s="329"/>
      <c r="K151" s="329"/>
      <c r="L151" s="329"/>
      <c r="M151" s="329"/>
      <c r="N151" s="329"/>
    </row>
    <row r="152" spans="2:14" x14ac:dyDescent="0.35">
      <c r="B152" s="277">
        <v>0</v>
      </c>
      <c r="C152" s="329"/>
      <c r="D152" s="347">
        <f>IFERROR((($C$72*(1+$B152)*D$148)/C125)^(1/($N$78))-1,0)</f>
        <v>0.29262350125084113</v>
      </c>
      <c r="E152" s="347">
        <f>IFERROR((($C$72*(1+$B152)*E$148)/C125)^(1/($N$78))-1,0)</f>
        <v>0.31252789919129209</v>
      </c>
      <c r="F152" s="381">
        <f>IFERROR((($C$72*(1+$B152)*F$148)/C125)^(1/($N$78))-1,0)</f>
        <v>0.33001744656239862</v>
      </c>
      <c r="G152" s="347">
        <f>IFERROR((($C$72*(1+$B152)*G$148)/C125)^(1/($N$78))-1,0)</f>
        <v>0.3456376622491073</v>
      </c>
      <c r="H152" s="347">
        <f>IFERROR((($C$72*(1+$B152)*H$148)/C125)^(1/($N$78))-1,0)</f>
        <v>0.35976580474019637</v>
      </c>
      <c r="I152" s="329"/>
      <c r="J152" s="329"/>
      <c r="K152" s="329"/>
      <c r="L152" s="329"/>
      <c r="M152" s="329"/>
      <c r="N152" s="329"/>
    </row>
    <row r="153" spans="2:14" x14ac:dyDescent="0.35">
      <c r="B153" s="277">
        <v>0.1</v>
      </c>
      <c r="C153" s="329"/>
      <c r="D153" s="347">
        <f>IFERROR((($C$72*(1+$B153)*D$148)/C125)^(1/($N$78))-1,0)</f>
        <v>0.3048943239008377</v>
      </c>
      <c r="E153" s="347">
        <f>IFERROR((($C$72*(1+$B153)*E$148)/C125)^(1/($N$78))-1,0)</f>
        <v>0.324987673486409</v>
      </c>
      <c r="F153" s="347">
        <f>IFERROR((($C$72*(1+$B153)*F$148)/C125)^(1/($N$78))-1,0)</f>
        <v>0.34264324842378824</v>
      </c>
      <c r="G153" s="347">
        <f>IFERROR((($C$72*(1+$B153)*G$148)/C125)^(1/($N$78))-1,0)</f>
        <v>0.3584117461866474</v>
      </c>
      <c r="H153" s="347">
        <f>IFERROR((($C$72*(1+$B153)*H$148)/C125)^(1/($N$78))-1,0)</f>
        <v>0.37267400656334981</v>
      </c>
      <c r="I153" s="329"/>
      <c r="J153" s="329"/>
      <c r="K153" s="329"/>
      <c r="L153" s="329"/>
      <c r="M153" s="329"/>
      <c r="N153" s="329"/>
    </row>
    <row r="154" spans="2:14" x14ac:dyDescent="0.35">
      <c r="B154" s="277">
        <v>0.2</v>
      </c>
      <c r="C154" s="329"/>
      <c r="D154" s="347">
        <f>IFERROR((($C$72*(1+$B154)*D$148)/C125)^(1/($N$78))-1,0)</f>
        <v>0.31619839335841093</v>
      </c>
      <c r="E154" s="347">
        <f>IFERROR((($C$72*(1+$B154)*E$148)/C125)^(1/($N$78))-1,0)</f>
        <v>0.33646580808871485</v>
      </c>
      <c r="F154" s="347">
        <f>IFERROR((($C$72*(1+$B154)*F$148)/C125)^(1/($N$78))-1,0)</f>
        <v>0.35427433015886178</v>
      </c>
      <c r="G154" s="347">
        <f>IFERROR((($C$72*(1+$B154)*G$148)/C125)^(1/($N$78))-1,0)</f>
        <v>0.37017942763764289</v>
      </c>
      <c r="H154" s="347">
        <f>IFERROR((($C$72*(1+$B154)*H$148)/C125)^(1/($N$78))-1,0)</f>
        <v>0.38456523946136079</v>
      </c>
      <c r="I154" s="329"/>
      <c r="J154" s="329"/>
      <c r="K154" s="329"/>
      <c r="L154" s="329"/>
      <c r="M154" s="329"/>
      <c r="N154" s="329"/>
    </row>
    <row r="155" spans="2:14" x14ac:dyDescent="0.35">
      <c r="B155" s="329"/>
      <c r="C155" s="329"/>
      <c r="D155" s="329"/>
      <c r="E155" s="329"/>
      <c r="F155" s="329"/>
      <c r="G155" s="329"/>
      <c r="H155" s="329"/>
      <c r="I155" s="329"/>
      <c r="J155" s="329"/>
      <c r="K155" s="329"/>
      <c r="L155" s="329"/>
      <c r="M155" s="329"/>
      <c r="N155" s="329"/>
    </row>
    <row r="156" spans="2:14" x14ac:dyDescent="0.35">
      <c r="B156" s="329"/>
      <c r="C156" s="329"/>
      <c r="D156" s="329"/>
      <c r="E156" s="329"/>
      <c r="F156" s="329"/>
      <c r="G156" s="329"/>
      <c r="H156" s="329"/>
      <c r="I156" s="329"/>
      <c r="J156" s="329"/>
      <c r="K156" s="329"/>
      <c r="L156" s="329"/>
      <c r="M156" s="329"/>
      <c r="N156" s="329"/>
    </row>
    <row r="157" spans="2:14" x14ac:dyDescent="0.35">
      <c r="B157" s="329"/>
      <c r="C157" s="329"/>
      <c r="D157" s="329"/>
      <c r="E157" s="329"/>
      <c r="F157" s="329"/>
      <c r="G157" s="329"/>
      <c r="H157" s="329"/>
      <c r="I157" s="329"/>
      <c r="J157" s="329"/>
      <c r="K157" s="329"/>
      <c r="L157" s="329"/>
      <c r="M157" s="329"/>
      <c r="N157" s="329"/>
    </row>
    <row r="158" spans="2:14" x14ac:dyDescent="0.35">
      <c r="B158" s="719" t="s">
        <v>55</v>
      </c>
      <c r="C158" s="704"/>
      <c r="D158" s="704"/>
      <c r="E158" s="704"/>
      <c r="F158" s="704"/>
      <c r="G158" s="704"/>
      <c r="H158" s="704"/>
      <c r="I158" s="704"/>
      <c r="J158" s="704"/>
      <c r="K158" s="704"/>
      <c r="L158" s="704"/>
      <c r="M158" s="704"/>
      <c r="N158" s="704"/>
    </row>
    <row r="159" spans="2:14" x14ac:dyDescent="0.35">
      <c r="B159" s="329"/>
      <c r="C159" s="329"/>
      <c r="D159" s="329"/>
      <c r="E159" s="329"/>
      <c r="F159" s="329"/>
      <c r="G159" s="329"/>
      <c r="H159" s="329"/>
      <c r="I159" s="329"/>
      <c r="J159" s="329"/>
      <c r="K159" s="329"/>
      <c r="L159" s="329"/>
      <c r="M159" s="329"/>
      <c r="N159" s="329"/>
    </row>
    <row r="160" spans="2:14" x14ac:dyDescent="0.35">
      <c r="B160" s="246" t="s">
        <v>38</v>
      </c>
      <c r="C160" s="246" t="s">
        <v>39</v>
      </c>
      <c r="D160" s="246" t="s">
        <v>56</v>
      </c>
      <c r="E160" s="329"/>
      <c r="F160" s="329"/>
      <c r="G160" s="329"/>
      <c r="H160" s="329"/>
      <c r="I160" s="329"/>
      <c r="J160" s="329"/>
      <c r="K160" s="329"/>
      <c r="L160" s="329"/>
      <c r="M160" s="329"/>
      <c r="N160" s="329"/>
    </row>
    <row r="161" spans="2:4" x14ac:dyDescent="0.35">
      <c r="B161" s="185" t="s">
        <v>269</v>
      </c>
      <c r="C161" s="382">
        <f>C91</f>
        <v>92246991.982150912</v>
      </c>
      <c r="D161" s="185" t="s">
        <v>303</v>
      </c>
    </row>
    <row r="162" spans="2:4" x14ac:dyDescent="0.35">
      <c r="B162" s="185" t="s">
        <v>69</v>
      </c>
      <c r="C162" s="382">
        <f>C98</f>
        <v>99076991.982150912</v>
      </c>
      <c r="D162" s="185" t="s">
        <v>70</v>
      </c>
    </row>
    <row r="163" spans="2:4" x14ac:dyDescent="0.35">
      <c r="B163" s="329" t="s">
        <v>304</v>
      </c>
      <c r="C163" s="349">
        <f>C72</f>
        <v>16893777.659875534</v>
      </c>
      <c r="D163" s="329" t="s">
        <v>305</v>
      </c>
    </row>
    <row r="164" spans="2:4" x14ac:dyDescent="0.35">
      <c r="B164" s="329" t="s">
        <v>306</v>
      </c>
      <c r="C164" s="351">
        <f>C73</f>
        <v>8</v>
      </c>
      <c r="D164" s="329" t="s">
        <v>60</v>
      </c>
    </row>
    <row r="165" spans="2:4" x14ac:dyDescent="0.35">
      <c r="B165" s="329" t="s">
        <v>63</v>
      </c>
      <c r="C165" s="349">
        <f>C74</f>
        <v>135150221.27900428</v>
      </c>
      <c r="D165" s="329" t="s">
        <v>307</v>
      </c>
    </row>
    <row r="166" spans="2:4" x14ac:dyDescent="0.35">
      <c r="B166" s="329" t="s">
        <v>57</v>
      </c>
      <c r="C166" s="263">
        <f>C47</f>
        <v>0.1</v>
      </c>
      <c r="D166" s="329" t="s">
        <v>308</v>
      </c>
    </row>
    <row r="167" spans="2:4" x14ac:dyDescent="0.35">
      <c r="B167" s="329"/>
      <c r="C167" s="329"/>
      <c r="D167" s="329"/>
    </row>
    <row r="168" spans="2:4" x14ac:dyDescent="0.35">
      <c r="B168" s="275" t="s">
        <v>199</v>
      </c>
      <c r="C168" s="276">
        <f>C109</f>
        <v>0.754637883243928</v>
      </c>
      <c r="D168" s="275" t="s">
        <v>309</v>
      </c>
    </row>
    <row r="169" spans="2:4" x14ac:dyDescent="0.35">
      <c r="B169" s="275" t="s">
        <v>203</v>
      </c>
      <c r="C169" s="276">
        <f>C123</f>
        <v>0.36201055642999869</v>
      </c>
      <c r="D169" s="275" t="s">
        <v>310</v>
      </c>
    </row>
    <row r="170" spans="2:4" x14ac:dyDescent="0.35">
      <c r="B170" s="275" t="s">
        <v>52</v>
      </c>
      <c r="C170" s="377">
        <f>C127</f>
        <v>21.96871912931644</v>
      </c>
      <c r="D170" s="275" t="s">
        <v>311</v>
      </c>
    </row>
    <row r="171" spans="2:4" x14ac:dyDescent="0.35">
      <c r="B171" s="329" t="s">
        <v>54</v>
      </c>
      <c r="C171" s="329" t="str">
        <f>C128</f>
        <v>FY29</v>
      </c>
      <c r="D171" s="329" t="s">
        <v>312</v>
      </c>
    </row>
    <row r="172" spans="2:4" x14ac:dyDescent="0.35">
      <c r="B172" s="329" t="s">
        <v>80</v>
      </c>
      <c r="C172" s="263">
        <f>C130</f>
        <v>0.81987128154413469</v>
      </c>
      <c r="D172" s="329" t="s">
        <v>299</v>
      </c>
    </row>
    <row r="177" spans="2:13" x14ac:dyDescent="0.35">
      <c r="B177" s="329" t="s">
        <v>313</v>
      </c>
      <c r="C177" s="329">
        <v>-780000</v>
      </c>
      <c r="D177" s="329">
        <v>-3415000</v>
      </c>
      <c r="E177" s="329">
        <v>2446967.7799999998</v>
      </c>
      <c r="F177" s="329">
        <v>2345555.73</v>
      </c>
      <c r="G177" s="329">
        <v>2537387.96</v>
      </c>
      <c r="H177" s="329">
        <v>2772888.3</v>
      </c>
      <c r="I177" s="329">
        <v>0</v>
      </c>
      <c r="J177" s="329">
        <v>0</v>
      </c>
      <c r="K177" s="329">
        <v>0</v>
      </c>
      <c r="L177" s="329">
        <v>0</v>
      </c>
      <c r="M177" s="329">
        <v>57132790.93</v>
      </c>
    </row>
    <row r="178" spans="2:13" x14ac:dyDescent="0.35">
      <c r="B178" s="329" t="s">
        <v>314</v>
      </c>
      <c r="C178" s="329">
        <v>46203</v>
      </c>
      <c r="D178" s="329">
        <v>46568</v>
      </c>
      <c r="E178" s="329">
        <v>46934</v>
      </c>
      <c r="F178" s="329">
        <v>47299</v>
      </c>
      <c r="G178" s="329">
        <v>47664</v>
      </c>
      <c r="H178" s="329">
        <v>48029</v>
      </c>
      <c r="I178" s="329">
        <v>48395</v>
      </c>
      <c r="J178" s="329">
        <v>48760</v>
      </c>
      <c r="K178" s="329">
        <v>49125</v>
      </c>
      <c r="L178" s="329">
        <v>49490</v>
      </c>
      <c r="M178" s="329">
        <v>49856</v>
      </c>
    </row>
    <row r="179" spans="2:13" x14ac:dyDescent="0.35">
      <c r="B179" s="329"/>
      <c r="C179" s="329"/>
      <c r="D179" s="329"/>
      <c r="E179" s="329"/>
      <c r="F179" s="329"/>
      <c r="G179" s="329"/>
      <c r="H179" s="329"/>
      <c r="I179" s="329"/>
      <c r="J179" s="329"/>
      <c r="K179" s="329"/>
      <c r="L179" s="329"/>
      <c r="M179" s="329"/>
    </row>
    <row r="180" spans="2:13" x14ac:dyDescent="0.35">
      <c r="B180" s="278" t="s">
        <v>315</v>
      </c>
      <c r="C180" s="383">
        <f>F120+G120+H120+I120+N120</f>
        <v>167181952.57409811</v>
      </c>
      <c r="D180" s="329"/>
      <c r="E180" s="329"/>
      <c r="F180" s="329"/>
      <c r="G180" s="329"/>
      <c r="H180" s="329"/>
      <c r="I180" s="329"/>
      <c r="J180" s="329"/>
      <c r="K180" s="329"/>
      <c r="L180" s="329"/>
      <c r="M180" s="329"/>
    </row>
    <row r="181" spans="2:13" x14ac:dyDescent="0.35">
      <c r="B181" s="278" t="s">
        <v>316</v>
      </c>
      <c r="C181" s="383">
        <f>F107+G107+H107+I107+J107+K107+L107+M107+N107</f>
        <v>215759347.28605813</v>
      </c>
      <c r="D181" s="329"/>
      <c r="E181" s="329"/>
      <c r="F181" s="329"/>
      <c r="G181" s="329"/>
      <c r="H181" s="329"/>
      <c r="I181" s="329"/>
      <c r="J181" s="329"/>
      <c r="K181" s="329"/>
      <c r="L181" s="329"/>
      <c r="M181" s="329"/>
    </row>
    <row r="182" spans="2:13" x14ac:dyDescent="0.35">
      <c r="B182" s="278" t="s">
        <v>317</v>
      </c>
      <c r="C182" s="383">
        <f>-D107-E107</f>
        <v>780000</v>
      </c>
      <c r="D182" s="329"/>
      <c r="E182" s="329"/>
      <c r="F182" s="329"/>
      <c r="G182" s="329"/>
      <c r="H182" s="329"/>
      <c r="I182" s="329"/>
      <c r="J182" s="329"/>
      <c r="K182" s="329"/>
      <c r="L182" s="329"/>
      <c r="M182" s="329"/>
    </row>
  </sheetData>
  <mergeCells count="36">
    <mergeCell ref="B1:N1"/>
    <mergeCell ref="D15:N15"/>
    <mergeCell ref="D5:N5"/>
    <mergeCell ref="B29:N29"/>
    <mergeCell ref="D14:N14"/>
    <mergeCell ref="F24:N24"/>
    <mergeCell ref="B2:N2"/>
    <mergeCell ref="D9:N9"/>
    <mergeCell ref="D6:N6"/>
    <mergeCell ref="B4:N4"/>
    <mergeCell ref="D7:N7"/>
    <mergeCell ref="D8:N8"/>
    <mergeCell ref="F19:N19"/>
    <mergeCell ref="F25:N25"/>
    <mergeCell ref="F23:N23"/>
    <mergeCell ref="B50:N50"/>
    <mergeCell ref="F22:N22"/>
    <mergeCell ref="D11:N11"/>
    <mergeCell ref="D13:N13"/>
    <mergeCell ref="D16:N16"/>
    <mergeCell ref="B135:I135"/>
    <mergeCell ref="F21:N21"/>
    <mergeCell ref="F20:N20"/>
    <mergeCell ref="B158:N158"/>
    <mergeCell ref="D10:N10"/>
    <mergeCell ref="F26:N26"/>
    <mergeCell ref="B51:N51"/>
    <mergeCell ref="B133:N133"/>
    <mergeCell ref="B103:D103"/>
    <mergeCell ref="B76:N76"/>
    <mergeCell ref="B86:N86"/>
    <mergeCell ref="B146:I146"/>
    <mergeCell ref="B113:D113"/>
    <mergeCell ref="B101:N101"/>
    <mergeCell ref="D12:N12"/>
    <mergeCell ref="B69:N69"/>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595959"/>
  </sheetPr>
  <dimension ref="A1:A6"/>
  <sheetViews>
    <sheetView showGridLines="0" workbookViewId="0"/>
  </sheetViews>
  <sheetFormatPr defaultRowHeight="14.5" x14ac:dyDescent="0.35"/>
  <cols>
    <col min="1" max="1" width="34" customWidth="1"/>
  </cols>
  <sheetData>
    <row r="1" spans="1:1" ht="24" customHeight="1" x14ac:dyDescent="0.35">
      <c r="A1" s="71" t="s">
        <v>318</v>
      </c>
    </row>
    <row r="2" spans="1:1" x14ac:dyDescent="0.35">
      <c r="A2" s="331"/>
    </row>
    <row r="3" spans="1:1" x14ac:dyDescent="0.35">
      <c r="A3" s="72" t="s">
        <v>319</v>
      </c>
    </row>
    <row r="4" spans="1:1" x14ac:dyDescent="0.35">
      <c r="A4" s="72" t="s">
        <v>320</v>
      </c>
    </row>
    <row r="5" spans="1:1" ht="43.5" customHeight="1" x14ac:dyDescent="0.35">
      <c r="A5" s="72" t="s">
        <v>321</v>
      </c>
    </row>
    <row r="6" spans="1:1" x14ac:dyDescent="0.35">
      <c r="A6" s="72" t="s">
        <v>322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3" tint="0.499984740745262"/>
    <pageSetUpPr fitToPage="1"/>
  </sheetPr>
  <dimension ref="A1:U40"/>
  <sheetViews>
    <sheetView showGridLines="0" workbookViewId="0">
      <selection activeCell="B7" sqref="B7"/>
    </sheetView>
  </sheetViews>
  <sheetFormatPr defaultRowHeight="14.5" x14ac:dyDescent="0.35"/>
  <cols>
    <col min="1" max="1" width="34" bestFit="1" customWidth="1"/>
    <col min="2" max="2" width="11.81640625" bestFit="1" customWidth="1"/>
    <col min="3" max="3" width="14.1796875" bestFit="1" customWidth="1"/>
    <col min="4" max="4" width="30" customWidth="1"/>
    <col min="5" max="12" width="20.453125" customWidth="1"/>
  </cols>
  <sheetData>
    <row r="1" spans="1:21" ht="24" customHeight="1" x14ac:dyDescent="0.5">
      <c r="A1" s="214" t="s">
        <v>323</v>
      </c>
      <c r="B1" s="290"/>
      <c r="C1" s="290"/>
      <c r="D1" s="290"/>
      <c r="E1" s="290"/>
      <c r="F1" s="290"/>
      <c r="G1" s="290"/>
      <c r="H1" s="290"/>
      <c r="I1" s="290"/>
      <c r="J1" s="290"/>
      <c r="K1" s="290"/>
      <c r="L1" s="290"/>
      <c r="M1" s="290"/>
      <c r="N1" s="290"/>
      <c r="O1" s="290"/>
      <c r="P1" s="290"/>
      <c r="Q1" s="290"/>
      <c r="R1" s="290"/>
      <c r="S1" s="290"/>
      <c r="T1" s="290"/>
      <c r="U1" s="290"/>
    </row>
    <row r="2" spans="1:21" ht="16.5" customHeight="1" x14ac:dyDescent="0.35">
      <c r="A2" s="215" t="s">
        <v>324</v>
      </c>
      <c r="B2" s="290"/>
      <c r="C2" s="290"/>
      <c r="D2" s="290"/>
      <c r="E2" s="290"/>
      <c r="F2" s="290"/>
      <c r="G2" s="290"/>
      <c r="H2" s="290"/>
      <c r="I2" s="290"/>
      <c r="J2" s="290"/>
      <c r="K2" s="290"/>
      <c r="L2" s="290"/>
      <c r="M2" s="290"/>
      <c r="N2" s="290"/>
      <c r="O2" s="290"/>
      <c r="P2" s="290"/>
      <c r="Q2" s="290"/>
      <c r="R2" s="290"/>
      <c r="S2" s="290"/>
      <c r="T2" s="290"/>
      <c r="U2" s="290"/>
    </row>
    <row r="3" spans="1:21" ht="24" customHeight="1" x14ac:dyDescent="0.35">
      <c r="A3" s="290"/>
      <c r="B3" s="290"/>
      <c r="C3" s="290"/>
      <c r="D3" s="290"/>
      <c r="E3" s="290"/>
      <c r="F3" s="290"/>
      <c r="G3" s="290"/>
      <c r="H3" s="290"/>
      <c r="I3" s="290"/>
      <c r="J3" s="290"/>
      <c r="K3" s="290"/>
      <c r="L3" s="290"/>
      <c r="M3" s="290"/>
      <c r="N3" s="329"/>
      <c r="O3" s="329"/>
      <c r="P3" s="329"/>
      <c r="Q3" s="329"/>
      <c r="R3" s="329"/>
      <c r="S3" s="329"/>
      <c r="T3" s="290"/>
      <c r="U3" s="290"/>
    </row>
    <row r="4" spans="1:21" ht="15.65" customHeight="1" x14ac:dyDescent="0.35">
      <c r="A4" s="293" t="s">
        <v>325</v>
      </c>
      <c r="B4" s="216" t="s">
        <v>326</v>
      </c>
      <c r="C4" s="290"/>
      <c r="D4" s="727" t="s">
        <v>327</v>
      </c>
      <c r="E4" s="728"/>
      <c r="F4" s="728"/>
      <c r="G4" s="728"/>
      <c r="H4" s="728"/>
      <c r="I4" s="728"/>
      <c r="J4" s="728"/>
      <c r="K4" s="728"/>
      <c r="L4" s="728"/>
      <c r="M4" s="290"/>
      <c r="N4" s="329"/>
      <c r="O4" s="329"/>
      <c r="P4" s="329"/>
      <c r="Q4" s="329"/>
      <c r="R4" s="329"/>
      <c r="S4" s="329"/>
      <c r="T4" s="290"/>
      <c r="U4" s="290"/>
    </row>
    <row r="5" spans="1:21" x14ac:dyDescent="0.35">
      <c r="A5" s="218" t="s">
        <v>328</v>
      </c>
      <c r="B5" s="294"/>
      <c r="C5" s="290"/>
      <c r="D5" s="219" t="s">
        <v>329</v>
      </c>
      <c r="E5" s="220" t="s">
        <v>330</v>
      </c>
      <c r="F5" s="220" t="s">
        <v>331</v>
      </c>
      <c r="G5" s="220" t="s">
        <v>332</v>
      </c>
      <c r="H5" s="220" t="s">
        <v>333</v>
      </c>
      <c r="I5" s="220" t="s">
        <v>334</v>
      </c>
      <c r="J5" s="220" t="s">
        <v>335</v>
      </c>
      <c r="K5" s="220" t="s">
        <v>336</v>
      </c>
      <c r="L5" s="220" t="s">
        <v>337</v>
      </c>
      <c r="M5" s="290"/>
      <c r="N5" s="329"/>
      <c r="O5" s="329"/>
      <c r="P5" s="329"/>
      <c r="Q5" s="329"/>
      <c r="R5" s="329"/>
      <c r="S5" s="329"/>
      <c r="T5" s="290"/>
      <c r="U5" s="290"/>
    </row>
    <row r="6" spans="1:21" x14ac:dyDescent="0.35">
      <c r="A6" s="295" t="s">
        <v>338</v>
      </c>
      <c r="B6" s="222">
        <f>Inputs!E272</f>
        <v>1</v>
      </c>
      <c r="C6" s="290"/>
      <c r="D6" s="223" t="s">
        <v>326</v>
      </c>
      <c r="E6" s="224">
        <v>1</v>
      </c>
      <c r="F6" s="224">
        <v>1</v>
      </c>
      <c r="G6" s="225">
        <v>0</v>
      </c>
      <c r="H6" s="225">
        <v>0</v>
      </c>
      <c r="I6" s="224">
        <v>1</v>
      </c>
      <c r="J6" s="224">
        <v>1</v>
      </c>
      <c r="K6" s="224">
        <v>1</v>
      </c>
      <c r="L6" s="226">
        <v>120</v>
      </c>
      <c r="M6" s="290"/>
      <c r="N6" s="329"/>
      <c r="O6" s="329"/>
      <c r="P6" s="329"/>
      <c r="Q6" s="329"/>
      <c r="R6" s="329"/>
      <c r="S6" s="329"/>
      <c r="T6" s="290"/>
      <c r="U6" s="290"/>
    </row>
    <row r="7" spans="1:21" x14ac:dyDescent="0.35">
      <c r="A7" s="295" t="s">
        <v>339</v>
      </c>
      <c r="B7" s="222">
        <f>Inputs!E273</f>
        <v>1</v>
      </c>
      <c r="C7" s="290"/>
      <c r="D7" s="223" t="s">
        <v>340</v>
      </c>
      <c r="E7" s="224">
        <v>1.1000000000000001</v>
      </c>
      <c r="F7" s="224">
        <v>0.95</v>
      </c>
      <c r="G7" s="225">
        <v>0</v>
      </c>
      <c r="H7" s="225">
        <v>0</v>
      </c>
      <c r="I7" s="224">
        <v>0.95</v>
      </c>
      <c r="J7" s="224">
        <v>0.95</v>
      </c>
      <c r="K7" s="224">
        <v>1.25</v>
      </c>
      <c r="L7" s="226">
        <v>150</v>
      </c>
      <c r="M7" s="290"/>
      <c r="N7" s="329"/>
      <c r="O7" s="329"/>
      <c r="P7" s="329"/>
      <c r="Q7" s="329"/>
      <c r="R7" s="329"/>
      <c r="S7" s="329"/>
      <c r="T7" s="290"/>
      <c r="U7" s="290"/>
    </row>
    <row r="8" spans="1:21" x14ac:dyDescent="0.35">
      <c r="A8" s="295" t="s">
        <v>341</v>
      </c>
      <c r="B8" s="227">
        <f>Inputs!E277</f>
        <v>0</v>
      </c>
      <c r="C8" s="290"/>
      <c r="D8" s="223" t="s">
        <v>342</v>
      </c>
      <c r="E8" s="224">
        <v>0.85</v>
      </c>
      <c r="F8" s="224">
        <v>1.1000000000000001</v>
      </c>
      <c r="G8" s="225">
        <v>0</v>
      </c>
      <c r="H8" s="225">
        <v>0</v>
      </c>
      <c r="I8" s="224">
        <v>1.1000000000000001</v>
      </c>
      <c r="J8" s="224">
        <v>1.05</v>
      </c>
      <c r="K8" s="224">
        <v>0.75</v>
      </c>
      <c r="L8" s="226">
        <v>90</v>
      </c>
      <c r="M8" s="290"/>
      <c r="N8" s="329"/>
      <c r="O8" s="329"/>
      <c r="P8" s="329"/>
      <c r="Q8" s="329"/>
      <c r="R8" s="329"/>
      <c r="S8" s="329"/>
      <c r="T8" s="290"/>
      <c r="U8" s="290"/>
    </row>
    <row r="9" spans="1:21" x14ac:dyDescent="0.35">
      <c r="A9" s="295" t="s">
        <v>343</v>
      </c>
      <c r="B9" s="227">
        <f>Inputs!E278</f>
        <v>0</v>
      </c>
      <c r="C9" s="290"/>
      <c r="D9" s="223" t="s">
        <v>344</v>
      </c>
      <c r="E9" s="224">
        <v>1</v>
      </c>
      <c r="F9" s="224">
        <v>1</v>
      </c>
      <c r="G9" s="225">
        <v>3</v>
      </c>
      <c r="H9" s="225">
        <v>0</v>
      </c>
      <c r="I9" s="224">
        <v>1</v>
      </c>
      <c r="J9" s="224">
        <v>1</v>
      </c>
      <c r="K9" s="224">
        <v>1</v>
      </c>
      <c r="L9" s="226">
        <v>120</v>
      </c>
      <c r="M9" s="290"/>
      <c r="N9" s="329"/>
      <c r="O9" s="329"/>
      <c r="P9" s="329"/>
      <c r="Q9" s="329"/>
      <c r="R9" s="329"/>
      <c r="S9" s="329"/>
      <c r="T9" s="290"/>
      <c r="U9" s="290"/>
    </row>
    <row r="10" spans="1:21" x14ac:dyDescent="0.35">
      <c r="A10" s="295" t="s">
        <v>345</v>
      </c>
      <c r="B10" s="222">
        <f>Inputs!E274</f>
        <v>1</v>
      </c>
      <c r="C10" s="290"/>
      <c r="D10" s="223" t="s">
        <v>346</v>
      </c>
      <c r="E10" s="224">
        <v>1</v>
      </c>
      <c r="F10" s="224">
        <v>1</v>
      </c>
      <c r="G10" s="225">
        <v>6</v>
      </c>
      <c r="H10" s="225">
        <v>0</v>
      </c>
      <c r="I10" s="224">
        <v>1</v>
      </c>
      <c r="J10" s="224">
        <v>1</v>
      </c>
      <c r="K10" s="224">
        <v>1</v>
      </c>
      <c r="L10" s="226">
        <v>120</v>
      </c>
      <c r="M10" s="290"/>
      <c r="N10" s="329"/>
      <c r="O10" s="329"/>
      <c r="P10" s="329"/>
      <c r="Q10" s="329"/>
      <c r="R10" s="329"/>
      <c r="S10" s="329"/>
      <c r="T10" s="290"/>
      <c r="U10" s="290"/>
    </row>
    <row r="11" spans="1:21" x14ac:dyDescent="0.35">
      <c r="A11" s="295" t="s">
        <v>347</v>
      </c>
      <c r="B11" s="222">
        <f>Inputs!E275</f>
        <v>1</v>
      </c>
      <c r="C11" s="290"/>
      <c r="D11" s="223" t="s">
        <v>348</v>
      </c>
      <c r="E11" s="224">
        <v>1</v>
      </c>
      <c r="F11" s="224">
        <v>1</v>
      </c>
      <c r="G11" s="225">
        <v>0</v>
      </c>
      <c r="H11" s="225">
        <v>0</v>
      </c>
      <c r="I11" s="224">
        <v>1.1000000000000001</v>
      </c>
      <c r="J11" s="224">
        <v>1</v>
      </c>
      <c r="K11" s="224">
        <v>1</v>
      </c>
      <c r="L11" s="226">
        <v>120</v>
      </c>
      <c r="M11" s="290"/>
      <c r="N11" s="329"/>
      <c r="O11" s="329"/>
      <c r="P11" s="329"/>
      <c r="Q11" s="329"/>
      <c r="R11" s="329"/>
      <c r="S11" s="329"/>
      <c r="T11" s="290"/>
      <c r="U11" s="290"/>
    </row>
    <row r="12" spans="1:21" x14ac:dyDescent="0.35">
      <c r="A12" s="295" t="s">
        <v>349</v>
      </c>
      <c r="B12" s="222">
        <f>Inputs!E276</f>
        <v>1</v>
      </c>
      <c r="C12" s="290"/>
      <c r="D12" s="223" t="s">
        <v>350</v>
      </c>
      <c r="E12" s="224">
        <v>1</v>
      </c>
      <c r="F12" s="224">
        <v>1</v>
      </c>
      <c r="G12" s="225">
        <v>0</v>
      </c>
      <c r="H12" s="225">
        <v>0</v>
      </c>
      <c r="I12" s="224">
        <v>1.2</v>
      </c>
      <c r="J12" s="224">
        <v>1</v>
      </c>
      <c r="K12" s="224">
        <v>1</v>
      </c>
      <c r="L12" s="226">
        <v>120</v>
      </c>
      <c r="M12" s="290"/>
      <c r="N12" s="329"/>
      <c r="O12" s="329"/>
      <c r="P12" s="329"/>
      <c r="Q12" s="329"/>
      <c r="R12" s="329"/>
      <c r="S12" s="329"/>
      <c r="T12" s="290"/>
      <c r="U12" s="290"/>
    </row>
    <row r="13" spans="1:21" x14ac:dyDescent="0.35">
      <c r="A13" s="63"/>
      <c r="B13" s="290"/>
      <c r="C13" s="290"/>
      <c r="D13" s="223" t="s">
        <v>351</v>
      </c>
      <c r="E13" s="224">
        <v>0.9</v>
      </c>
      <c r="F13" s="224">
        <v>1</v>
      </c>
      <c r="G13" s="225">
        <v>0</v>
      </c>
      <c r="H13" s="225">
        <v>0</v>
      </c>
      <c r="I13" s="224">
        <v>1</v>
      </c>
      <c r="J13" s="224">
        <v>1</v>
      </c>
      <c r="K13" s="224">
        <v>1</v>
      </c>
      <c r="L13" s="226">
        <v>120</v>
      </c>
      <c r="M13" s="290"/>
      <c r="N13" s="329"/>
      <c r="O13" s="329"/>
      <c r="P13" s="329"/>
      <c r="Q13" s="329"/>
      <c r="R13" s="329"/>
      <c r="S13" s="329"/>
      <c r="T13" s="290"/>
      <c r="U13" s="290"/>
    </row>
    <row r="14" spans="1:21" x14ac:dyDescent="0.35">
      <c r="A14" s="63"/>
      <c r="B14" s="296"/>
      <c r="C14" s="290"/>
      <c r="D14" s="290"/>
      <c r="E14" s="290"/>
      <c r="F14" s="290"/>
      <c r="G14" s="290"/>
      <c r="H14" s="290"/>
      <c r="I14" s="290"/>
      <c r="J14" s="290"/>
      <c r="K14" s="290"/>
      <c r="L14" s="290"/>
      <c r="M14" s="290"/>
      <c r="N14" s="329"/>
      <c r="O14" s="329"/>
      <c r="P14" s="329"/>
      <c r="Q14" s="329"/>
      <c r="R14" s="329"/>
      <c r="S14" s="329"/>
      <c r="T14" s="290"/>
      <c r="U14" s="290"/>
    </row>
    <row r="15" spans="1:21" x14ac:dyDescent="0.35">
      <c r="A15" s="297" t="s">
        <v>352</v>
      </c>
      <c r="B15" s="228"/>
      <c r="C15" s="217"/>
      <c r="D15" s="217"/>
      <c r="E15" s="217"/>
      <c r="F15" s="217"/>
      <c r="G15" s="290"/>
      <c r="H15" s="298" t="s">
        <v>353</v>
      </c>
      <c r="I15" s="217"/>
      <c r="J15" s="217"/>
      <c r="K15" s="217"/>
      <c r="L15" s="217"/>
      <c r="M15" s="290"/>
      <c r="N15" s="329"/>
      <c r="O15" s="329"/>
      <c r="P15" s="329"/>
      <c r="Q15" s="329"/>
      <c r="R15" s="329"/>
      <c r="S15" s="329"/>
      <c r="T15" s="290"/>
      <c r="U15" s="290"/>
    </row>
    <row r="16" spans="1:21" x14ac:dyDescent="0.35">
      <c r="A16" s="218" t="s">
        <v>38</v>
      </c>
      <c r="B16" s="229" t="s">
        <v>354</v>
      </c>
      <c r="C16" s="221" t="s">
        <v>355</v>
      </c>
      <c r="D16" s="221" t="s">
        <v>356</v>
      </c>
      <c r="E16" s="221" t="s">
        <v>357</v>
      </c>
      <c r="F16" s="221" t="s">
        <v>358</v>
      </c>
      <c r="G16" s="290"/>
      <c r="H16" s="230" t="s">
        <v>329</v>
      </c>
      <c r="I16" s="230" t="s">
        <v>359</v>
      </c>
      <c r="J16" s="230" t="s">
        <v>360</v>
      </c>
      <c r="K16" s="230" t="s">
        <v>361</v>
      </c>
      <c r="L16" s="230" t="s">
        <v>362</v>
      </c>
      <c r="M16" s="290"/>
      <c r="N16" s="329"/>
      <c r="O16" s="329"/>
      <c r="P16" s="329"/>
      <c r="Q16" s="329"/>
      <c r="R16" s="329"/>
      <c r="S16" s="329"/>
      <c r="T16" s="290"/>
      <c r="U16" s="290"/>
    </row>
    <row r="17" spans="1:12" x14ac:dyDescent="0.35">
      <c r="A17" s="63" t="s">
        <v>363</v>
      </c>
      <c r="B17" s="384">
        <f>IFERROR(Dashboard!N7/B6,Dashboard!N7)</f>
        <v>23361053.072145991</v>
      </c>
      <c r="C17" s="385">
        <f>Dashboard!N7</f>
        <v>23361053.072145991</v>
      </c>
      <c r="D17" s="385">
        <f t="shared" ref="D17:D22" si="0">C17-B17</f>
        <v>0</v>
      </c>
      <c r="E17" s="386">
        <f t="shared" ref="E17:E22" si="1">IFERROR(D17/B17,0)</f>
        <v>0</v>
      </c>
      <c r="F17" s="299" t="str">
        <f>IF(E17&gt;0.02,"▲ Up",IF(E17&lt;-0.02,"▼ Down","◆ Same"))</f>
        <v>◆ Same</v>
      </c>
      <c r="G17" s="290"/>
      <c r="H17" s="290" t="s">
        <v>326</v>
      </c>
      <c r="I17" s="300">
        <v>0</v>
      </c>
      <c r="J17" s="300">
        <v>0</v>
      </c>
      <c r="K17" s="290" t="s">
        <v>364</v>
      </c>
      <c r="L17" s="290" t="s">
        <v>365</v>
      </c>
    </row>
    <row r="18" spans="1:12" x14ac:dyDescent="0.35">
      <c r="A18" s="63" t="s">
        <v>366</v>
      </c>
      <c r="B18" s="384">
        <f>IFERROR(Dashboard!N7/B6 - (Dashboard!N7-Dashboard!N8)/B7, Dashboard!N8)</f>
        <v>16893777.659875534</v>
      </c>
      <c r="C18" s="385">
        <f>Dashboard!N8</f>
        <v>16893777.659875534</v>
      </c>
      <c r="D18" s="385">
        <f t="shared" si="0"/>
        <v>0</v>
      </c>
      <c r="E18" s="386">
        <f t="shared" si="1"/>
        <v>0</v>
      </c>
      <c r="F18" s="299" t="str">
        <f>IF(E18&gt;0.02,"▲ Up",IF(E18&lt;-0.02,"▼ Down","◆ Same"))</f>
        <v>◆ Same</v>
      </c>
      <c r="G18" s="290"/>
      <c r="H18" s="290" t="s">
        <v>340</v>
      </c>
      <c r="I18" s="300">
        <v>0.1</v>
      </c>
      <c r="J18" s="300">
        <v>-0.05</v>
      </c>
      <c r="K18" s="301">
        <f>3-5%</f>
        <v>2.95</v>
      </c>
      <c r="L18" s="290" t="s">
        <v>367</v>
      </c>
    </row>
    <row r="19" spans="1:12" x14ac:dyDescent="0.35">
      <c r="A19" s="63" t="s">
        <v>48</v>
      </c>
      <c r="B19" s="240">
        <f>Valuations!C20</f>
        <v>0.754637883243928</v>
      </c>
      <c r="C19" s="301">
        <f>Valuations!C20</f>
        <v>0.754637883243928</v>
      </c>
      <c r="D19" s="301">
        <f t="shared" si="0"/>
        <v>0</v>
      </c>
      <c r="E19" s="386">
        <f t="shared" si="1"/>
        <v>0</v>
      </c>
      <c r="F19" s="299" t="str">
        <f>IF(E19&gt;0.02,"▲ Up",IF(E19&lt;-0.02,"▼ Down","◆ Same"))</f>
        <v>◆ Same</v>
      </c>
      <c r="G19" s="290"/>
      <c r="H19" s="290" t="s">
        <v>342</v>
      </c>
      <c r="I19" s="300">
        <v>-0.15</v>
      </c>
      <c r="J19" s="300">
        <v>0.1</v>
      </c>
      <c r="K19" s="301">
        <f>-5-8%</f>
        <v>-5.08</v>
      </c>
      <c r="L19" s="290" t="s">
        <v>368</v>
      </c>
    </row>
    <row r="20" spans="1:12" x14ac:dyDescent="0.35">
      <c r="A20" s="63" t="s">
        <v>50</v>
      </c>
      <c r="B20" s="240">
        <f>Valuations!C22</f>
        <v>0.36201055642999869</v>
      </c>
      <c r="C20" s="301">
        <f>Valuations!C22</f>
        <v>0.36201055642999869</v>
      </c>
      <c r="D20" s="301">
        <f t="shared" si="0"/>
        <v>0</v>
      </c>
      <c r="E20" s="386">
        <f t="shared" si="1"/>
        <v>0</v>
      </c>
      <c r="F20" s="299" t="str">
        <f>IF(E20&gt;0.02,"▲ Up",IF(E20&lt;-0.02,"▼ Down","◆ Same"))</f>
        <v>◆ Same</v>
      </c>
      <c r="G20" s="290"/>
      <c r="H20" s="290" t="s">
        <v>369</v>
      </c>
      <c r="I20" s="300">
        <v>0</v>
      </c>
      <c r="J20" s="300">
        <v>0</v>
      </c>
      <c r="K20" s="301">
        <f>-1-2%</f>
        <v>-1.02</v>
      </c>
      <c r="L20" s="290" t="s">
        <v>370</v>
      </c>
    </row>
    <row r="21" spans="1:12" x14ac:dyDescent="0.35">
      <c r="A21" s="63" t="s">
        <v>41</v>
      </c>
      <c r="B21" s="384">
        <f>Inputs!E113</f>
        <v>17075000</v>
      </c>
      <c r="C21" s="385">
        <f>Inputs!E113*B10</f>
        <v>17075000</v>
      </c>
      <c r="D21" s="385">
        <f t="shared" si="0"/>
        <v>0</v>
      </c>
      <c r="E21" s="386">
        <f t="shared" si="1"/>
        <v>0</v>
      </c>
      <c r="F21" s="299" t="str">
        <f>IF(E21&gt;0.02,"▼ Up (Bad)",IF(E21&lt;-0.02,"▲ Down (Good)","◆ Same"))</f>
        <v>◆ Same</v>
      </c>
      <c r="G21" s="290"/>
      <c r="H21" s="290" t="s">
        <v>371</v>
      </c>
      <c r="I21" s="300">
        <v>0</v>
      </c>
      <c r="J21" s="300">
        <v>0</v>
      </c>
      <c r="K21" s="301">
        <f>-2-4%</f>
        <v>-2.04</v>
      </c>
      <c r="L21" s="290" t="s">
        <v>368</v>
      </c>
    </row>
    <row r="22" spans="1:12" x14ac:dyDescent="0.35">
      <c r="A22" s="63" t="s">
        <v>372</v>
      </c>
      <c r="B22" s="387">
        <f>Dashboard!F11</f>
        <v>8.3450465499454438</v>
      </c>
      <c r="C22" s="388">
        <f>Dashboard!F11</f>
        <v>8.3450465499454438</v>
      </c>
      <c r="D22" s="388">
        <f t="shared" si="0"/>
        <v>0</v>
      </c>
      <c r="E22" s="386">
        <f t="shared" si="1"/>
        <v>0</v>
      </c>
      <c r="F22" s="299" t="str">
        <f>IF(E22&gt;0.02,"▲ Up",IF(E22&lt;-0.02,"▼ Down","◆ Same"))</f>
        <v>◆ Same</v>
      </c>
      <c r="G22" s="290"/>
      <c r="H22" s="290" t="s">
        <v>373</v>
      </c>
      <c r="I22" s="300">
        <v>0</v>
      </c>
      <c r="J22" s="300">
        <v>0.1</v>
      </c>
      <c r="K22" s="301">
        <f>-2-3%</f>
        <v>-2.0299999999999998</v>
      </c>
      <c r="L22" s="290" t="s">
        <v>370</v>
      </c>
    </row>
    <row r="23" spans="1:12" x14ac:dyDescent="0.35">
      <c r="A23" s="63" t="s">
        <v>54</v>
      </c>
      <c r="B23" s="241" t="str">
        <f>Valuations!C25</f>
        <v>FY29</v>
      </c>
      <c r="C23" s="302" t="str">
        <f>Valuations!C25</f>
        <v>FY29</v>
      </c>
      <c r="D23" s="290">
        <f>IFERROR(VALUE(RIGHT(C23,2))-VALUE(RIGHT(B23,2)),0)</f>
        <v>0</v>
      </c>
      <c r="E23" s="290" t="str">
        <f>"N/A"</f>
        <v>N/A</v>
      </c>
      <c r="F23" s="299" t="str">
        <f>"-"</f>
        <v>-</v>
      </c>
      <c r="G23" s="290"/>
      <c r="H23" s="290" t="s">
        <v>374</v>
      </c>
      <c r="I23" s="300">
        <v>0</v>
      </c>
      <c r="J23" s="300">
        <v>0.2</v>
      </c>
      <c r="K23" s="301">
        <f>-4-5%</f>
        <v>-4.05</v>
      </c>
      <c r="L23" s="290" t="s">
        <v>368</v>
      </c>
    </row>
    <row r="24" spans="1:12" x14ac:dyDescent="0.35">
      <c r="A24" s="63" t="s">
        <v>375</v>
      </c>
      <c r="B24" s="242">
        <f>Inputs!E287</f>
        <v>1</v>
      </c>
      <c r="C24" s="290"/>
      <c r="D24" s="290"/>
      <c r="E24" s="290"/>
      <c r="F24" s="290"/>
      <c r="G24" s="290"/>
      <c r="H24" s="290" t="s">
        <v>376</v>
      </c>
      <c r="I24" s="300">
        <v>-0.1</v>
      </c>
      <c r="J24" s="300">
        <v>0</v>
      </c>
      <c r="K24" s="301">
        <f>-2-3%</f>
        <v>-2.0299999999999998</v>
      </c>
      <c r="L24" s="290" t="s">
        <v>370</v>
      </c>
    </row>
    <row r="25" spans="1:12" x14ac:dyDescent="0.35">
      <c r="A25" s="298" t="s">
        <v>377</v>
      </c>
      <c r="B25" s="217"/>
      <c r="C25" s="290"/>
      <c r="D25" s="290"/>
      <c r="E25" s="290"/>
      <c r="F25" s="290"/>
      <c r="G25" s="290"/>
      <c r="H25" s="290"/>
      <c r="I25" s="290"/>
      <c r="J25" s="290"/>
      <c r="K25" s="290"/>
      <c r="L25" s="290"/>
    </row>
    <row r="26" spans="1:12" x14ac:dyDescent="0.35">
      <c r="A26" s="221" t="s">
        <v>378</v>
      </c>
      <c r="B26" s="221" t="s">
        <v>39</v>
      </c>
      <c r="C26" s="290"/>
      <c r="D26" s="290"/>
      <c r="E26" s="290"/>
      <c r="F26" s="290"/>
      <c r="G26" s="290"/>
      <c r="H26" s="290"/>
      <c r="I26" s="290"/>
      <c r="J26" s="290"/>
      <c r="K26" s="290"/>
      <c r="L26" s="290"/>
    </row>
    <row r="27" spans="1:12" x14ac:dyDescent="0.35">
      <c r="A27" s="290" t="s">
        <v>379</v>
      </c>
      <c r="B27" s="303">
        <f>Inputs!E282</f>
        <v>1</v>
      </c>
      <c r="C27" s="290"/>
      <c r="D27" s="290"/>
      <c r="E27" s="290"/>
      <c r="F27" s="290"/>
      <c r="G27" s="290"/>
      <c r="H27" s="290"/>
      <c r="I27" s="290"/>
      <c r="J27" s="290"/>
      <c r="K27" s="290"/>
      <c r="L27" s="290"/>
    </row>
    <row r="28" spans="1:12" x14ac:dyDescent="0.35">
      <c r="A28" s="290" t="s">
        <v>380</v>
      </c>
      <c r="B28" s="303">
        <f>Inputs!E283</f>
        <v>1</v>
      </c>
      <c r="C28" s="290"/>
      <c r="D28" s="290"/>
      <c r="E28" s="290"/>
      <c r="F28" s="290"/>
      <c r="G28" s="290"/>
      <c r="H28" s="290"/>
      <c r="I28" s="290"/>
      <c r="J28" s="290"/>
      <c r="K28" s="290"/>
      <c r="L28" s="290"/>
    </row>
    <row r="29" spans="1:12" x14ac:dyDescent="0.35">
      <c r="A29" s="290" t="s">
        <v>381</v>
      </c>
      <c r="B29" s="303">
        <f>Inputs!E284</f>
        <v>1</v>
      </c>
      <c r="C29" s="290"/>
      <c r="D29" s="290"/>
      <c r="E29" s="290"/>
      <c r="F29" s="290"/>
      <c r="G29" s="290"/>
      <c r="H29" s="290"/>
      <c r="I29" s="290"/>
      <c r="J29" s="290"/>
      <c r="K29" s="290"/>
      <c r="L29" s="290"/>
    </row>
    <row r="30" spans="1:12" x14ac:dyDescent="0.35">
      <c r="A30" s="290" t="s">
        <v>382</v>
      </c>
      <c r="B30" s="303">
        <f>Inputs!E274</f>
        <v>1</v>
      </c>
      <c r="C30" s="290"/>
      <c r="D30" s="290"/>
      <c r="E30" s="290"/>
      <c r="F30" s="290"/>
      <c r="G30" s="290"/>
      <c r="H30" s="290"/>
      <c r="I30" s="290"/>
      <c r="J30" s="290"/>
      <c r="K30" s="290"/>
      <c r="L30" s="290"/>
    </row>
    <row r="31" spans="1:12" x14ac:dyDescent="0.35">
      <c r="A31" s="290" t="s">
        <v>383</v>
      </c>
      <c r="B31" s="303">
        <f>Inputs!E285</f>
        <v>1</v>
      </c>
      <c r="C31" s="290"/>
      <c r="D31" s="290"/>
      <c r="E31" s="290"/>
      <c r="F31" s="290"/>
      <c r="G31" s="290"/>
      <c r="H31" s="290"/>
      <c r="I31" s="290"/>
      <c r="J31" s="290"/>
      <c r="K31" s="290"/>
      <c r="L31" s="290"/>
    </row>
    <row r="32" spans="1:12" x14ac:dyDescent="0.35">
      <c r="A32" s="290" t="s">
        <v>384</v>
      </c>
      <c r="B32" s="303">
        <f>Inputs!E286</f>
        <v>1</v>
      </c>
      <c r="C32" s="290"/>
      <c r="D32" s="290"/>
      <c r="E32" s="290"/>
      <c r="F32" s="290"/>
      <c r="G32" s="290"/>
      <c r="H32" s="290"/>
      <c r="I32" s="290"/>
      <c r="J32" s="290"/>
      <c r="K32" s="290"/>
      <c r="L32" s="290"/>
    </row>
    <row r="33" spans="1:6" x14ac:dyDescent="0.35">
      <c r="A33" s="290" t="s">
        <v>385</v>
      </c>
      <c r="B33" s="303">
        <f>Inputs!E287</f>
        <v>1</v>
      </c>
      <c r="C33" s="290"/>
      <c r="D33" s="290"/>
      <c r="E33" s="290"/>
      <c r="F33" s="290"/>
    </row>
    <row r="34" spans="1:6" x14ac:dyDescent="0.35">
      <c r="A34" s="290"/>
      <c r="B34" s="290"/>
      <c r="C34" s="290"/>
      <c r="D34" s="290"/>
      <c r="E34" s="290"/>
      <c r="F34" s="290"/>
    </row>
    <row r="35" spans="1:6" x14ac:dyDescent="0.35">
      <c r="A35" s="298" t="s">
        <v>386</v>
      </c>
      <c r="B35" s="217"/>
      <c r="C35" s="217"/>
      <c r="D35" s="217"/>
      <c r="E35" s="217"/>
      <c r="F35" s="217"/>
    </row>
    <row r="36" spans="1:6" x14ac:dyDescent="0.35">
      <c r="A36" s="231" t="s">
        <v>387</v>
      </c>
      <c r="B36" s="290"/>
      <c r="C36" s="290"/>
      <c r="D36" s="290"/>
      <c r="E36" s="290"/>
      <c r="F36" s="290"/>
    </row>
    <row r="37" spans="1:6" x14ac:dyDescent="0.35">
      <c r="A37" s="231" t="s">
        <v>388</v>
      </c>
      <c r="B37" s="290"/>
      <c r="C37" s="290"/>
      <c r="D37" s="290"/>
      <c r="E37" s="290"/>
      <c r="F37" s="290"/>
    </row>
    <row r="38" spans="1:6" x14ac:dyDescent="0.35">
      <c r="A38" s="231" t="s">
        <v>389</v>
      </c>
      <c r="B38" s="290"/>
      <c r="C38" s="290"/>
      <c r="D38" s="290"/>
      <c r="E38" s="290"/>
      <c r="F38" s="290"/>
    </row>
    <row r="39" spans="1:6" x14ac:dyDescent="0.35">
      <c r="A39" s="231" t="s">
        <v>390</v>
      </c>
      <c r="B39" s="290"/>
      <c r="C39" s="290"/>
      <c r="D39" s="290"/>
      <c r="E39" s="290"/>
      <c r="F39" s="290"/>
    </row>
    <row r="40" spans="1:6" x14ac:dyDescent="0.35">
      <c r="A40" s="231" t="s">
        <v>391</v>
      </c>
      <c r="B40" s="290"/>
      <c r="C40" s="290"/>
      <c r="D40" s="290"/>
      <c r="E40" s="290"/>
      <c r="F40" s="290"/>
    </row>
  </sheetData>
  <mergeCells count="1">
    <mergeCell ref="D4:L4"/>
  </mergeCells>
  <dataValidations count="1">
    <dataValidation type="list" allowBlank="1" showInputMessage="1" showErrorMessage="1" sqref="B4" xr:uid="{00000000-0002-0000-0400-000000000000}">
      <formula1>"Base,Optimistic,Pessimistic,Delayed Opening +3m,Delayed Opening +6m,Higher Capex +10%,Higher Capex +20%,Sponsorship Underperformance"</formula1>
    </dataValidation>
  </dataValidations>
  <pageMargins left="0.25" right="0.25" top="0.35" bottom="0.35" header="0.2" footer="0.2"/>
  <pageSetup fitToHeight="0" orientation="landscape"/>
  <headerFooter>
    <oddHeader>&amp;C&amp;A</oddHeader>
    <oddFooter>&amp;CPage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00000"/>
    <pageSetUpPr fitToPage="1"/>
  </sheetPr>
  <dimension ref="A1:X568"/>
  <sheetViews>
    <sheetView showGridLines="0" topLeftCell="A123" zoomScaleNormal="100" workbookViewId="0">
      <selection activeCell="E145" sqref="E145"/>
    </sheetView>
  </sheetViews>
  <sheetFormatPr defaultRowHeight="14.5" x14ac:dyDescent="0.35"/>
  <cols>
    <col min="1" max="1" width="3.81640625" customWidth="1"/>
    <col min="2" max="2" width="4.54296875" customWidth="1"/>
    <col min="3" max="3" width="32.81640625" customWidth="1"/>
    <col min="4" max="4" width="10.90625" customWidth="1"/>
    <col min="5" max="5" width="16.36328125" customWidth="1"/>
    <col min="6" max="6" width="12.81640625" customWidth="1"/>
    <col min="7" max="7" width="57.36328125" customWidth="1"/>
    <col min="8" max="11" width="20.81640625" customWidth="1"/>
    <col min="12" max="12" width="18.81640625" bestFit="1" customWidth="1"/>
    <col min="13" max="13" width="23.54296875" bestFit="1" customWidth="1"/>
    <col min="14" max="15" width="18.81640625" bestFit="1" customWidth="1"/>
    <col min="16" max="16" width="13.81640625" customWidth="1"/>
    <col min="17" max="17" width="15.81640625" customWidth="1"/>
    <col min="18" max="20" width="13" customWidth="1"/>
    <col min="21" max="21" width="40" customWidth="1"/>
    <col min="22" max="22" width="13" customWidth="1"/>
    <col min="23" max="24" width="40" customWidth="1"/>
  </cols>
  <sheetData>
    <row r="1" spans="1:16" ht="24" customHeight="1" x14ac:dyDescent="0.35">
      <c r="A1" s="198"/>
      <c r="B1" s="198"/>
      <c r="C1" s="198"/>
      <c r="D1" s="199"/>
      <c r="E1" s="200"/>
      <c r="F1" s="201"/>
      <c r="G1" s="202" t="s">
        <v>392</v>
      </c>
      <c r="H1" s="198"/>
      <c r="I1" s="283"/>
      <c r="J1" s="283"/>
      <c r="K1" s="283"/>
      <c r="L1" s="283"/>
      <c r="M1" s="283"/>
      <c r="N1" s="283"/>
      <c r="O1" s="283"/>
      <c r="P1" s="283"/>
    </row>
    <row r="2" spans="1:16" ht="30" customHeight="1" x14ac:dyDescent="0.35">
      <c r="A2" s="198"/>
      <c r="B2" s="730" t="s">
        <v>393</v>
      </c>
      <c r="C2" s="704"/>
      <c r="D2" s="704"/>
      <c r="E2" s="704"/>
      <c r="F2" s="704"/>
      <c r="G2" s="704"/>
      <c r="H2" s="198"/>
      <c r="I2" s="283"/>
      <c r="J2" s="283"/>
      <c r="K2" s="283"/>
      <c r="L2" s="283"/>
      <c r="M2" s="283"/>
      <c r="N2" s="283"/>
      <c r="O2" s="283"/>
      <c r="P2" s="283"/>
    </row>
    <row r="3" spans="1:16" ht="21.75" customHeight="1" x14ac:dyDescent="0.35">
      <c r="A3" s="198"/>
      <c r="B3" s="729" t="s">
        <v>394</v>
      </c>
      <c r="C3" s="704"/>
      <c r="D3" s="704"/>
      <c r="E3" s="704"/>
      <c r="F3" s="704"/>
      <c r="G3" s="704"/>
      <c r="H3" s="198"/>
      <c r="I3" s="304"/>
      <c r="J3" s="304"/>
      <c r="K3" s="283"/>
      <c r="L3" s="283"/>
      <c r="M3" s="283"/>
      <c r="N3" s="283"/>
      <c r="O3" s="283"/>
      <c r="P3" s="283"/>
    </row>
    <row r="4" spans="1:16" ht="8.25" customHeight="1" x14ac:dyDescent="0.35">
      <c r="A4" s="198"/>
      <c r="B4" s="198"/>
      <c r="C4" s="198"/>
      <c r="D4" s="199"/>
      <c r="E4" s="200"/>
      <c r="F4" s="201"/>
      <c r="G4" s="199"/>
      <c r="H4" s="198"/>
      <c r="I4" s="304"/>
      <c r="J4" s="304"/>
      <c r="K4" s="283"/>
      <c r="L4" s="283"/>
      <c r="M4" s="283"/>
      <c r="N4" s="283"/>
      <c r="O4" s="283"/>
      <c r="P4" s="283"/>
    </row>
    <row r="5" spans="1:16" ht="21.75" customHeight="1" x14ac:dyDescent="0.35">
      <c r="A5" s="198"/>
      <c r="B5" s="198"/>
      <c r="C5" s="622" t="s">
        <v>395</v>
      </c>
      <c r="D5" s="623" t="s">
        <v>147</v>
      </c>
      <c r="E5" s="624" t="s">
        <v>39</v>
      </c>
      <c r="F5" s="625" t="s">
        <v>396</v>
      </c>
      <c r="G5" s="623" t="s">
        <v>56</v>
      </c>
      <c r="H5" s="198"/>
      <c r="I5" s="304"/>
      <c r="J5" s="304"/>
      <c r="K5" s="283"/>
      <c r="L5" s="283"/>
      <c r="M5" s="283"/>
      <c r="N5" s="283"/>
      <c r="O5" s="283"/>
      <c r="P5" s="283"/>
    </row>
    <row r="6" spans="1:16" ht="18" customHeight="1" x14ac:dyDescent="0.35">
      <c r="A6" s="198"/>
      <c r="B6" s="198"/>
      <c r="C6" s="198"/>
      <c r="D6" s="199"/>
      <c r="E6" s="200"/>
      <c r="F6" s="201"/>
      <c r="G6" s="199"/>
      <c r="H6" s="198"/>
      <c r="I6" s="304"/>
      <c r="J6" s="304"/>
      <c r="K6" s="283"/>
      <c r="L6" s="283"/>
      <c r="M6" s="283"/>
      <c r="N6" s="283"/>
      <c r="O6" s="283"/>
      <c r="P6" s="283"/>
    </row>
    <row r="7" spans="1:16" ht="24" customHeight="1" x14ac:dyDescent="0.35">
      <c r="A7" s="198"/>
      <c r="B7" s="731" t="s">
        <v>397</v>
      </c>
      <c r="C7" s="704"/>
      <c r="D7" s="704"/>
      <c r="E7" s="704"/>
      <c r="F7" s="704"/>
      <c r="G7" s="704"/>
      <c r="H7" s="198"/>
      <c r="I7" s="735" t="s">
        <v>398</v>
      </c>
      <c r="J7" s="736"/>
      <c r="K7" s="283"/>
      <c r="L7" s="283"/>
      <c r="M7" s="283"/>
      <c r="N7" s="283"/>
      <c r="O7" s="283"/>
      <c r="P7" s="283"/>
    </row>
    <row r="8" spans="1:16" ht="18" customHeight="1" x14ac:dyDescent="0.35">
      <c r="A8" s="198"/>
      <c r="B8" s="198"/>
      <c r="C8" s="198"/>
      <c r="D8" s="199"/>
      <c r="E8" s="200"/>
      <c r="F8" s="201"/>
      <c r="G8" s="199"/>
      <c r="H8" s="198"/>
      <c r="I8" s="203" t="s">
        <v>399</v>
      </c>
      <c r="J8" s="305"/>
      <c r="K8" s="283"/>
      <c r="L8" s="283"/>
      <c r="M8" s="283"/>
      <c r="N8" s="283"/>
      <c r="O8" s="283"/>
      <c r="P8" s="283"/>
    </row>
    <row r="9" spans="1:16" ht="18" customHeight="1" x14ac:dyDescent="0.35">
      <c r="A9" s="198"/>
      <c r="B9" s="198"/>
      <c r="C9" s="626" t="s">
        <v>400</v>
      </c>
      <c r="D9" s="627" t="s">
        <v>108</v>
      </c>
      <c r="E9" s="628">
        <v>45715</v>
      </c>
      <c r="F9" s="629"/>
      <c r="G9" s="208" t="s">
        <v>401</v>
      </c>
      <c r="H9" s="198"/>
      <c r="I9" s="204" t="s">
        <v>402</v>
      </c>
      <c r="J9" s="306"/>
      <c r="K9" s="283"/>
      <c r="L9" s="283"/>
      <c r="M9" s="283"/>
      <c r="N9" s="283"/>
      <c r="O9" s="283"/>
      <c r="P9" s="283"/>
    </row>
    <row r="10" spans="1:16" ht="18" customHeight="1" x14ac:dyDescent="0.35">
      <c r="A10" s="198"/>
      <c r="B10" s="198"/>
      <c r="C10" s="630" t="s">
        <v>403</v>
      </c>
      <c r="D10" s="631" t="s">
        <v>108</v>
      </c>
      <c r="E10" s="628">
        <v>50099</v>
      </c>
      <c r="F10" s="632"/>
      <c r="G10" s="633" t="s">
        <v>404</v>
      </c>
      <c r="H10" s="198"/>
      <c r="I10" s="204" t="s">
        <v>405</v>
      </c>
      <c r="J10" s="307"/>
      <c r="K10" s="283"/>
      <c r="L10" s="283"/>
      <c r="M10" s="283"/>
      <c r="N10" s="283"/>
      <c r="O10" s="283"/>
      <c r="P10" s="283"/>
    </row>
    <row r="11" spans="1:16" ht="18" customHeight="1" x14ac:dyDescent="0.35">
      <c r="A11" s="198"/>
      <c r="B11" s="198"/>
      <c r="C11" s="626" t="s">
        <v>406</v>
      </c>
      <c r="D11" s="627" t="s">
        <v>407</v>
      </c>
      <c r="E11" s="634">
        <v>12</v>
      </c>
      <c r="F11" s="629"/>
      <c r="G11" s="208" t="s">
        <v>408</v>
      </c>
      <c r="H11" s="198"/>
      <c r="I11" s="204" t="s">
        <v>409</v>
      </c>
      <c r="J11" s="308"/>
      <c r="K11" s="283"/>
      <c r="L11" s="283"/>
      <c r="M11" s="283"/>
      <c r="N11" s="283"/>
      <c r="O11" s="283"/>
      <c r="P11" s="283"/>
    </row>
    <row r="12" spans="1:16" ht="18" customHeight="1" x14ac:dyDescent="0.35">
      <c r="A12" s="198"/>
      <c r="B12" s="198"/>
      <c r="C12" s="630" t="s">
        <v>410</v>
      </c>
      <c r="D12" s="631"/>
      <c r="E12" s="634" t="s">
        <v>173</v>
      </c>
      <c r="F12" s="632"/>
      <c r="G12" s="633" t="s">
        <v>411</v>
      </c>
      <c r="H12" s="198"/>
      <c r="I12" s="204" t="s">
        <v>412</v>
      </c>
      <c r="J12" s="309"/>
      <c r="K12" s="283"/>
      <c r="L12" s="283"/>
      <c r="M12" s="283"/>
      <c r="N12" s="283"/>
      <c r="O12" s="283"/>
      <c r="P12" s="283"/>
    </row>
    <row r="13" spans="1:16" ht="18" customHeight="1" x14ac:dyDescent="0.35">
      <c r="A13" s="198"/>
      <c r="B13" s="198"/>
      <c r="C13" s="626"/>
      <c r="D13" s="627"/>
      <c r="E13" s="200"/>
      <c r="F13" s="629"/>
      <c r="G13" s="208"/>
      <c r="H13" s="198"/>
      <c r="I13" s="204" t="s">
        <v>413</v>
      </c>
      <c r="J13" s="310"/>
      <c r="K13" s="283"/>
      <c r="L13" s="283"/>
      <c r="M13" s="283"/>
      <c r="N13" s="283"/>
      <c r="O13" s="283"/>
      <c r="P13" s="283"/>
    </row>
    <row r="14" spans="1:16" ht="18" customHeight="1" x14ac:dyDescent="0.35">
      <c r="A14" s="198"/>
      <c r="B14" s="198"/>
      <c r="C14" s="626" t="s">
        <v>414</v>
      </c>
      <c r="D14" s="627" t="s">
        <v>108</v>
      </c>
      <c r="E14" s="628">
        <v>46174</v>
      </c>
      <c r="F14" s="629"/>
      <c r="G14" s="208" t="s">
        <v>415</v>
      </c>
      <c r="H14" s="198"/>
      <c r="I14" s="205" t="s">
        <v>416</v>
      </c>
      <c r="J14" s="311"/>
      <c r="K14" s="283"/>
      <c r="L14" s="283"/>
      <c r="M14" s="283"/>
      <c r="N14" s="283"/>
      <c r="O14" s="283"/>
      <c r="P14" s="283"/>
    </row>
    <row r="15" spans="1:16" ht="18" customHeight="1" x14ac:dyDescent="0.35">
      <c r="A15" s="198"/>
      <c r="B15" s="198"/>
      <c r="C15" s="630" t="s">
        <v>417</v>
      </c>
      <c r="D15" s="631" t="s">
        <v>108</v>
      </c>
      <c r="E15" s="628">
        <v>46419</v>
      </c>
      <c r="F15" s="632"/>
      <c r="G15" s="633" t="s">
        <v>418</v>
      </c>
      <c r="H15" s="198"/>
      <c r="I15" s="312" t="s">
        <v>419</v>
      </c>
      <c r="J15" s="313"/>
      <c r="K15" s="283"/>
      <c r="L15" s="283"/>
      <c r="M15" s="283"/>
      <c r="N15" s="283"/>
      <c r="O15" s="283"/>
      <c r="P15" s="283"/>
    </row>
    <row r="16" spans="1:16" ht="18" customHeight="1" x14ac:dyDescent="0.35">
      <c r="A16" s="198"/>
      <c r="B16" s="198"/>
      <c r="C16" s="626" t="s">
        <v>420</v>
      </c>
      <c r="D16" s="627" t="s">
        <v>108</v>
      </c>
      <c r="E16" s="628">
        <v>46266</v>
      </c>
      <c r="F16" s="629"/>
      <c r="G16" s="208" t="s">
        <v>421</v>
      </c>
      <c r="H16" s="198"/>
      <c r="I16" s="206" t="s">
        <v>422</v>
      </c>
      <c r="J16" s="207" t="s">
        <v>423</v>
      </c>
      <c r="K16" s="283"/>
      <c r="L16" s="283"/>
      <c r="M16" s="283"/>
      <c r="N16" s="283"/>
      <c r="O16" s="283"/>
      <c r="P16" s="283"/>
    </row>
    <row r="17" spans="1:16" ht="18" customHeight="1" x14ac:dyDescent="0.35">
      <c r="A17" s="198"/>
      <c r="B17" s="198"/>
      <c r="C17" s="630" t="s">
        <v>424</v>
      </c>
      <c r="D17" s="631" t="s">
        <v>108</v>
      </c>
      <c r="E17" s="635">
        <f>DATE(2027,6,30)</f>
        <v>46568</v>
      </c>
      <c r="F17" s="632"/>
      <c r="G17" s="633" t="s">
        <v>425</v>
      </c>
      <c r="H17" s="198"/>
      <c r="I17" s="314" t="s">
        <v>426</v>
      </c>
      <c r="J17" s="315"/>
      <c r="K17" s="283"/>
      <c r="L17" s="283"/>
      <c r="M17" s="283"/>
      <c r="N17" s="283"/>
      <c r="O17" s="283"/>
      <c r="P17" s="283"/>
    </row>
    <row r="18" spans="1:16" ht="18" customHeight="1" x14ac:dyDescent="0.35">
      <c r="A18" s="198"/>
      <c r="B18" s="198"/>
      <c r="C18" s="626" t="s">
        <v>114</v>
      </c>
      <c r="D18" s="627" t="s">
        <v>108</v>
      </c>
      <c r="E18" s="628">
        <v>46420</v>
      </c>
      <c r="F18" s="629"/>
      <c r="G18" s="208" t="s">
        <v>427</v>
      </c>
      <c r="H18" s="198"/>
      <c r="I18" s="283"/>
      <c r="J18" s="283"/>
      <c r="K18" s="283"/>
      <c r="L18" s="283"/>
      <c r="M18" s="283"/>
      <c r="N18" s="283"/>
      <c r="O18" s="283"/>
      <c r="P18" s="283"/>
    </row>
    <row r="19" spans="1:16" ht="18" customHeight="1" x14ac:dyDescent="0.35">
      <c r="A19" s="198"/>
      <c r="B19" s="198"/>
      <c r="C19" s="630" t="s">
        <v>116</v>
      </c>
      <c r="D19" s="631" t="s">
        <v>108</v>
      </c>
      <c r="E19" s="628">
        <v>46568</v>
      </c>
      <c r="F19" s="632"/>
      <c r="G19" s="633" t="s">
        <v>428</v>
      </c>
      <c r="H19" s="198"/>
      <c r="I19" s="283"/>
      <c r="J19" s="283"/>
      <c r="K19" s="283"/>
      <c r="L19" s="283"/>
      <c r="M19" s="283"/>
      <c r="N19" s="283"/>
      <c r="O19" s="283"/>
      <c r="P19" s="283"/>
    </row>
    <row r="20" spans="1:16" ht="18" customHeight="1" x14ac:dyDescent="0.35">
      <c r="A20" s="198"/>
      <c r="B20" s="198"/>
      <c r="C20" s="626" t="s">
        <v>429</v>
      </c>
      <c r="D20" s="627" t="s">
        <v>108</v>
      </c>
      <c r="E20" s="628">
        <v>46508</v>
      </c>
      <c r="F20" s="629"/>
      <c r="G20" s="636">
        <v>46508</v>
      </c>
      <c r="H20" s="198"/>
      <c r="I20" s="283"/>
      <c r="J20" s="283"/>
      <c r="K20" s="283"/>
      <c r="L20" s="283"/>
      <c r="M20" s="283"/>
      <c r="N20" s="283"/>
      <c r="O20" s="283"/>
      <c r="P20" s="283"/>
    </row>
    <row r="21" spans="1:16" ht="18" customHeight="1" x14ac:dyDescent="0.35">
      <c r="A21" s="198"/>
      <c r="B21" s="198"/>
      <c r="C21" s="630" t="s">
        <v>430</v>
      </c>
      <c r="D21" s="631" t="s">
        <v>108</v>
      </c>
      <c r="E21" s="628">
        <v>46568</v>
      </c>
      <c r="F21" s="632"/>
      <c r="G21" s="637">
        <v>46539</v>
      </c>
      <c r="H21" s="198"/>
      <c r="I21" s="283"/>
      <c r="J21" s="283"/>
      <c r="K21" s="283"/>
      <c r="L21" s="283"/>
      <c r="M21" s="283"/>
      <c r="N21" s="283"/>
      <c r="O21" s="283"/>
      <c r="P21" s="283"/>
    </row>
    <row r="22" spans="1:16" ht="18" customHeight="1" x14ac:dyDescent="0.35">
      <c r="A22" s="198"/>
      <c r="B22" s="198"/>
      <c r="C22" s="626" t="s">
        <v>118</v>
      </c>
      <c r="D22" s="627" t="s">
        <v>108</v>
      </c>
      <c r="E22" s="628">
        <v>46569</v>
      </c>
      <c r="F22" s="629"/>
      <c r="G22" s="208" t="s">
        <v>431</v>
      </c>
      <c r="H22" s="198"/>
      <c r="I22" s="283"/>
      <c r="J22" s="283"/>
      <c r="K22" s="283"/>
      <c r="L22" s="283"/>
      <c r="M22" s="283"/>
      <c r="N22" s="283"/>
      <c r="O22" s="283"/>
      <c r="P22" s="283"/>
    </row>
    <row r="23" spans="1:16" ht="18" customHeight="1" x14ac:dyDescent="0.35">
      <c r="A23" s="198"/>
      <c r="B23" s="198"/>
      <c r="C23" s="630" t="s">
        <v>122</v>
      </c>
      <c r="D23" s="631" t="s">
        <v>15</v>
      </c>
      <c r="E23" s="634" t="s">
        <v>33</v>
      </c>
      <c r="F23" s="632"/>
      <c r="G23" s="633" t="s">
        <v>432</v>
      </c>
      <c r="H23" s="198"/>
      <c r="I23" s="283"/>
      <c r="J23" s="283"/>
      <c r="K23" s="283"/>
      <c r="L23" s="283"/>
      <c r="M23" s="283"/>
      <c r="N23" s="283"/>
      <c r="O23" s="283"/>
      <c r="P23" s="283"/>
    </row>
    <row r="24" spans="1:16" ht="24" customHeight="1" x14ac:dyDescent="0.35">
      <c r="A24" s="198"/>
      <c r="B24" s="731" t="s">
        <v>433</v>
      </c>
      <c r="C24" s="704"/>
      <c r="D24" s="704"/>
      <c r="E24" s="704"/>
      <c r="F24" s="704"/>
      <c r="G24" s="704"/>
      <c r="H24" s="198"/>
      <c r="I24" s="283"/>
      <c r="J24" s="283"/>
      <c r="K24" s="283"/>
      <c r="L24" s="283"/>
      <c r="M24" s="283"/>
      <c r="N24" s="283"/>
      <c r="O24" s="283"/>
      <c r="P24" s="283"/>
    </row>
    <row r="25" spans="1:16" ht="18" customHeight="1" x14ac:dyDescent="0.35">
      <c r="A25" s="198"/>
      <c r="B25" s="198"/>
      <c r="C25" s="626"/>
      <c r="D25" s="627"/>
      <c r="E25" s="200"/>
      <c r="F25" s="629"/>
      <c r="G25" s="208"/>
      <c r="H25" s="198"/>
      <c r="I25" s="283"/>
      <c r="J25" s="283"/>
      <c r="K25" s="283"/>
      <c r="L25" s="283"/>
      <c r="M25" s="283"/>
      <c r="N25" s="283"/>
      <c r="O25" s="283"/>
      <c r="P25" s="283"/>
    </row>
    <row r="26" spans="1:16" ht="18" customHeight="1" x14ac:dyDescent="0.35">
      <c r="A26" s="198"/>
      <c r="B26" s="198"/>
      <c r="C26" s="626" t="s">
        <v>434</v>
      </c>
      <c r="D26" s="627" t="s">
        <v>108</v>
      </c>
      <c r="E26" s="628">
        <v>46419</v>
      </c>
      <c r="F26" s="629"/>
      <c r="G26" s="208" t="s">
        <v>435</v>
      </c>
      <c r="H26" s="198"/>
      <c r="I26" s="283"/>
      <c r="J26" s="283"/>
      <c r="K26" s="283"/>
      <c r="L26" s="283"/>
      <c r="M26" s="283"/>
      <c r="N26" s="283"/>
      <c r="O26" s="283"/>
      <c r="P26" s="283"/>
    </row>
    <row r="27" spans="1:16" ht="18" customHeight="1" x14ac:dyDescent="0.35">
      <c r="A27" s="198"/>
      <c r="B27" s="198"/>
      <c r="C27" s="630" t="s">
        <v>436</v>
      </c>
      <c r="D27" s="631" t="s">
        <v>407</v>
      </c>
      <c r="E27" s="634">
        <v>10</v>
      </c>
      <c r="F27" s="632"/>
      <c r="G27" s="633" t="s">
        <v>437</v>
      </c>
      <c r="H27" s="198"/>
      <c r="I27" s="283"/>
      <c r="J27" s="283"/>
      <c r="K27" s="283"/>
      <c r="L27" s="283"/>
      <c r="M27" s="283"/>
      <c r="N27" s="283"/>
      <c r="O27" s="283"/>
      <c r="P27" s="283"/>
    </row>
    <row r="28" spans="1:16" ht="18" customHeight="1" x14ac:dyDescent="0.35">
      <c r="A28" s="198"/>
      <c r="B28" s="198"/>
      <c r="C28" s="626" t="s">
        <v>438</v>
      </c>
      <c r="D28" s="627" t="s">
        <v>439</v>
      </c>
      <c r="E28" s="634">
        <v>11</v>
      </c>
      <c r="F28" s="629"/>
      <c r="G28" s="208" t="s">
        <v>440</v>
      </c>
      <c r="H28" s="198"/>
      <c r="I28" s="283"/>
      <c r="J28" s="283"/>
      <c r="K28" s="283"/>
      <c r="L28" s="283"/>
      <c r="M28" s="283"/>
      <c r="N28" s="283"/>
      <c r="O28" s="283"/>
      <c r="P28" s="283"/>
    </row>
    <row r="29" spans="1:16" ht="18" customHeight="1" x14ac:dyDescent="0.35">
      <c r="A29" s="198"/>
      <c r="B29" s="198"/>
      <c r="C29" s="630" t="s">
        <v>441</v>
      </c>
      <c r="D29" s="631" t="s">
        <v>439</v>
      </c>
      <c r="E29" s="634">
        <v>6</v>
      </c>
      <c r="F29" s="632"/>
      <c r="G29" s="633" t="s">
        <v>442</v>
      </c>
      <c r="H29" s="198"/>
      <c r="I29" s="283"/>
      <c r="J29" s="283"/>
      <c r="K29" s="283"/>
      <c r="L29" s="283"/>
      <c r="M29" s="283"/>
      <c r="N29" s="283"/>
      <c r="O29" s="283"/>
      <c r="P29" s="283"/>
    </row>
    <row r="30" spans="1:16" ht="18" customHeight="1" x14ac:dyDescent="0.35">
      <c r="A30" s="198"/>
      <c r="B30" s="198"/>
      <c r="C30" s="626" t="s">
        <v>443</v>
      </c>
      <c r="D30" s="627" t="s">
        <v>439</v>
      </c>
      <c r="E30" s="634">
        <v>18</v>
      </c>
      <c r="F30" s="629"/>
      <c r="G30" s="208" t="s">
        <v>444</v>
      </c>
      <c r="H30" s="198"/>
      <c r="I30" s="283"/>
      <c r="J30" s="283"/>
      <c r="K30" s="283"/>
      <c r="L30" s="283"/>
      <c r="M30" s="283"/>
      <c r="N30" s="283"/>
      <c r="O30" s="283"/>
      <c r="P30" s="283"/>
    </row>
    <row r="31" spans="1:16" ht="18" customHeight="1" x14ac:dyDescent="0.35">
      <c r="A31" s="198"/>
      <c r="B31" s="198"/>
      <c r="C31" s="630" t="s">
        <v>445</v>
      </c>
      <c r="D31" s="631" t="s">
        <v>446</v>
      </c>
      <c r="E31" s="634">
        <v>156</v>
      </c>
      <c r="F31" s="632"/>
      <c r="G31" s="633" t="s">
        <v>447</v>
      </c>
      <c r="H31" s="198"/>
      <c r="I31" s="283"/>
      <c r="J31" s="283"/>
      <c r="K31" s="283"/>
      <c r="L31" s="283"/>
      <c r="M31" s="283"/>
      <c r="N31" s="283"/>
      <c r="O31" s="283"/>
      <c r="P31" s="283"/>
    </row>
    <row r="32" spans="1:16" ht="18" customHeight="1" x14ac:dyDescent="0.35">
      <c r="A32" s="198"/>
      <c r="B32" s="198"/>
      <c r="C32" s="626" t="s">
        <v>448</v>
      </c>
      <c r="D32" s="627" t="s">
        <v>449</v>
      </c>
      <c r="E32" s="634">
        <v>5000</v>
      </c>
      <c r="F32" s="629"/>
      <c r="G32" s="208" t="s">
        <v>450</v>
      </c>
      <c r="H32" s="198"/>
      <c r="I32" s="283"/>
      <c r="J32" s="283"/>
      <c r="K32" s="283"/>
      <c r="L32" s="283"/>
      <c r="M32" s="283"/>
      <c r="N32" s="283"/>
      <c r="O32" s="283"/>
      <c r="P32" s="283"/>
    </row>
    <row r="33" spans="1:24" ht="18" customHeight="1" x14ac:dyDescent="0.35">
      <c r="A33" s="198"/>
      <c r="B33" s="198"/>
      <c r="C33" s="626" t="s">
        <v>451</v>
      </c>
      <c r="D33" s="627" t="s">
        <v>173</v>
      </c>
      <c r="E33" s="638">
        <v>780000</v>
      </c>
      <c r="F33" s="629" t="s">
        <v>452</v>
      </c>
      <c r="G33" s="208">
        <f>E31*E32</f>
        <v>780000</v>
      </c>
      <c r="H33" s="198"/>
      <c r="I33" s="283"/>
      <c r="J33" s="283"/>
      <c r="K33" s="283"/>
      <c r="L33" s="283"/>
      <c r="M33" s="283"/>
      <c r="N33" s="283"/>
      <c r="O33" s="283"/>
      <c r="P33" s="283"/>
      <c r="Q33" s="329"/>
      <c r="R33" s="329"/>
      <c r="S33" s="329"/>
      <c r="T33" s="329"/>
      <c r="U33" s="329"/>
      <c r="V33" s="329"/>
      <c r="W33" s="329"/>
      <c r="X33" s="329"/>
    </row>
    <row r="34" spans="1:24" ht="18" customHeight="1" x14ac:dyDescent="0.35">
      <c r="A34" s="198"/>
      <c r="B34" s="198"/>
      <c r="C34" s="630" t="s">
        <v>453</v>
      </c>
      <c r="D34" s="631" t="s">
        <v>173</v>
      </c>
      <c r="E34" s="639">
        <v>780000</v>
      </c>
      <c r="F34" s="632"/>
      <c r="G34" s="633" t="s">
        <v>454</v>
      </c>
      <c r="H34" s="198"/>
      <c r="I34" s="283"/>
      <c r="J34" s="283"/>
      <c r="K34" s="283"/>
      <c r="L34" s="283"/>
      <c r="M34" s="283"/>
      <c r="N34" s="283"/>
      <c r="O34" s="283"/>
      <c r="P34" s="283"/>
      <c r="Q34" s="329"/>
      <c r="R34" s="329"/>
      <c r="S34" s="329"/>
      <c r="T34" s="329"/>
      <c r="U34" s="329"/>
      <c r="V34" s="329"/>
      <c r="W34" s="329"/>
      <c r="X34" s="329"/>
    </row>
    <row r="35" spans="1:24" ht="18" customHeight="1" x14ac:dyDescent="0.35">
      <c r="A35" s="198"/>
      <c r="B35" s="198"/>
      <c r="C35" s="626" t="s">
        <v>455</v>
      </c>
      <c r="D35" s="627" t="s">
        <v>456</v>
      </c>
      <c r="E35" s="634">
        <v>3.5000000000000003E-2</v>
      </c>
      <c r="F35" s="629"/>
      <c r="G35" s="208" t="s">
        <v>457</v>
      </c>
      <c r="H35" s="198"/>
      <c r="I35" s="283"/>
      <c r="J35" s="283"/>
      <c r="K35" s="283"/>
      <c r="L35" s="283"/>
      <c r="M35" s="283"/>
      <c r="N35" s="283"/>
      <c r="O35" s="283"/>
      <c r="P35" s="283"/>
      <c r="Q35" s="329"/>
      <c r="R35" s="329"/>
      <c r="S35" s="329"/>
      <c r="T35" s="329"/>
      <c r="U35" s="329"/>
      <c r="V35" s="329"/>
      <c r="W35" s="329"/>
      <c r="X35" s="329"/>
    </row>
    <row r="36" spans="1:24" ht="18" customHeight="1" x14ac:dyDescent="0.35">
      <c r="A36" s="198"/>
      <c r="B36" s="198"/>
      <c r="C36" s="630" t="s">
        <v>458</v>
      </c>
      <c r="D36" s="631" t="s">
        <v>459</v>
      </c>
      <c r="E36" s="634">
        <v>0.15</v>
      </c>
      <c r="F36" s="632"/>
      <c r="G36" s="633" t="s">
        <v>460</v>
      </c>
      <c r="H36" s="198"/>
      <c r="I36" s="283"/>
      <c r="J36" s="283"/>
      <c r="K36" s="283"/>
      <c r="L36" s="283"/>
      <c r="M36" s="283"/>
      <c r="N36" s="283"/>
      <c r="O36" s="283"/>
      <c r="P36" s="283"/>
      <c r="Q36" s="329"/>
      <c r="R36" s="329"/>
      <c r="S36" s="329"/>
      <c r="T36" s="329"/>
      <c r="U36" s="329"/>
      <c r="V36" s="329"/>
      <c r="W36" s="329"/>
      <c r="X36" s="329"/>
    </row>
    <row r="37" spans="1:24" ht="18" customHeight="1" x14ac:dyDescent="0.35">
      <c r="A37" s="198"/>
      <c r="B37" s="198"/>
      <c r="C37" s="626" t="s">
        <v>461</v>
      </c>
      <c r="D37" s="627" t="s">
        <v>108</v>
      </c>
      <c r="E37" s="200">
        <f>EDATE(E26,E30)</f>
        <v>46966</v>
      </c>
      <c r="F37" s="629" t="s">
        <v>452</v>
      </c>
      <c r="G37" s="208" t="s">
        <v>462</v>
      </c>
      <c r="H37" s="198"/>
      <c r="I37" s="283"/>
      <c r="J37" s="283"/>
      <c r="K37" s="283"/>
      <c r="L37" s="283"/>
      <c r="M37" s="283"/>
      <c r="N37" s="283"/>
      <c r="O37" s="283"/>
      <c r="P37" s="283"/>
      <c r="Q37" s="329"/>
      <c r="R37" s="329"/>
      <c r="S37" s="329"/>
      <c r="T37" s="329"/>
      <c r="U37" s="329"/>
      <c r="V37" s="329"/>
      <c r="W37" s="329"/>
      <c r="X37" s="329"/>
    </row>
    <row r="38" spans="1:24" s="166" customFormat="1" ht="18" customHeight="1" x14ac:dyDescent="0.35">
      <c r="A38" s="198"/>
      <c r="B38" s="198"/>
      <c r="C38" s="626" t="s">
        <v>2049</v>
      </c>
      <c r="D38" s="627" t="s">
        <v>439</v>
      </c>
      <c r="E38" s="692">
        <v>48</v>
      </c>
      <c r="F38" s="629"/>
      <c r="G38" s="208" t="s">
        <v>2050</v>
      </c>
      <c r="H38" s="198"/>
      <c r="I38" s="283"/>
      <c r="J38" s="283"/>
      <c r="K38" s="283"/>
      <c r="L38" s="283"/>
      <c r="M38" s="283"/>
      <c r="N38" s="283"/>
      <c r="O38" s="283"/>
      <c r="P38" s="283"/>
      <c r="Q38" s="329"/>
      <c r="R38" s="329"/>
      <c r="S38" s="329"/>
      <c r="T38" s="329"/>
      <c r="U38" s="329"/>
      <c r="V38" s="329"/>
      <c r="W38" s="329"/>
      <c r="X38" s="329"/>
    </row>
    <row r="39" spans="1:24" s="166" customFormat="1" ht="18" customHeight="1" x14ac:dyDescent="0.35">
      <c r="A39" s="198"/>
      <c r="B39" s="198"/>
      <c r="C39" s="626" t="s">
        <v>2051</v>
      </c>
      <c r="D39" s="627" t="s">
        <v>208</v>
      </c>
      <c r="E39" s="693">
        <v>0.5</v>
      </c>
      <c r="F39" s="629"/>
      <c r="G39" s="208" t="s">
        <v>2052</v>
      </c>
      <c r="H39" s="198"/>
      <c r="I39" s="283"/>
      <c r="J39" s="283"/>
      <c r="K39" s="283"/>
      <c r="L39" s="283"/>
      <c r="M39" s="283"/>
      <c r="N39" s="283"/>
      <c r="O39" s="283"/>
      <c r="P39" s="283"/>
      <c r="Q39" s="329"/>
      <c r="R39" s="329"/>
      <c r="S39" s="329"/>
      <c r="T39" s="329"/>
      <c r="U39" s="329"/>
      <c r="V39" s="329"/>
      <c r="W39" s="329"/>
      <c r="X39" s="329"/>
    </row>
    <row r="40" spans="1:24" s="166" customFormat="1" ht="18" customHeight="1" x14ac:dyDescent="0.35">
      <c r="A40" s="198"/>
      <c r="B40" s="198"/>
      <c r="C40" s="626" t="s">
        <v>2053</v>
      </c>
      <c r="D40" s="627" t="s">
        <v>108</v>
      </c>
      <c r="E40" s="691">
        <f>EDATE($E$37,$E$38)</f>
        <v>48427</v>
      </c>
      <c r="F40" s="629"/>
      <c r="G40" s="208" t="s">
        <v>2054</v>
      </c>
      <c r="H40" s="198"/>
      <c r="I40" s="283"/>
      <c r="J40" s="283"/>
      <c r="K40" s="283"/>
      <c r="L40" s="283"/>
      <c r="M40" s="283"/>
      <c r="N40" s="283"/>
      <c r="O40" s="283"/>
      <c r="P40" s="283"/>
      <c r="Q40" s="329"/>
      <c r="R40" s="329"/>
      <c r="S40" s="329"/>
      <c r="T40" s="329"/>
      <c r="U40" s="329"/>
      <c r="V40" s="329"/>
      <c r="W40" s="329"/>
      <c r="X40" s="329"/>
    </row>
    <row r="41" spans="1:24" ht="18" customHeight="1" x14ac:dyDescent="0.35">
      <c r="A41" s="198"/>
      <c r="B41" s="198"/>
      <c r="C41" s="626" t="s">
        <v>463</v>
      </c>
      <c r="D41" s="627" t="s">
        <v>464</v>
      </c>
      <c r="E41" s="634">
        <v>5</v>
      </c>
      <c r="F41" s="629"/>
      <c r="G41" s="208" t="s">
        <v>465</v>
      </c>
      <c r="H41" s="198"/>
      <c r="I41" s="283"/>
      <c r="J41" s="283"/>
      <c r="K41" s="283"/>
      <c r="L41" s="283"/>
      <c r="M41" s="283"/>
      <c r="N41" s="283"/>
      <c r="O41" s="283"/>
      <c r="P41" s="283"/>
      <c r="Q41" s="329"/>
      <c r="R41" s="329"/>
      <c r="S41" s="329"/>
      <c r="T41" s="329"/>
      <c r="U41" s="329"/>
      <c r="V41" s="329"/>
      <c r="W41" s="329"/>
      <c r="X41" s="329"/>
    </row>
    <row r="42" spans="1:24" ht="18" customHeight="1" x14ac:dyDescent="0.35">
      <c r="A42" s="198"/>
      <c r="B42" s="198"/>
      <c r="C42" s="630" t="s">
        <v>466</v>
      </c>
      <c r="D42" s="631" t="s">
        <v>439</v>
      </c>
      <c r="E42" s="634">
        <v>6</v>
      </c>
      <c r="F42" s="632"/>
      <c r="G42" s="633" t="s">
        <v>467</v>
      </c>
      <c r="H42" s="198"/>
      <c r="I42" s="283"/>
      <c r="J42" s="283"/>
      <c r="K42" s="283"/>
      <c r="L42" s="283"/>
      <c r="M42" s="283"/>
      <c r="N42" s="283"/>
      <c r="O42" s="283"/>
      <c r="P42" s="283"/>
      <c r="Q42" s="329"/>
      <c r="R42" s="329"/>
      <c r="S42" s="329"/>
      <c r="T42" s="329"/>
      <c r="U42" s="329"/>
      <c r="V42" s="329"/>
      <c r="W42" s="329"/>
      <c r="X42" s="329"/>
    </row>
    <row r="43" spans="1:24" ht="18" customHeight="1" x14ac:dyDescent="0.35">
      <c r="A43" s="198"/>
      <c r="B43" s="198"/>
      <c r="C43" s="626" t="s">
        <v>468</v>
      </c>
      <c r="D43" s="627" t="s">
        <v>407</v>
      </c>
      <c r="E43" s="634">
        <v>5</v>
      </c>
      <c r="F43" s="629"/>
      <c r="G43" s="208" t="s">
        <v>469</v>
      </c>
      <c r="H43" s="198"/>
      <c r="I43" s="283"/>
      <c r="J43" s="283"/>
      <c r="K43" s="283"/>
      <c r="L43" s="283"/>
      <c r="M43" s="283"/>
      <c r="N43" s="283"/>
      <c r="O43" s="283"/>
      <c r="P43" s="283"/>
      <c r="Q43" s="329"/>
      <c r="R43" s="329"/>
      <c r="S43" s="329"/>
      <c r="T43" s="329"/>
      <c r="U43" s="329"/>
      <c r="V43" s="329"/>
      <c r="W43" s="329"/>
      <c r="X43" s="329"/>
    </row>
    <row r="44" spans="1:24" ht="24" customHeight="1" x14ac:dyDescent="0.35">
      <c r="A44" s="198"/>
      <c r="B44" s="731" t="s">
        <v>470</v>
      </c>
      <c r="C44" s="704"/>
      <c r="D44" s="704"/>
      <c r="E44" s="704"/>
      <c r="F44" s="704"/>
      <c r="G44" s="704"/>
      <c r="H44" s="198"/>
      <c r="I44" s="283"/>
      <c r="J44" s="283"/>
      <c r="K44" s="283"/>
      <c r="L44" s="283"/>
      <c r="M44" s="283"/>
      <c r="N44" s="283"/>
      <c r="O44" s="283"/>
      <c r="P44" s="283"/>
      <c r="Q44" s="329"/>
      <c r="R44" s="329"/>
      <c r="S44" s="329"/>
      <c r="T44" s="329"/>
      <c r="U44" s="329"/>
      <c r="V44" s="329"/>
      <c r="W44" s="329"/>
      <c r="X44" s="329"/>
    </row>
    <row r="45" spans="1:24" ht="18" customHeight="1" x14ac:dyDescent="0.35">
      <c r="A45" s="198"/>
      <c r="B45" s="198"/>
      <c r="C45" s="626"/>
      <c r="D45" s="627"/>
      <c r="E45" s="200"/>
      <c r="F45" s="629"/>
      <c r="G45" s="208"/>
      <c r="H45" s="198"/>
      <c r="I45" s="283"/>
      <c r="J45" s="283"/>
      <c r="K45" s="283"/>
      <c r="L45" s="283"/>
      <c r="M45" s="283"/>
      <c r="N45" s="283"/>
      <c r="O45" s="283"/>
      <c r="P45" s="283"/>
      <c r="Q45" s="329"/>
      <c r="R45" s="329"/>
      <c r="S45" s="329"/>
      <c r="T45" s="329"/>
      <c r="U45" s="329"/>
      <c r="V45" s="329"/>
      <c r="W45" s="329"/>
      <c r="X45" s="329"/>
    </row>
    <row r="46" spans="1:24" s="166" customFormat="1" ht="18" customHeight="1" x14ac:dyDescent="0.35">
      <c r="A46" s="198"/>
      <c r="B46" s="198"/>
      <c r="C46" s="626"/>
      <c r="D46" s="627" t="s">
        <v>471</v>
      </c>
      <c r="E46" s="640">
        <f>E54</f>
        <v>10245000</v>
      </c>
      <c r="F46" s="641">
        <f>E46/$E$48</f>
        <v>0.57378885466255947</v>
      </c>
      <c r="G46" s="208"/>
      <c r="H46" s="198"/>
      <c r="I46" s="283"/>
      <c r="J46" s="283"/>
      <c r="K46" s="283"/>
      <c r="L46" s="283"/>
      <c r="M46" s="283"/>
      <c r="N46" s="283"/>
      <c r="O46" s="283"/>
      <c r="P46" s="283"/>
      <c r="Q46" s="329"/>
      <c r="R46" s="329"/>
      <c r="S46" s="329"/>
      <c r="T46" s="329"/>
      <c r="U46" s="329"/>
      <c r="V46" s="329"/>
      <c r="W46" s="329"/>
      <c r="X46" s="329"/>
    </row>
    <row r="47" spans="1:24" s="166" customFormat="1" ht="18" customHeight="1" x14ac:dyDescent="0.35">
      <c r="A47" s="198"/>
      <c r="B47" s="198"/>
      <c r="C47" s="626"/>
      <c r="D47" s="627" t="s">
        <v>204</v>
      </c>
      <c r="E47" s="640">
        <f>E75</f>
        <v>7610000</v>
      </c>
      <c r="F47" s="641">
        <f>E47/$E$48</f>
        <v>0.42621114533744048</v>
      </c>
      <c r="G47" s="208"/>
      <c r="H47" s="198"/>
      <c r="I47" s="283"/>
      <c r="J47" s="283"/>
      <c r="K47" s="283"/>
      <c r="L47" s="283"/>
      <c r="M47" s="283"/>
      <c r="N47" s="283"/>
      <c r="O47" s="283"/>
      <c r="P47" s="283"/>
      <c r="Q47" s="329"/>
      <c r="R47" s="329"/>
      <c r="S47" s="329"/>
      <c r="T47" s="329"/>
      <c r="U47" s="329"/>
      <c r="V47" s="329"/>
      <c r="W47" s="329"/>
      <c r="X47" s="329"/>
    </row>
    <row r="48" spans="1:24" s="166" customFormat="1" ht="18" customHeight="1" x14ac:dyDescent="0.35">
      <c r="A48" s="198"/>
      <c r="B48" s="198"/>
      <c r="C48" s="626"/>
      <c r="D48" s="627" t="s">
        <v>416</v>
      </c>
      <c r="E48" s="640">
        <f>SUM(E46:E47)</f>
        <v>17855000</v>
      </c>
      <c r="F48" s="629"/>
      <c r="G48" s="208"/>
      <c r="H48" s="198"/>
      <c r="I48" s="283"/>
      <c r="J48" s="283"/>
      <c r="K48" s="283"/>
      <c r="L48" s="283"/>
      <c r="M48" s="283"/>
      <c r="N48" s="283"/>
      <c r="O48" s="283"/>
      <c r="P48" s="283"/>
      <c r="Q48" s="329"/>
      <c r="R48" s="329"/>
      <c r="S48" s="329"/>
      <c r="T48" s="329"/>
      <c r="U48" s="329"/>
      <c r="V48" s="329"/>
      <c r="W48" s="329"/>
      <c r="X48" s="329"/>
    </row>
    <row r="49" spans="1:24" s="166" customFormat="1" ht="18" customHeight="1" x14ac:dyDescent="0.35">
      <c r="A49" s="198"/>
      <c r="B49" s="198"/>
      <c r="C49" s="626"/>
      <c r="D49" s="627"/>
      <c r="E49" s="200"/>
      <c r="F49" s="629"/>
      <c r="G49" s="208"/>
      <c r="H49" s="198"/>
      <c r="I49" s="283"/>
      <c r="J49" s="283"/>
      <c r="K49" s="283"/>
      <c r="L49" s="283"/>
      <c r="M49" s="283"/>
      <c r="N49" s="283"/>
      <c r="O49" s="283"/>
      <c r="P49" s="283"/>
      <c r="Q49" s="329"/>
      <c r="R49" s="329"/>
      <c r="S49" s="329"/>
      <c r="T49" s="329"/>
      <c r="U49" s="329"/>
      <c r="V49" s="329"/>
      <c r="W49" s="329"/>
      <c r="X49" s="329"/>
    </row>
    <row r="50" spans="1:24" ht="18" customHeight="1" x14ac:dyDescent="0.35">
      <c r="A50" s="198"/>
      <c r="B50" s="198"/>
      <c r="C50" s="642" t="s">
        <v>472</v>
      </c>
      <c r="D50" s="643"/>
      <c r="E50" s="210"/>
      <c r="F50" s="644"/>
      <c r="G50" s="645"/>
      <c r="H50" s="198"/>
      <c r="I50" s="283"/>
      <c r="J50" s="283"/>
      <c r="K50" s="283"/>
      <c r="L50" s="283"/>
      <c r="M50" s="283"/>
      <c r="N50" s="283"/>
      <c r="O50" s="283"/>
      <c r="P50" s="283"/>
      <c r="Q50" s="329"/>
      <c r="R50" s="329"/>
      <c r="S50" s="329"/>
      <c r="T50" s="329"/>
      <c r="U50" s="329"/>
      <c r="V50" s="329"/>
      <c r="W50" s="329"/>
      <c r="X50" s="329"/>
    </row>
    <row r="51" spans="1:24" ht="18" customHeight="1" x14ac:dyDescent="0.35">
      <c r="A51" s="198"/>
      <c r="B51" s="198"/>
      <c r="C51" s="626" t="s">
        <v>473</v>
      </c>
      <c r="D51" s="627" t="s">
        <v>456</v>
      </c>
      <c r="E51" s="646">
        <v>0.08</v>
      </c>
      <c r="F51" s="629"/>
      <c r="G51" s="208" t="s">
        <v>474</v>
      </c>
      <c r="H51" s="198"/>
      <c r="I51" s="283"/>
      <c r="J51" s="283"/>
      <c r="K51" s="283"/>
      <c r="L51" s="283"/>
      <c r="M51" s="283"/>
      <c r="N51" s="283"/>
      <c r="O51" s="283"/>
      <c r="P51" s="283"/>
      <c r="Q51" s="329"/>
      <c r="R51" s="329"/>
      <c r="S51" s="329"/>
      <c r="T51" s="329"/>
      <c r="U51" s="329"/>
      <c r="V51" s="329"/>
      <c r="W51" s="329"/>
      <c r="X51" s="329"/>
    </row>
    <row r="52" spans="1:24" ht="18" customHeight="1" x14ac:dyDescent="0.35">
      <c r="A52" s="198"/>
      <c r="B52" s="198"/>
      <c r="C52" s="626" t="s">
        <v>475</v>
      </c>
      <c r="D52" s="627" t="s">
        <v>407</v>
      </c>
      <c r="E52" s="634">
        <v>10</v>
      </c>
      <c r="F52" s="629"/>
      <c r="G52" s="208" t="s">
        <v>476</v>
      </c>
      <c r="H52" s="198"/>
      <c r="I52" s="283"/>
      <c r="J52" s="283"/>
      <c r="K52" s="283"/>
      <c r="L52" s="283"/>
      <c r="M52" s="283"/>
      <c r="N52" s="283"/>
      <c r="O52" s="283"/>
      <c r="P52" s="283"/>
      <c r="Q52" s="329"/>
      <c r="R52" s="329"/>
      <c r="S52" s="329"/>
      <c r="T52" s="329"/>
      <c r="U52" s="329"/>
      <c r="V52" s="329"/>
      <c r="W52" s="329"/>
      <c r="X52" s="329"/>
    </row>
    <row r="53" spans="1:24" ht="18" customHeight="1" x14ac:dyDescent="0.35">
      <c r="A53" s="198"/>
      <c r="B53" s="198"/>
      <c r="C53" s="626" t="s">
        <v>477</v>
      </c>
      <c r="D53" s="627" t="s">
        <v>158</v>
      </c>
      <c r="E53" s="646">
        <v>0.6</v>
      </c>
      <c r="F53" s="629"/>
      <c r="G53" s="208" t="s">
        <v>478</v>
      </c>
      <c r="H53" s="198"/>
      <c r="I53" s="283"/>
      <c r="J53" s="283"/>
      <c r="K53" s="283"/>
      <c r="L53" s="283"/>
      <c r="M53" s="283"/>
      <c r="N53" s="283"/>
      <c r="O53" s="283"/>
      <c r="P53" s="283"/>
      <c r="Q53" s="329"/>
      <c r="R53" s="329"/>
      <c r="S53" s="329"/>
      <c r="T53" s="329"/>
      <c r="U53" s="329"/>
      <c r="V53" s="329"/>
      <c r="W53" s="329"/>
      <c r="X53" s="329"/>
    </row>
    <row r="54" spans="1:24" ht="18" customHeight="1" x14ac:dyDescent="0.35">
      <c r="A54" s="198"/>
      <c r="B54" s="198"/>
      <c r="C54" s="626" t="s">
        <v>479</v>
      </c>
      <c r="D54" s="627" t="s">
        <v>173</v>
      </c>
      <c r="E54" s="639">
        <f>E53*E113</f>
        <v>10245000</v>
      </c>
      <c r="F54" s="629" t="s">
        <v>452</v>
      </c>
      <c r="G54" s="208" t="s">
        <v>480</v>
      </c>
      <c r="H54" s="198"/>
      <c r="I54" s="283"/>
      <c r="J54" s="283"/>
      <c r="K54" s="283"/>
      <c r="L54" s="283"/>
      <c r="M54" s="283"/>
      <c r="N54" s="283"/>
      <c r="O54" s="283"/>
      <c r="P54" s="283"/>
      <c r="Q54" s="329"/>
      <c r="R54" s="329"/>
      <c r="S54" s="329"/>
      <c r="T54" s="329"/>
      <c r="U54" s="329"/>
      <c r="V54" s="329"/>
      <c r="W54" s="329"/>
      <c r="X54" s="329"/>
    </row>
    <row r="55" spans="1:24" ht="18" customHeight="1" x14ac:dyDescent="0.35">
      <c r="A55" s="198"/>
      <c r="B55" s="198"/>
      <c r="C55" s="626" t="s">
        <v>481</v>
      </c>
      <c r="D55" s="627"/>
      <c r="E55" s="634" t="s">
        <v>482</v>
      </c>
      <c r="F55" s="629"/>
      <c r="G55" s="208" t="s">
        <v>483</v>
      </c>
      <c r="H55" s="198"/>
      <c r="I55" s="283"/>
      <c r="J55" s="283"/>
      <c r="K55" s="283"/>
      <c r="L55" s="283"/>
      <c r="M55" s="283"/>
      <c r="N55" s="283"/>
      <c r="O55" s="283"/>
      <c r="P55" s="283"/>
      <c r="Q55" s="329"/>
      <c r="R55" s="329"/>
      <c r="S55" s="329"/>
      <c r="T55" s="329"/>
      <c r="U55" s="329"/>
      <c r="V55" s="329"/>
      <c r="W55" s="329"/>
      <c r="X55" s="329"/>
    </row>
    <row r="56" spans="1:24" ht="18" customHeight="1" x14ac:dyDescent="0.35">
      <c r="A56" s="198"/>
      <c r="B56" s="198"/>
      <c r="C56" s="626" t="s">
        <v>484</v>
      </c>
      <c r="D56" s="627" t="s">
        <v>15</v>
      </c>
      <c r="E56" s="634" t="s">
        <v>26</v>
      </c>
      <c r="F56" s="629"/>
      <c r="G56" s="208" t="s">
        <v>485</v>
      </c>
      <c r="H56" s="198"/>
      <c r="I56" s="283"/>
      <c r="J56" s="283"/>
      <c r="K56" s="283"/>
      <c r="L56" s="283"/>
      <c r="M56" s="283"/>
      <c r="N56" s="283"/>
      <c r="O56" s="283"/>
      <c r="P56" s="283"/>
      <c r="Q56" s="329"/>
      <c r="R56" s="329"/>
      <c r="S56" s="329"/>
      <c r="T56" s="329"/>
      <c r="U56" s="329"/>
      <c r="V56" s="329"/>
      <c r="W56" s="329"/>
      <c r="X56" s="329"/>
    </row>
    <row r="57" spans="1:24" ht="18" customHeight="1" x14ac:dyDescent="0.35">
      <c r="A57" s="198"/>
      <c r="B57" s="198"/>
      <c r="C57" s="626" t="s">
        <v>486</v>
      </c>
      <c r="D57" s="627" t="s">
        <v>439</v>
      </c>
      <c r="E57" s="634">
        <v>18</v>
      </c>
      <c r="F57" s="629"/>
      <c r="G57" s="208" t="s">
        <v>487</v>
      </c>
      <c r="H57" s="198"/>
      <c r="I57" s="283"/>
      <c r="J57" s="283"/>
      <c r="K57" s="283"/>
      <c r="L57" s="283"/>
      <c r="M57" s="283"/>
      <c r="N57" s="283"/>
      <c r="O57" s="283"/>
      <c r="P57" s="283"/>
      <c r="Q57" s="329"/>
      <c r="R57" s="329"/>
      <c r="S57" s="329"/>
      <c r="T57" s="329"/>
      <c r="U57" s="329"/>
      <c r="V57" s="329"/>
      <c r="W57" s="329"/>
      <c r="X57" s="329"/>
    </row>
    <row r="58" spans="1:24" ht="18" customHeight="1" x14ac:dyDescent="0.35">
      <c r="A58" s="198"/>
      <c r="B58" s="198"/>
      <c r="C58" s="626"/>
      <c r="D58" s="627"/>
      <c r="E58" s="200"/>
      <c r="F58" s="629"/>
      <c r="G58" s="208"/>
      <c r="H58" s="198"/>
      <c r="I58" s="283"/>
      <c r="J58" s="283"/>
      <c r="K58" s="283"/>
      <c r="L58" s="283"/>
      <c r="M58" s="283"/>
      <c r="N58" s="283"/>
      <c r="O58" s="283"/>
      <c r="P58" s="283"/>
      <c r="Q58" s="329"/>
      <c r="R58" s="329"/>
      <c r="S58" s="329"/>
      <c r="T58" s="329"/>
      <c r="U58" s="329"/>
      <c r="V58" s="329"/>
      <c r="W58" s="329"/>
      <c r="X58" s="329"/>
    </row>
    <row r="59" spans="1:24" ht="18" customHeight="1" x14ac:dyDescent="0.35">
      <c r="A59" s="198"/>
      <c r="B59" s="198"/>
      <c r="C59" s="642" t="s">
        <v>488</v>
      </c>
      <c r="D59" s="643"/>
      <c r="E59" s="210"/>
      <c r="F59" s="644"/>
      <c r="G59" s="645" t="s">
        <v>489</v>
      </c>
      <c r="H59" s="198"/>
      <c r="I59" s="283"/>
      <c r="J59" s="283"/>
      <c r="K59" s="283"/>
      <c r="L59" s="283"/>
      <c r="M59" s="283"/>
      <c r="N59" s="283"/>
      <c r="O59" s="283"/>
      <c r="P59" s="283"/>
      <c r="Q59" s="329"/>
      <c r="R59" s="329"/>
      <c r="S59" s="329"/>
      <c r="T59" s="329"/>
      <c r="U59" s="329"/>
      <c r="V59" s="329"/>
      <c r="W59" s="329"/>
      <c r="X59" s="329"/>
    </row>
    <row r="60" spans="1:24" ht="18" customHeight="1" x14ac:dyDescent="0.35">
      <c r="A60" s="198"/>
      <c r="B60" s="198"/>
      <c r="C60" s="626" t="s">
        <v>473</v>
      </c>
      <c r="D60" s="627" t="s">
        <v>456</v>
      </c>
      <c r="E60" s="647">
        <v>0.12</v>
      </c>
      <c r="F60" s="629"/>
      <c r="G60" s="208" t="s">
        <v>490</v>
      </c>
      <c r="H60" s="198"/>
      <c r="I60" s="283"/>
      <c r="J60" s="283"/>
      <c r="K60" s="283"/>
      <c r="L60" s="283"/>
      <c r="M60" s="283"/>
      <c r="N60" s="283"/>
      <c r="O60" s="283"/>
      <c r="P60" s="283"/>
      <c r="Q60" s="329"/>
      <c r="R60" s="329"/>
      <c r="S60" s="329"/>
      <c r="T60" s="329"/>
      <c r="U60" s="329"/>
      <c r="V60" s="329"/>
      <c r="W60" s="329"/>
      <c r="X60" s="329"/>
    </row>
    <row r="61" spans="1:24" ht="18" customHeight="1" x14ac:dyDescent="0.35">
      <c r="A61" s="198"/>
      <c r="B61" s="198"/>
      <c r="C61" s="626" t="s">
        <v>475</v>
      </c>
      <c r="D61" s="627" t="s">
        <v>407</v>
      </c>
      <c r="E61" s="634">
        <v>10</v>
      </c>
      <c r="F61" s="629"/>
      <c r="G61" s="208" t="s">
        <v>491</v>
      </c>
      <c r="H61" s="198"/>
      <c r="I61" s="283"/>
      <c r="J61" s="283"/>
      <c r="K61" s="283"/>
      <c r="L61" s="283"/>
      <c r="M61" s="283"/>
      <c r="N61" s="283"/>
      <c r="O61" s="283"/>
      <c r="P61" s="283"/>
      <c r="Q61" s="329"/>
      <c r="R61" s="329"/>
      <c r="S61" s="329"/>
      <c r="T61" s="329"/>
      <c r="U61" s="329"/>
      <c r="V61" s="329"/>
      <c r="W61" s="329"/>
      <c r="X61" s="329"/>
    </row>
    <row r="62" spans="1:24" ht="18" customHeight="1" x14ac:dyDescent="0.35">
      <c r="A62" s="198"/>
      <c r="B62" s="198"/>
      <c r="C62" s="626" t="s">
        <v>477</v>
      </c>
      <c r="D62" s="627" t="s">
        <v>158</v>
      </c>
      <c r="E62" s="647">
        <v>0</v>
      </c>
      <c r="F62" s="629"/>
      <c r="G62" s="208" t="s">
        <v>492</v>
      </c>
      <c r="H62" s="198"/>
      <c r="I62" s="283"/>
      <c r="J62" s="283"/>
      <c r="K62" s="283"/>
      <c r="L62" s="283"/>
      <c r="M62" s="283"/>
      <c r="N62" s="283"/>
      <c r="O62" s="283"/>
      <c r="P62" s="283"/>
      <c r="Q62" s="329"/>
      <c r="R62" s="329"/>
      <c r="S62" s="329"/>
      <c r="T62" s="329"/>
      <c r="U62" s="329"/>
      <c r="V62" s="329"/>
      <c r="W62" s="329"/>
      <c r="X62" s="329"/>
    </row>
    <row r="63" spans="1:24" ht="18" customHeight="1" x14ac:dyDescent="0.35">
      <c r="A63" s="198"/>
      <c r="B63" s="198"/>
      <c r="C63" s="626" t="s">
        <v>479</v>
      </c>
      <c r="D63" s="627" t="s">
        <v>173</v>
      </c>
      <c r="E63" s="639">
        <f>(E62*E113)*0</f>
        <v>0</v>
      </c>
      <c r="F63" s="629" t="s">
        <v>452</v>
      </c>
      <c r="G63" s="208" t="s">
        <v>480</v>
      </c>
      <c r="H63" s="198"/>
      <c r="I63" s="283"/>
      <c r="J63" s="283"/>
      <c r="K63" s="283"/>
      <c r="L63" s="283"/>
      <c r="M63" s="283"/>
      <c r="N63" s="283"/>
      <c r="O63" s="283"/>
      <c r="P63" s="283"/>
      <c r="Q63" s="329"/>
      <c r="R63" s="329"/>
      <c r="S63" s="329"/>
      <c r="T63" s="329"/>
      <c r="U63" s="329"/>
      <c r="V63" s="329"/>
      <c r="W63" s="329"/>
      <c r="X63" s="329"/>
    </row>
    <row r="64" spans="1:24" ht="18" customHeight="1" x14ac:dyDescent="0.35">
      <c r="A64" s="198"/>
      <c r="B64" s="198"/>
      <c r="C64" s="626" t="s">
        <v>481</v>
      </c>
      <c r="D64" s="627"/>
      <c r="E64" s="634" t="s">
        <v>482</v>
      </c>
      <c r="F64" s="629"/>
      <c r="G64" s="208" t="s">
        <v>483</v>
      </c>
      <c r="H64" s="198"/>
      <c r="I64" s="283"/>
      <c r="J64" s="283"/>
      <c r="K64" s="283"/>
      <c r="L64" s="283"/>
      <c r="M64" s="283"/>
      <c r="N64" s="283"/>
      <c r="O64" s="283"/>
      <c r="P64" s="283"/>
      <c r="Q64" s="329"/>
      <c r="R64" s="329"/>
      <c r="S64" s="329"/>
      <c r="T64" s="329"/>
      <c r="U64" s="329"/>
      <c r="V64" s="329"/>
      <c r="W64" s="329"/>
      <c r="X64" s="329"/>
    </row>
    <row r="65" spans="1:24" ht="18" customHeight="1" x14ac:dyDescent="0.35">
      <c r="A65" s="198"/>
      <c r="B65" s="198"/>
      <c r="C65" s="626" t="s">
        <v>484</v>
      </c>
      <c r="D65" s="627" t="s">
        <v>15</v>
      </c>
      <c r="E65" s="634" t="s">
        <v>26</v>
      </c>
      <c r="F65" s="629"/>
      <c r="G65" s="208" t="s">
        <v>485</v>
      </c>
      <c r="H65" s="198"/>
      <c r="I65" s="283"/>
      <c r="J65" s="283"/>
      <c r="K65" s="283"/>
      <c r="L65" s="283"/>
      <c r="M65" s="283"/>
      <c r="N65" s="283"/>
      <c r="O65" s="283"/>
      <c r="P65" s="283"/>
      <c r="Q65" s="329"/>
      <c r="R65" s="329"/>
      <c r="S65" s="329"/>
      <c r="T65" s="329"/>
      <c r="U65" s="329"/>
      <c r="V65" s="329"/>
      <c r="W65" s="329"/>
      <c r="X65" s="329"/>
    </row>
    <row r="66" spans="1:24" ht="18" customHeight="1" x14ac:dyDescent="0.35">
      <c r="A66" s="198"/>
      <c r="B66" s="198"/>
      <c r="C66" s="626"/>
      <c r="D66" s="627"/>
      <c r="E66" s="200"/>
      <c r="F66" s="629"/>
      <c r="G66" s="208"/>
      <c r="H66" s="198"/>
      <c r="I66" s="283"/>
      <c r="J66" s="283"/>
      <c r="K66" s="283"/>
      <c r="L66" s="283"/>
      <c r="M66" s="283"/>
      <c r="N66" s="283"/>
      <c r="O66" s="283"/>
      <c r="P66" s="283"/>
      <c r="Q66" s="329"/>
      <c r="R66" s="329"/>
      <c r="S66" s="329"/>
      <c r="T66" s="329"/>
      <c r="U66" s="329"/>
      <c r="V66" s="329"/>
      <c r="W66" s="329"/>
      <c r="X66" s="329"/>
    </row>
    <row r="67" spans="1:24" s="166" customFormat="1" ht="18" customHeight="1" x14ac:dyDescent="0.35">
      <c r="A67" s="198"/>
      <c r="B67" s="198"/>
      <c r="C67" s="648" t="s">
        <v>493</v>
      </c>
      <c r="D67" s="643"/>
      <c r="E67" s="210"/>
      <c r="F67" s="644"/>
      <c r="G67" s="645"/>
      <c r="H67" s="198"/>
      <c r="I67" s="283"/>
      <c r="J67" s="283"/>
      <c r="K67" s="283"/>
      <c r="L67" s="283"/>
      <c r="M67" s="283"/>
      <c r="N67" s="283"/>
      <c r="O67" s="283"/>
      <c r="P67" s="283"/>
      <c r="Q67" s="329"/>
      <c r="R67" s="329"/>
      <c r="S67" s="329"/>
      <c r="T67" s="329"/>
      <c r="U67" s="329"/>
      <c r="V67" s="329"/>
      <c r="W67" s="329"/>
      <c r="X67" s="329"/>
    </row>
    <row r="68" spans="1:24" s="166" customFormat="1" ht="18" customHeight="1" x14ac:dyDescent="0.35">
      <c r="A68" s="198"/>
      <c r="B68" s="198"/>
      <c r="C68" s="626" t="s">
        <v>494</v>
      </c>
      <c r="D68" s="627"/>
      <c r="E68" s="200"/>
      <c r="F68" s="629"/>
      <c r="G68" s="208"/>
      <c r="H68" s="198"/>
      <c r="I68" s="283"/>
      <c r="J68" s="283"/>
      <c r="K68" s="283"/>
      <c r="L68" s="283"/>
      <c r="M68" s="283"/>
      <c r="N68" s="283"/>
      <c r="O68" s="283"/>
      <c r="P68" s="283"/>
      <c r="Q68" s="329"/>
      <c r="R68" s="329"/>
      <c r="S68" s="329"/>
      <c r="T68" s="329"/>
      <c r="U68" s="329"/>
      <c r="V68" s="329"/>
      <c r="W68" s="329"/>
      <c r="X68" s="329"/>
    </row>
    <row r="69" spans="1:24" s="166" customFormat="1" ht="18" customHeight="1" x14ac:dyDescent="0.35">
      <c r="A69" s="198"/>
      <c r="B69" s="198"/>
      <c r="C69" s="626" t="s">
        <v>495</v>
      </c>
      <c r="D69" s="627" t="s">
        <v>173</v>
      </c>
      <c r="E69" s="649">
        <f>(1-E53-E71)*E113+E34</f>
        <v>2487500.0000000005</v>
      </c>
      <c r="F69" s="629"/>
      <c r="G69" s="208" t="s">
        <v>496</v>
      </c>
      <c r="H69" s="198"/>
      <c r="I69" s="283"/>
      <c r="J69" s="283"/>
      <c r="K69" s="283"/>
      <c r="L69" s="283"/>
      <c r="M69" s="283"/>
      <c r="N69" s="283"/>
      <c r="O69" s="283"/>
      <c r="P69" s="283"/>
      <c r="Q69" s="329"/>
      <c r="R69" s="329"/>
      <c r="S69" s="329"/>
      <c r="T69" s="329"/>
      <c r="U69" s="329"/>
      <c r="V69" s="329"/>
      <c r="W69" s="329"/>
      <c r="X69" s="329"/>
    </row>
    <row r="70" spans="1:24" s="166" customFormat="1" ht="18" customHeight="1" x14ac:dyDescent="0.35">
      <c r="A70" s="198"/>
      <c r="B70" s="198"/>
      <c r="C70" s="626" t="s">
        <v>497</v>
      </c>
      <c r="D70" s="627" t="s">
        <v>498</v>
      </c>
      <c r="E70" s="649">
        <v>1</v>
      </c>
      <c r="F70" s="629"/>
      <c r="G70" s="208" t="s">
        <v>499</v>
      </c>
      <c r="H70" s="198"/>
      <c r="I70" s="283"/>
      <c r="J70" s="283"/>
      <c r="K70" s="283"/>
      <c r="L70" s="283"/>
      <c r="M70" s="283"/>
      <c r="N70" s="283"/>
      <c r="O70" s="283"/>
      <c r="P70" s="283"/>
      <c r="Q70" s="329"/>
      <c r="R70" s="329"/>
      <c r="S70" s="329"/>
      <c r="T70" s="329"/>
      <c r="U70" s="329"/>
      <c r="V70" s="329"/>
      <c r="W70" s="329"/>
      <c r="X70" s="329"/>
    </row>
    <row r="71" spans="1:24" s="166" customFormat="1" ht="18" customHeight="1" x14ac:dyDescent="0.35">
      <c r="A71" s="198"/>
      <c r="B71" s="198"/>
      <c r="C71" s="626" t="s">
        <v>500</v>
      </c>
      <c r="D71" s="627" t="s">
        <v>158</v>
      </c>
      <c r="E71" s="647">
        <v>0.3</v>
      </c>
      <c r="F71" s="629"/>
      <c r="G71" s="208" t="s">
        <v>501</v>
      </c>
      <c r="H71" s="198"/>
      <c r="I71" s="283"/>
      <c r="J71" s="283"/>
      <c r="K71" s="283"/>
      <c r="L71" s="283"/>
      <c r="M71" s="283"/>
      <c r="N71" s="283"/>
      <c r="O71" s="283"/>
      <c r="P71" s="283"/>
      <c r="Q71" s="329"/>
      <c r="R71" s="329"/>
      <c r="S71" s="329"/>
      <c r="T71" s="329"/>
      <c r="U71" s="329"/>
      <c r="V71" s="329"/>
      <c r="W71" s="329"/>
      <c r="X71" s="329"/>
    </row>
    <row r="72" spans="1:24" s="166" customFormat="1" ht="18" customHeight="1" x14ac:dyDescent="0.35">
      <c r="A72" s="198"/>
      <c r="B72" s="198"/>
      <c r="C72" s="626" t="s">
        <v>502</v>
      </c>
      <c r="D72" s="627" t="s">
        <v>173</v>
      </c>
      <c r="E72" s="649">
        <v>5122500</v>
      </c>
      <c r="F72" s="629"/>
      <c r="G72" s="208" t="s">
        <v>503</v>
      </c>
      <c r="H72" s="198"/>
      <c r="I72" s="283"/>
      <c r="J72" s="283"/>
      <c r="K72" s="283"/>
      <c r="L72" s="283"/>
      <c r="M72" s="283"/>
      <c r="N72" s="283"/>
      <c r="O72" s="283"/>
      <c r="P72" s="283"/>
      <c r="Q72" s="329"/>
      <c r="R72" s="329"/>
      <c r="S72" s="329"/>
      <c r="T72" s="329"/>
      <c r="U72" s="329"/>
      <c r="V72" s="329"/>
      <c r="W72" s="329"/>
      <c r="X72" s="329"/>
    </row>
    <row r="73" spans="1:24" s="166" customFormat="1" ht="18" customHeight="1" x14ac:dyDescent="0.35">
      <c r="A73" s="198"/>
      <c r="B73" s="198"/>
      <c r="C73" s="626" t="s">
        <v>504</v>
      </c>
      <c r="D73" s="627" t="s">
        <v>173</v>
      </c>
      <c r="E73" s="649">
        <f>IF(E70=0,E72,IF(E70=1,E71*E113,E72))</f>
        <v>5122500</v>
      </c>
      <c r="F73" s="629" t="s">
        <v>452</v>
      </c>
      <c r="G73" s="208" t="s">
        <v>505</v>
      </c>
      <c r="H73" s="198"/>
      <c r="I73" s="283"/>
      <c r="J73" s="283"/>
      <c r="K73" s="283"/>
      <c r="L73" s="283"/>
      <c r="M73" s="283"/>
      <c r="N73" s="283"/>
      <c r="O73" s="283"/>
      <c r="P73" s="283"/>
      <c r="Q73" s="329"/>
      <c r="R73" s="329"/>
      <c r="S73" s="329"/>
      <c r="T73" s="329"/>
      <c r="U73" s="329"/>
      <c r="V73" s="329"/>
      <c r="W73" s="329"/>
      <c r="X73" s="329"/>
    </row>
    <row r="74" spans="1:24" s="166" customFormat="1" ht="18" customHeight="1" x14ac:dyDescent="0.35">
      <c r="A74" s="198"/>
      <c r="B74" s="198"/>
      <c r="C74" s="626"/>
      <c r="D74" s="627"/>
      <c r="E74" s="200"/>
      <c r="F74" s="629"/>
      <c r="G74" s="208"/>
      <c r="H74" s="198"/>
      <c r="I74" s="283"/>
      <c r="J74" s="283"/>
      <c r="K74" s="283"/>
      <c r="L74" s="283"/>
      <c r="M74" s="283"/>
      <c r="N74" s="283"/>
      <c r="O74" s="283"/>
      <c r="P74" s="283"/>
      <c r="Q74" s="329"/>
      <c r="R74" s="329"/>
      <c r="S74" s="329"/>
      <c r="T74" s="329"/>
      <c r="U74" s="329"/>
      <c r="V74" s="329"/>
      <c r="W74" s="329"/>
      <c r="X74" s="329"/>
    </row>
    <row r="75" spans="1:24" ht="18" customHeight="1" x14ac:dyDescent="0.35">
      <c r="A75" s="198"/>
      <c r="B75" s="198"/>
      <c r="C75" s="626" t="s">
        <v>506</v>
      </c>
      <c r="D75" s="627" t="s">
        <v>173</v>
      </c>
      <c r="E75" s="649">
        <f>E69+E73+E82+E84</f>
        <v>7610000</v>
      </c>
      <c r="F75" s="629" t="s">
        <v>452</v>
      </c>
      <c r="G75" s="208" t="s">
        <v>507</v>
      </c>
      <c r="H75" s="198"/>
      <c r="I75" s="283"/>
      <c r="J75" s="283"/>
      <c r="K75" s="283"/>
      <c r="L75" s="283"/>
      <c r="M75" s="283"/>
      <c r="N75" s="283"/>
      <c r="O75" s="283"/>
      <c r="P75" s="283"/>
      <c r="Q75" s="329"/>
      <c r="R75" s="329"/>
      <c r="S75" s="329"/>
      <c r="T75" s="329"/>
      <c r="U75" s="329"/>
      <c r="V75" s="329"/>
      <c r="W75" s="329"/>
      <c r="X75" s="329"/>
    </row>
    <row r="76" spans="1:24" ht="18" customHeight="1" x14ac:dyDescent="0.35">
      <c r="A76" s="198"/>
      <c r="B76" s="198"/>
      <c r="C76" s="626" t="s">
        <v>508</v>
      </c>
      <c r="D76" s="627" t="s">
        <v>158</v>
      </c>
      <c r="E76" s="647">
        <f>E53</f>
        <v>0.6</v>
      </c>
      <c r="F76" s="629" t="s">
        <v>509</v>
      </c>
      <c r="G76" s="650" t="s">
        <v>510</v>
      </c>
      <c r="H76" s="198"/>
      <c r="I76" s="283"/>
      <c r="J76" s="283"/>
      <c r="K76" s="283"/>
      <c r="L76" s="283"/>
      <c r="M76" s="283"/>
      <c r="N76" s="283"/>
      <c r="O76" s="283"/>
      <c r="P76" s="283"/>
      <c r="Q76" s="329"/>
      <c r="R76" s="329"/>
      <c r="S76" s="329"/>
      <c r="T76" s="329"/>
      <c r="U76" s="329"/>
      <c r="V76" s="329"/>
      <c r="W76" s="329"/>
      <c r="X76" s="329"/>
    </row>
    <row r="77" spans="1:24" ht="18" customHeight="1" x14ac:dyDescent="0.35">
      <c r="A77" s="198"/>
      <c r="B77" s="198"/>
      <c r="C77" s="626" t="s">
        <v>511</v>
      </c>
      <c r="D77" s="627" t="s">
        <v>158</v>
      </c>
      <c r="E77" s="646">
        <v>0.2</v>
      </c>
      <c r="F77" s="629"/>
      <c r="G77" s="208" t="s">
        <v>512</v>
      </c>
      <c r="H77" s="198"/>
      <c r="I77" s="283"/>
      <c r="J77" s="283"/>
      <c r="K77" s="283"/>
      <c r="L77" s="283"/>
      <c r="M77" s="283"/>
      <c r="N77" s="283"/>
      <c r="O77" s="283"/>
      <c r="P77" s="283"/>
      <c r="Q77" s="329"/>
      <c r="R77" s="329"/>
      <c r="S77" s="329"/>
      <c r="T77" s="329"/>
      <c r="U77" s="329"/>
      <c r="V77" s="329"/>
      <c r="W77" s="329"/>
      <c r="X77" s="329"/>
    </row>
    <row r="78" spans="1:24" ht="18" customHeight="1" x14ac:dyDescent="0.35">
      <c r="A78" s="198"/>
      <c r="B78" s="198"/>
      <c r="C78" s="626" t="s">
        <v>513</v>
      </c>
      <c r="D78" s="627" t="s">
        <v>173</v>
      </c>
      <c r="E78" s="649">
        <f>E77*E113</f>
        <v>3415000</v>
      </c>
      <c r="F78" s="629" t="s">
        <v>452</v>
      </c>
      <c r="G78" s="208" t="s">
        <v>514</v>
      </c>
      <c r="H78" s="198"/>
      <c r="I78" s="283"/>
      <c r="J78" s="283"/>
      <c r="K78" s="283"/>
      <c r="L78" s="283"/>
      <c r="M78" s="283"/>
      <c r="N78" s="283"/>
      <c r="O78" s="283"/>
      <c r="P78" s="283"/>
      <c r="Q78" s="329"/>
      <c r="R78" s="329"/>
      <c r="S78" s="329"/>
      <c r="T78" s="329"/>
      <c r="U78" s="329"/>
      <c r="V78" s="329"/>
      <c r="W78" s="329"/>
      <c r="X78" s="329"/>
    </row>
    <row r="79" spans="1:24" ht="18" customHeight="1" x14ac:dyDescent="0.35">
      <c r="A79" s="198"/>
      <c r="B79" s="198"/>
      <c r="C79" s="626"/>
      <c r="D79" s="627"/>
      <c r="E79" s="200"/>
      <c r="F79" s="629"/>
      <c r="G79" s="208"/>
      <c r="H79" s="198"/>
      <c r="I79" s="283"/>
      <c r="J79" s="283"/>
      <c r="K79" s="283"/>
      <c r="L79" s="283"/>
      <c r="M79" s="283"/>
      <c r="N79" s="283"/>
      <c r="O79" s="283"/>
      <c r="P79" s="283"/>
      <c r="Q79" s="329"/>
      <c r="R79" s="329"/>
      <c r="S79" s="329"/>
      <c r="T79" s="329"/>
      <c r="U79" s="329"/>
      <c r="V79" s="329"/>
      <c r="W79" s="329"/>
      <c r="X79" s="329"/>
    </row>
    <row r="80" spans="1:24" ht="18" customHeight="1" x14ac:dyDescent="0.35">
      <c r="A80" s="198"/>
      <c r="B80" s="198"/>
      <c r="C80" s="626" t="s">
        <v>515</v>
      </c>
      <c r="D80" s="627"/>
      <c r="E80" s="200"/>
      <c r="F80" s="629"/>
      <c r="G80" s="208" t="s">
        <v>516</v>
      </c>
      <c r="H80" s="198"/>
      <c r="I80" s="283"/>
      <c r="J80" s="283"/>
      <c r="K80" s="283"/>
      <c r="L80" s="283"/>
      <c r="M80" s="283"/>
      <c r="N80" s="283"/>
      <c r="O80" s="283"/>
      <c r="P80" s="283"/>
      <c r="Q80" s="329"/>
      <c r="R80" s="329"/>
      <c r="S80" s="329"/>
      <c r="T80" s="329"/>
      <c r="U80" s="329"/>
      <c r="V80" s="329"/>
      <c r="W80" s="329"/>
      <c r="X80" s="329"/>
    </row>
    <row r="81" spans="1:24" ht="18" customHeight="1" x14ac:dyDescent="0.35">
      <c r="A81" s="198"/>
      <c r="B81" s="198"/>
      <c r="C81" s="626" t="s">
        <v>517</v>
      </c>
      <c r="D81" s="627" t="s">
        <v>15</v>
      </c>
      <c r="E81" s="649" t="s">
        <v>25</v>
      </c>
      <c r="F81" s="629"/>
      <c r="G81" s="208" t="s">
        <v>518</v>
      </c>
      <c r="H81" s="198"/>
      <c r="I81" s="283"/>
      <c r="J81" s="283"/>
      <c r="K81" s="283"/>
      <c r="L81" s="283"/>
      <c r="M81" s="283"/>
      <c r="N81" s="283"/>
      <c r="O81" s="283"/>
      <c r="P81" s="283"/>
      <c r="Q81" s="329"/>
      <c r="R81" s="329"/>
      <c r="S81" s="329"/>
      <c r="T81" s="329"/>
      <c r="U81" s="329"/>
      <c r="V81" s="329"/>
      <c r="W81" s="329"/>
      <c r="X81" s="329"/>
    </row>
    <row r="82" spans="1:24" ht="24" customHeight="1" x14ac:dyDescent="0.35">
      <c r="A82" s="198"/>
      <c r="B82" s="198"/>
      <c r="C82" s="626" t="s">
        <v>519</v>
      </c>
      <c r="D82" s="627" t="s">
        <v>173</v>
      </c>
      <c r="E82" s="649">
        <v>0</v>
      </c>
      <c r="F82" s="629"/>
      <c r="G82" s="208" t="s">
        <v>520</v>
      </c>
      <c r="H82" s="198"/>
      <c r="I82" s="283"/>
      <c r="J82" s="283"/>
      <c r="K82" s="283"/>
      <c r="L82" s="283"/>
      <c r="M82" s="283"/>
      <c r="N82" s="283"/>
      <c r="O82" s="283"/>
      <c r="P82" s="283"/>
      <c r="Q82" s="329"/>
      <c r="R82" s="329"/>
      <c r="S82" s="329"/>
      <c r="T82" s="329"/>
      <c r="U82" s="329"/>
      <c r="V82" s="329"/>
      <c r="W82" s="329"/>
      <c r="X82" s="329"/>
    </row>
    <row r="83" spans="1:24" ht="18" customHeight="1" x14ac:dyDescent="0.35">
      <c r="A83" s="198"/>
      <c r="B83" s="198"/>
      <c r="C83" s="626" t="s">
        <v>521</v>
      </c>
      <c r="D83" s="627" t="s">
        <v>15</v>
      </c>
      <c r="E83" s="649" t="s">
        <v>26</v>
      </c>
      <c r="F83" s="629"/>
      <c r="G83" s="208" t="s">
        <v>522</v>
      </c>
      <c r="H83" s="198"/>
      <c r="I83" s="283"/>
      <c r="J83" s="283"/>
      <c r="K83" s="283"/>
      <c r="L83" s="283"/>
      <c r="M83" s="283"/>
      <c r="N83" s="283"/>
      <c r="O83" s="283"/>
      <c r="P83" s="283"/>
      <c r="Q83" s="329"/>
      <c r="R83" s="329"/>
      <c r="S83" s="329"/>
      <c r="T83" s="329"/>
      <c r="U83" s="329"/>
      <c r="V83" s="329"/>
      <c r="W83" s="329"/>
      <c r="X83" s="329"/>
    </row>
    <row r="84" spans="1:24" ht="18" customHeight="1" x14ac:dyDescent="0.35">
      <c r="A84" s="198"/>
      <c r="B84" s="198"/>
      <c r="C84" s="626" t="s">
        <v>523</v>
      </c>
      <c r="D84" s="627" t="s">
        <v>173</v>
      </c>
      <c r="E84" s="649">
        <v>0</v>
      </c>
      <c r="F84" s="629"/>
      <c r="G84" s="208" t="s">
        <v>524</v>
      </c>
      <c r="H84" s="198"/>
      <c r="I84" s="283"/>
      <c r="J84" s="283"/>
      <c r="K84" s="283"/>
      <c r="L84" s="283"/>
      <c r="M84" s="283"/>
      <c r="N84" s="283"/>
      <c r="O84" s="283"/>
      <c r="P84" s="283"/>
      <c r="Q84" s="329"/>
      <c r="R84" s="329"/>
      <c r="S84" s="329"/>
      <c r="T84" s="329"/>
      <c r="U84" s="329"/>
      <c r="V84" s="329"/>
      <c r="W84" s="329"/>
      <c r="X84" s="329"/>
    </row>
    <row r="85" spans="1:24" ht="18" customHeight="1" x14ac:dyDescent="0.35">
      <c r="A85" s="198"/>
      <c r="B85" s="198"/>
      <c r="C85" s="626" t="s">
        <v>525</v>
      </c>
      <c r="D85" s="627" t="s">
        <v>15</v>
      </c>
      <c r="E85" s="649" t="s">
        <v>27</v>
      </c>
      <c r="F85" s="629"/>
      <c r="G85" s="208" t="s">
        <v>526</v>
      </c>
      <c r="H85" s="198"/>
      <c r="I85" s="283"/>
      <c r="J85" s="283"/>
      <c r="K85" s="283"/>
      <c r="L85" s="283"/>
      <c r="M85" s="283"/>
      <c r="N85" s="283"/>
      <c r="O85" s="283"/>
      <c r="P85" s="283"/>
      <c r="Q85" s="329"/>
      <c r="R85" s="329"/>
      <c r="S85" s="329"/>
      <c r="T85" s="329"/>
      <c r="U85" s="329"/>
      <c r="V85" s="329"/>
      <c r="W85" s="329"/>
      <c r="X85" s="329"/>
    </row>
    <row r="86" spans="1:24" ht="18" customHeight="1" x14ac:dyDescent="0.35">
      <c r="A86" s="198"/>
      <c r="B86" s="198"/>
      <c r="C86" s="626" t="s">
        <v>47</v>
      </c>
      <c r="D86" s="627" t="s">
        <v>15</v>
      </c>
      <c r="E86" s="649" t="s">
        <v>26</v>
      </c>
      <c r="F86" s="629"/>
      <c r="G86" s="208" t="s">
        <v>527</v>
      </c>
      <c r="H86" s="198"/>
      <c r="I86" s="283"/>
      <c r="J86" s="283"/>
      <c r="K86" s="283"/>
      <c r="L86" s="283"/>
      <c r="M86" s="283"/>
      <c r="N86" s="283"/>
      <c r="O86" s="283"/>
      <c r="P86" s="283"/>
      <c r="Q86" s="329"/>
      <c r="R86" s="329"/>
      <c r="S86" s="329"/>
      <c r="T86" s="329"/>
      <c r="U86" s="329"/>
      <c r="V86" s="329"/>
      <c r="W86" s="329"/>
      <c r="X86" s="329"/>
    </row>
    <row r="87" spans="1:24" ht="18" customHeight="1" x14ac:dyDescent="0.35">
      <c r="A87" s="198"/>
      <c r="B87" s="198"/>
      <c r="C87" s="626"/>
      <c r="D87" s="627"/>
      <c r="E87" s="200"/>
      <c r="F87" s="629"/>
      <c r="G87" s="208"/>
      <c r="H87" s="198"/>
      <c r="I87" s="283"/>
      <c r="J87" s="283"/>
      <c r="K87" s="283"/>
      <c r="L87" s="283"/>
      <c r="M87" s="283"/>
      <c r="N87" s="283"/>
      <c r="O87" s="283"/>
      <c r="P87" s="283"/>
      <c r="Q87" s="329"/>
      <c r="R87" s="329"/>
      <c r="S87" s="329"/>
      <c r="T87" s="329"/>
      <c r="U87" s="329"/>
      <c r="V87" s="329"/>
      <c r="W87" s="329"/>
      <c r="X87" s="329"/>
    </row>
    <row r="88" spans="1:24" ht="18" customHeight="1" x14ac:dyDescent="0.35">
      <c r="A88" s="198"/>
      <c r="B88" s="198"/>
      <c r="C88" s="626" t="s">
        <v>51</v>
      </c>
      <c r="D88" s="627" t="s">
        <v>498</v>
      </c>
      <c r="E88" s="649">
        <v>0</v>
      </c>
      <c r="F88" s="629"/>
      <c r="G88" s="208" t="s">
        <v>528</v>
      </c>
      <c r="H88" s="198"/>
      <c r="I88" s="283"/>
      <c r="J88" s="283"/>
      <c r="K88" s="283"/>
      <c r="L88" s="283"/>
      <c r="M88" s="283"/>
      <c r="N88" s="283"/>
      <c r="O88" s="283"/>
      <c r="P88" s="283"/>
      <c r="Q88" s="329"/>
      <c r="R88" s="329"/>
      <c r="S88" s="329"/>
      <c r="T88" s="329"/>
      <c r="U88" s="329"/>
      <c r="V88" s="329"/>
      <c r="W88" s="329"/>
      <c r="X88" s="329"/>
    </row>
    <row r="89" spans="1:24" ht="18" customHeight="1" x14ac:dyDescent="0.35">
      <c r="A89" s="198"/>
      <c r="B89" s="198"/>
      <c r="C89" s="626" t="s">
        <v>529</v>
      </c>
      <c r="D89" s="627" t="s">
        <v>173</v>
      </c>
      <c r="E89" s="649">
        <v>0</v>
      </c>
      <c r="F89" s="629"/>
      <c r="G89" s="208" t="s">
        <v>530</v>
      </c>
      <c r="H89" s="198"/>
      <c r="I89" s="283"/>
      <c r="J89" s="283"/>
      <c r="K89" s="283"/>
      <c r="L89" s="283"/>
      <c r="M89" s="283"/>
      <c r="N89" s="283"/>
      <c r="O89" s="283"/>
      <c r="P89" s="283"/>
      <c r="Q89" s="329"/>
      <c r="R89" s="329"/>
      <c r="S89" s="329"/>
      <c r="T89" s="329"/>
      <c r="U89" s="329"/>
      <c r="V89" s="329"/>
      <c r="W89" s="329"/>
      <c r="X89" s="329"/>
    </row>
    <row r="90" spans="1:24" ht="18" customHeight="1" x14ac:dyDescent="0.35">
      <c r="A90" s="198"/>
      <c r="B90" s="198"/>
      <c r="C90" s="626" t="s">
        <v>531</v>
      </c>
      <c r="D90" s="627" t="s">
        <v>15</v>
      </c>
      <c r="E90" s="649" t="s">
        <v>26</v>
      </c>
      <c r="F90" s="629"/>
      <c r="G90" s="208" t="s">
        <v>532</v>
      </c>
      <c r="H90" s="198"/>
      <c r="I90" s="283"/>
      <c r="J90" s="283"/>
      <c r="K90" s="283"/>
      <c r="L90" s="283"/>
      <c r="M90" s="283"/>
      <c r="N90" s="283"/>
      <c r="O90" s="283"/>
      <c r="P90" s="283"/>
      <c r="Q90" s="329"/>
      <c r="R90" s="329"/>
      <c r="S90" s="329"/>
      <c r="T90" s="329"/>
      <c r="U90" s="329"/>
      <c r="V90" s="329"/>
      <c r="W90" s="329"/>
      <c r="X90" s="329"/>
    </row>
    <row r="91" spans="1:24" s="166" customFormat="1" ht="18" customHeight="1" x14ac:dyDescent="0.35">
      <c r="A91" s="198"/>
      <c r="B91" s="198"/>
      <c r="C91" s="626"/>
      <c r="D91" s="627"/>
      <c r="E91" s="649"/>
      <c r="F91" s="629"/>
      <c r="G91" s="208"/>
      <c r="H91" s="198"/>
      <c r="I91" s="283"/>
      <c r="J91" s="283"/>
      <c r="K91" s="283"/>
      <c r="L91" s="283"/>
      <c r="M91" s="283"/>
      <c r="N91" s="283"/>
      <c r="O91" s="283"/>
      <c r="P91" s="283"/>
      <c r="Q91" s="329"/>
      <c r="R91" s="329"/>
      <c r="S91" s="329"/>
      <c r="T91" s="329"/>
      <c r="U91" s="329"/>
      <c r="V91" s="329"/>
      <c r="W91" s="329"/>
      <c r="X91" s="329"/>
    </row>
    <row r="92" spans="1:24" s="166" customFormat="1" ht="18" customHeight="1" x14ac:dyDescent="0.35">
      <c r="A92" s="198"/>
      <c r="B92" s="198"/>
      <c r="C92" s="626"/>
      <c r="D92" s="627"/>
      <c r="E92" s="649"/>
      <c r="F92" s="629"/>
      <c r="G92" s="208"/>
      <c r="H92" s="198"/>
      <c r="I92" s="283"/>
      <c r="J92" s="283"/>
      <c r="K92" s="283"/>
      <c r="L92" s="283"/>
      <c r="M92" s="283"/>
      <c r="N92" s="283"/>
      <c r="O92" s="283"/>
      <c r="P92" s="283"/>
      <c r="Q92" s="329"/>
      <c r="R92" s="329"/>
      <c r="S92" s="329"/>
      <c r="T92" s="329"/>
      <c r="U92" s="329"/>
      <c r="V92" s="329"/>
      <c r="W92" s="329"/>
      <c r="X92" s="329"/>
    </row>
    <row r="93" spans="1:24" s="166" customFormat="1" ht="18" customHeight="1" x14ac:dyDescent="0.35">
      <c r="A93" s="198"/>
      <c r="B93" s="198"/>
      <c r="C93" s="626"/>
      <c r="D93" s="627"/>
      <c r="E93" s="649"/>
      <c r="F93" s="629"/>
      <c r="G93" s="208"/>
      <c r="H93" s="198"/>
      <c r="I93" s="283"/>
      <c r="J93" s="283"/>
      <c r="K93" s="283"/>
      <c r="L93" s="283"/>
      <c r="M93" s="283"/>
      <c r="N93" s="283"/>
      <c r="O93" s="283"/>
      <c r="P93" s="283"/>
      <c r="Q93" s="329"/>
      <c r="R93" s="329"/>
      <c r="S93" s="329"/>
      <c r="T93" s="329"/>
      <c r="U93" s="329"/>
      <c r="V93" s="329"/>
      <c r="W93" s="329"/>
      <c r="X93" s="329"/>
    </row>
    <row r="94" spans="1:24" ht="18" customHeight="1" x14ac:dyDescent="0.35">
      <c r="A94" s="198"/>
      <c r="B94" s="198"/>
      <c r="C94" s="642" t="s">
        <v>533</v>
      </c>
      <c r="D94" s="643"/>
      <c r="E94" s="210"/>
      <c r="F94" s="644"/>
      <c r="G94" s="645"/>
      <c r="H94" s="198"/>
      <c r="I94" s="283"/>
      <c r="J94" s="283"/>
      <c r="K94" s="283"/>
      <c r="L94" s="283"/>
      <c r="M94" s="283"/>
      <c r="N94" s="283"/>
      <c r="O94" s="283"/>
      <c r="P94" s="283"/>
      <c r="Q94" s="329"/>
      <c r="R94" s="329"/>
      <c r="S94" s="329"/>
      <c r="T94" s="329"/>
      <c r="U94" s="329"/>
      <c r="V94" s="329"/>
      <c r="W94" s="329"/>
      <c r="X94" s="329"/>
    </row>
    <row r="95" spans="1:24" ht="18" customHeight="1" x14ac:dyDescent="0.35">
      <c r="A95" s="198"/>
      <c r="B95" s="198"/>
      <c r="C95" s="626" t="s">
        <v>151</v>
      </c>
      <c r="D95" s="627" t="s">
        <v>208</v>
      </c>
      <c r="E95" s="634">
        <v>1.2</v>
      </c>
      <c r="F95" s="629"/>
      <c r="G95" s="208" t="s">
        <v>534</v>
      </c>
      <c r="H95" s="198"/>
      <c r="I95" s="283"/>
      <c r="J95" s="283"/>
      <c r="K95" s="283"/>
      <c r="L95" s="283"/>
      <c r="M95" s="283"/>
      <c r="N95" s="283"/>
      <c r="O95" s="283"/>
      <c r="P95" s="283"/>
      <c r="Q95" s="329"/>
      <c r="R95" s="329"/>
      <c r="S95" s="329"/>
      <c r="T95" s="329"/>
      <c r="U95" s="329"/>
      <c r="V95" s="329"/>
      <c r="W95" s="329"/>
      <c r="X95" s="329"/>
    </row>
    <row r="96" spans="1:24" ht="18" customHeight="1" x14ac:dyDescent="0.35">
      <c r="A96" s="198"/>
      <c r="B96" s="198"/>
      <c r="C96" s="626" t="s">
        <v>156</v>
      </c>
      <c r="D96" s="627" t="s">
        <v>208</v>
      </c>
      <c r="E96" s="634">
        <v>2</v>
      </c>
      <c r="F96" s="629"/>
      <c r="G96" s="208" t="s">
        <v>535</v>
      </c>
      <c r="H96" s="198"/>
      <c r="I96" s="283"/>
      <c r="J96" s="283"/>
      <c r="K96" s="283"/>
      <c r="L96" s="283"/>
      <c r="M96" s="283"/>
      <c r="N96" s="283"/>
      <c r="O96" s="283"/>
      <c r="P96" s="283"/>
      <c r="Q96" s="329"/>
      <c r="R96" s="329"/>
      <c r="S96" s="329"/>
      <c r="T96" s="329"/>
      <c r="U96" s="329"/>
      <c r="V96" s="329"/>
      <c r="W96" s="329"/>
      <c r="X96" s="329"/>
    </row>
    <row r="97" spans="1:24" ht="18" customHeight="1" x14ac:dyDescent="0.35">
      <c r="A97" s="198"/>
      <c r="B97" s="198"/>
      <c r="C97" s="626" t="s">
        <v>536</v>
      </c>
      <c r="D97" s="627" t="s">
        <v>208</v>
      </c>
      <c r="E97" s="634">
        <v>4.5</v>
      </c>
      <c r="F97" s="629"/>
      <c r="G97" s="208" t="s">
        <v>537</v>
      </c>
      <c r="H97" s="198"/>
      <c r="I97" s="283"/>
      <c r="J97" s="283"/>
      <c r="K97" s="283"/>
      <c r="L97" s="283"/>
      <c r="M97" s="283"/>
      <c r="N97" s="283"/>
      <c r="O97" s="283"/>
      <c r="P97" s="283"/>
      <c r="Q97" s="329"/>
      <c r="R97" s="329"/>
      <c r="S97" s="329"/>
      <c r="T97" s="329"/>
      <c r="U97" s="329"/>
      <c r="V97" s="329"/>
      <c r="W97" s="329"/>
      <c r="X97" s="329"/>
    </row>
    <row r="98" spans="1:24" ht="18" customHeight="1" x14ac:dyDescent="0.35">
      <c r="A98" s="198"/>
      <c r="B98" s="198"/>
      <c r="C98" s="626" t="s">
        <v>538</v>
      </c>
      <c r="D98" s="627"/>
      <c r="E98" s="634"/>
      <c r="F98" s="629"/>
      <c r="G98" s="208"/>
      <c r="H98" s="198"/>
      <c r="I98" s="283"/>
      <c r="J98" s="283"/>
      <c r="K98" s="283"/>
      <c r="L98" s="283"/>
      <c r="M98" s="283"/>
      <c r="N98" s="283"/>
      <c r="O98" s="283"/>
      <c r="P98" s="283"/>
      <c r="Q98" s="329"/>
      <c r="R98" s="329"/>
      <c r="S98" s="329"/>
      <c r="T98" s="329"/>
      <c r="U98" s="329"/>
      <c r="V98" s="329"/>
      <c r="W98" s="329"/>
      <c r="X98" s="329"/>
    </row>
    <row r="99" spans="1:24" ht="18" customHeight="1" x14ac:dyDescent="0.35">
      <c r="A99" s="198"/>
      <c r="B99" s="198"/>
      <c r="C99" s="626" t="s">
        <v>539</v>
      </c>
      <c r="D99" s="627" t="s">
        <v>15</v>
      </c>
      <c r="E99" s="634" t="s">
        <v>25</v>
      </c>
      <c r="F99" s="629"/>
      <c r="G99" s="208" t="s">
        <v>540</v>
      </c>
      <c r="H99" s="198"/>
      <c r="I99" s="283"/>
      <c r="J99" s="283"/>
      <c r="K99" s="283"/>
      <c r="L99" s="283"/>
      <c r="M99" s="283"/>
      <c r="N99" s="283"/>
      <c r="O99" s="283"/>
      <c r="P99" s="283"/>
      <c r="Q99" s="329"/>
      <c r="R99" s="329"/>
      <c r="S99" s="329"/>
      <c r="T99" s="329"/>
      <c r="U99" s="329"/>
      <c r="V99" s="329"/>
      <c r="W99" s="329"/>
      <c r="X99" s="329"/>
    </row>
    <row r="100" spans="1:24" ht="18" customHeight="1" x14ac:dyDescent="0.35">
      <c r="A100" s="198"/>
      <c r="B100" s="198"/>
      <c r="C100" s="626"/>
      <c r="D100" s="627"/>
      <c r="E100" s="200"/>
      <c r="F100" s="629"/>
      <c r="G100" s="208"/>
      <c r="H100" s="198"/>
      <c r="I100" s="283"/>
      <c r="J100" s="283"/>
      <c r="K100" s="283"/>
      <c r="L100" s="283"/>
      <c r="M100" s="283"/>
      <c r="N100" s="283"/>
      <c r="O100" s="283"/>
      <c r="P100" s="283"/>
    </row>
    <row r="101" spans="1:24" ht="18" customHeight="1" x14ac:dyDescent="0.35">
      <c r="A101" s="198"/>
      <c r="B101" s="731" t="s">
        <v>541</v>
      </c>
      <c r="C101" s="704"/>
      <c r="D101" s="704"/>
      <c r="E101" s="704"/>
      <c r="F101" s="704"/>
      <c r="G101" s="704"/>
      <c r="H101" s="198"/>
      <c r="I101" s="283"/>
      <c r="J101" s="283"/>
      <c r="K101" s="283"/>
      <c r="L101" s="283"/>
      <c r="M101" s="283"/>
      <c r="N101" s="283"/>
      <c r="O101" s="283"/>
      <c r="P101" s="283"/>
    </row>
    <row r="102" spans="1:24" ht="18" customHeight="1" x14ac:dyDescent="0.35">
      <c r="A102" s="198"/>
      <c r="B102" s="198"/>
      <c r="C102" s="626"/>
      <c r="D102" s="627"/>
      <c r="E102" s="200"/>
      <c r="F102" s="629"/>
      <c r="G102" s="208"/>
      <c r="H102" s="198"/>
      <c r="I102" s="283"/>
      <c r="J102" s="283"/>
      <c r="K102" s="283"/>
      <c r="L102" s="283"/>
      <c r="M102" s="283"/>
      <c r="N102" s="283"/>
      <c r="O102" s="283"/>
      <c r="P102" s="283"/>
    </row>
    <row r="103" spans="1:24" ht="18" customHeight="1" x14ac:dyDescent="0.35">
      <c r="A103" s="198"/>
      <c r="B103" s="198"/>
      <c r="C103" s="626" t="s">
        <v>542</v>
      </c>
      <c r="D103" s="627" t="s">
        <v>173</v>
      </c>
      <c r="E103" s="639">
        <v>1270000</v>
      </c>
      <c r="F103" s="629"/>
      <c r="G103" s="208" t="s">
        <v>543</v>
      </c>
      <c r="H103" s="198"/>
      <c r="I103" s="283"/>
      <c r="J103" s="283"/>
      <c r="K103" s="283"/>
      <c r="L103" s="283"/>
      <c r="M103" s="283"/>
      <c r="N103" s="283"/>
      <c r="O103" s="283"/>
      <c r="P103" s="283"/>
    </row>
    <row r="104" spans="1:24" ht="18" customHeight="1" x14ac:dyDescent="0.35">
      <c r="A104" s="198"/>
      <c r="B104" s="198"/>
      <c r="C104" s="626" t="s">
        <v>544</v>
      </c>
      <c r="D104" s="627" t="s">
        <v>173</v>
      </c>
      <c r="E104" s="651">
        <v>7280000</v>
      </c>
      <c r="F104" s="629"/>
      <c r="G104" s="208" t="s">
        <v>545</v>
      </c>
      <c r="H104" s="198"/>
      <c r="I104" s="283"/>
      <c r="J104" s="283"/>
      <c r="K104" s="283"/>
      <c r="L104" s="283"/>
      <c r="M104" s="283"/>
      <c r="N104" s="283"/>
      <c r="O104" s="283"/>
      <c r="P104" s="283"/>
    </row>
    <row r="105" spans="1:24" ht="18" customHeight="1" x14ac:dyDescent="0.35">
      <c r="A105" s="198"/>
      <c r="B105" s="198"/>
      <c r="C105" s="626" t="s">
        <v>546</v>
      </c>
      <c r="D105" s="627" t="s">
        <v>173</v>
      </c>
      <c r="E105" s="639">
        <v>1105000</v>
      </c>
      <c r="F105" s="629"/>
      <c r="G105" s="208" t="s">
        <v>547</v>
      </c>
      <c r="H105" s="198"/>
      <c r="I105" s="283"/>
      <c r="J105" s="283"/>
      <c r="K105" s="283"/>
      <c r="L105" s="283"/>
      <c r="M105" s="283"/>
      <c r="N105" s="283"/>
      <c r="O105" s="283"/>
      <c r="P105" s="283"/>
    </row>
    <row r="106" spans="1:24" ht="18" customHeight="1" x14ac:dyDescent="0.35">
      <c r="A106" s="198"/>
      <c r="B106" s="198"/>
      <c r="C106" s="626" t="s">
        <v>548</v>
      </c>
      <c r="D106" s="627" t="s">
        <v>173</v>
      </c>
      <c r="E106" s="651">
        <v>420000</v>
      </c>
      <c r="F106" s="629"/>
      <c r="G106" s="208" t="s">
        <v>549</v>
      </c>
      <c r="H106" s="198"/>
      <c r="I106" s="283"/>
      <c r="J106" s="283"/>
      <c r="K106" s="283"/>
      <c r="L106" s="283"/>
      <c r="M106" s="283"/>
      <c r="N106" s="283"/>
      <c r="O106" s="283"/>
      <c r="P106" s="283"/>
    </row>
    <row r="107" spans="1:24" ht="18" customHeight="1" x14ac:dyDescent="0.35">
      <c r="A107" s="198"/>
      <c r="B107" s="198"/>
      <c r="C107" s="626" t="s">
        <v>550</v>
      </c>
      <c r="D107" s="627" t="s">
        <v>173</v>
      </c>
      <c r="E107" s="651">
        <v>1200000</v>
      </c>
      <c r="F107" s="629"/>
      <c r="G107" s="208" t="s">
        <v>551</v>
      </c>
      <c r="H107" s="198"/>
      <c r="I107" s="283"/>
      <c r="J107" s="283"/>
      <c r="K107" s="283"/>
      <c r="L107" s="283"/>
      <c r="M107" s="283"/>
      <c r="N107" s="283"/>
      <c r="O107" s="283"/>
      <c r="P107" s="283"/>
    </row>
    <row r="108" spans="1:24" ht="18" customHeight="1" x14ac:dyDescent="0.35">
      <c r="A108" s="198"/>
      <c r="B108" s="198"/>
      <c r="C108" s="626" t="s">
        <v>552</v>
      </c>
      <c r="D108" s="627" t="s">
        <v>173</v>
      </c>
      <c r="E108" s="651">
        <v>4950000</v>
      </c>
      <c r="F108" s="629"/>
      <c r="G108" s="208" t="s">
        <v>553</v>
      </c>
      <c r="H108" s="198"/>
      <c r="I108" s="283"/>
      <c r="J108" s="283"/>
      <c r="K108" s="283"/>
      <c r="L108" s="283"/>
      <c r="M108" s="283"/>
      <c r="N108" s="283"/>
      <c r="O108" s="283"/>
      <c r="P108" s="283"/>
    </row>
    <row r="109" spans="1:24" ht="24" customHeight="1" x14ac:dyDescent="0.35">
      <c r="A109" s="198"/>
      <c r="B109" s="198"/>
      <c r="C109" s="626" t="s">
        <v>554</v>
      </c>
      <c r="D109" s="627" t="s">
        <v>173</v>
      </c>
      <c r="E109" s="651">
        <v>220000</v>
      </c>
      <c r="F109" s="629"/>
      <c r="G109" s="208" t="s">
        <v>555</v>
      </c>
      <c r="H109" s="198"/>
      <c r="I109" s="283"/>
      <c r="J109" s="283"/>
      <c r="K109" s="283"/>
      <c r="L109" s="283"/>
      <c r="M109" s="283"/>
      <c r="N109" s="283"/>
      <c r="O109" s="283"/>
      <c r="P109" s="283"/>
    </row>
    <row r="110" spans="1:24" ht="18" customHeight="1" x14ac:dyDescent="0.35">
      <c r="A110" s="198"/>
      <c r="B110" s="198"/>
      <c r="C110" s="626" t="s">
        <v>556</v>
      </c>
      <c r="D110" s="627" t="s">
        <v>173</v>
      </c>
      <c r="E110" s="639">
        <v>130000</v>
      </c>
      <c r="F110" s="629"/>
      <c r="G110" s="208" t="s">
        <v>557</v>
      </c>
      <c r="H110" s="198"/>
      <c r="I110" s="283"/>
      <c r="J110" s="283"/>
      <c r="K110" s="283"/>
      <c r="L110" s="283"/>
      <c r="M110" s="283"/>
      <c r="N110" s="283"/>
      <c r="O110" s="283"/>
      <c r="P110" s="283"/>
    </row>
    <row r="111" spans="1:24" ht="18" customHeight="1" x14ac:dyDescent="0.35">
      <c r="A111" s="198"/>
      <c r="B111" s="198"/>
      <c r="C111" s="626" t="s">
        <v>413</v>
      </c>
      <c r="D111" s="627" t="s">
        <v>173</v>
      </c>
      <c r="E111" s="639">
        <f>SUM(E103:E110)</f>
        <v>16575000</v>
      </c>
      <c r="F111" s="629" t="s">
        <v>452</v>
      </c>
      <c r="G111" s="208" t="s">
        <v>416</v>
      </c>
      <c r="H111" s="198"/>
      <c r="I111" s="283"/>
      <c r="J111" s="283"/>
      <c r="K111" s="283"/>
      <c r="L111" s="283"/>
      <c r="M111" s="283"/>
      <c r="N111" s="283"/>
      <c r="O111" s="283"/>
      <c r="P111" s="283"/>
    </row>
    <row r="112" spans="1:24" ht="18" customHeight="1" x14ac:dyDescent="0.35">
      <c r="A112" s="198"/>
      <c r="B112" s="198"/>
      <c r="C112" s="626" t="s">
        <v>558</v>
      </c>
      <c r="D112" s="627" t="s">
        <v>173</v>
      </c>
      <c r="E112" s="639">
        <v>500000</v>
      </c>
      <c r="F112" s="629"/>
      <c r="G112" s="208" t="s">
        <v>559</v>
      </c>
      <c r="H112" s="198"/>
      <c r="I112" s="283"/>
      <c r="J112" s="283"/>
      <c r="K112" s="283"/>
      <c r="L112" s="283"/>
      <c r="M112" s="283"/>
      <c r="N112" s="283"/>
      <c r="O112" s="283"/>
      <c r="P112" s="283"/>
    </row>
    <row r="113" spans="1:16" ht="18" customHeight="1" x14ac:dyDescent="0.35">
      <c r="A113" s="198"/>
      <c r="B113" s="198"/>
      <c r="C113" s="626" t="s">
        <v>560</v>
      </c>
      <c r="D113" s="627" t="s">
        <v>173</v>
      </c>
      <c r="E113" s="652">
        <f>E112+E111</f>
        <v>17075000</v>
      </c>
      <c r="F113" s="629" t="s">
        <v>452</v>
      </c>
      <c r="G113" s="208">
        <f>E111+E112</f>
        <v>17075000</v>
      </c>
      <c r="H113" s="198"/>
      <c r="I113" s="283"/>
      <c r="J113" s="283"/>
      <c r="K113" s="283"/>
      <c r="L113" s="283"/>
      <c r="M113" s="283"/>
      <c r="N113" s="283"/>
      <c r="O113" s="283"/>
      <c r="P113" s="283"/>
    </row>
    <row r="114" spans="1:16" ht="18" customHeight="1" x14ac:dyDescent="0.35">
      <c r="A114" s="198"/>
      <c r="B114" s="198"/>
      <c r="C114" s="626"/>
      <c r="D114" s="627"/>
      <c r="E114" s="634"/>
      <c r="F114" s="629"/>
      <c r="G114" s="208"/>
      <c r="H114" s="198"/>
      <c r="I114" s="283"/>
      <c r="J114" s="283"/>
      <c r="K114" s="283"/>
      <c r="L114" s="283"/>
      <c r="M114" s="283"/>
      <c r="N114" s="283"/>
      <c r="O114" s="283"/>
      <c r="P114" s="283"/>
    </row>
    <row r="115" spans="1:16" ht="18" customHeight="1" x14ac:dyDescent="0.35">
      <c r="A115" s="198"/>
      <c r="B115" s="198"/>
      <c r="C115" s="626" t="s">
        <v>561</v>
      </c>
      <c r="D115" s="627"/>
      <c r="E115" s="634"/>
      <c r="F115" s="629"/>
      <c r="G115" s="208"/>
      <c r="H115" s="198"/>
      <c r="I115" s="283"/>
      <c r="J115" s="283"/>
      <c r="K115" s="283"/>
      <c r="L115" s="283"/>
      <c r="M115" s="283"/>
      <c r="N115" s="283"/>
      <c r="O115" s="283"/>
      <c r="P115" s="283"/>
    </row>
    <row r="116" spans="1:16" ht="18" customHeight="1" x14ac:dyDescent="0.35">
      <c r="A116" s="198"/>
      <c r="B116" s="198"/>
      <c r="C116" s="626" t="s">
        <v>562</v>
      </c>
      <c r="D116" s="627" t="s">
        <v>563</v>
      </c>
      <c r="E116" s="647">
        <v>0.1</v>
      </c>
      <c r="F116" s="629"/>
      <c r="G116" s="208" t="s">
        <v>564</v>
      </c>
      <c r="H116" s="198"/>
      <c r="I116" s="283"/>
      <c r="J116" s="283"/>
      <c r="K116" s="283"/>
      <c r="L116" s="283"/>
      <c r="M116" s="283"/>
      <c r="N116" s="283"/>
      <c r="O116" s="283"/>
      <c r="P116" s="283"/>
    </row>
    <row r="117" spans="1:16" ht="18" customHeight="1" x14ac:dyDescent="0.35">
      <c r="A117" s="198"/>
      <c r="B117" s="198"/>
      <c r="C117" s="626" t="s">
        <v>565</v>
      </c>
      <c r="D117" s="627" t="s">
        <v>563</v>
      </c>
      <c r="E117" s="647">
        <v>0.05</v>
      </c>
      <c r="F117" s="629"/>
      <c r="G117" s="208" t="s">
        <v>566</v>
      </c>
      <c r="H117" s="198"/>
      <c r="I117" s="283"/>
      <c r="J117" s="283"/>
      <c r="K117" s="283"/>
      <c r="L117" s="283"/>
      <c r="M117" s="283"/>
      <c r="N117" s="283"/>
      <c r="O117" s="283"/>
      <c r="P117" s="283"/>
    </row>
    <row r="118" spans="1:16" ht="18" customHeight="1" x14ac:dyDescent="0.35">
      <c r="A118" s="198"/>
      <c r="B118" s="198"/>
      <c r="C118" s="626" t="s">
        <v>567</v>
      </c>
      <c r="D118" s="627" t="s">
        <v>158</v>
      </c>
      <c r="E118" s="647">
        <v>0.05</v>
      </c>
      <c r="F118" s="629"/>
      <c r="G118" s="208" t="s">
        <v>568</v>
      </c>
      <c r="H118" s="198"/>
      <c r="I118" s="283"/>
      <c r="J118" s="283"/>
      <c r="K118" s="283"/>
      <c r="L118" s="283"/>
      <c r="M118" s="283"/>
      <c r="N118" s="283"/>
      <c r="O118" s="283"/>
      <c r="P118" s="283"/>
    </row>
    <row r="119" spans="1:16" ht="18" customHeight="1" x14ac:dyDescent="0.35">
      <c r="A119" s="198"/>
      <c r="B119" s="198"/>
      <c r="C119" s="626" t="s">
        <v>569</v>
      </c>
      <c r="D119" s="627" t="s">
        <v>439</v>
      </c>
      <c r="E119" s="634">
        <v>12</v>
      </c>
      <c r="F119" s="629"/>
      <c r="G119" s="208" t="s">
        <v>570</v>
      </c>
      <c r="H119" s="198"/>
      <c r="I119" s="283"/>
      <c r="J119" s="283"/>
      <c r="K119" s="283"/>
      <c r="L119" s="283"/>
      <c r="M119" s="283"/>
      <c r="N119" s="283"/>
      <c r="O119" s="283"/>
      <c r="P119" s="283"/>
    </row>
    <row r="120" spans="1:16" ht="18" customHeight="1" x14ac:dyDescent="0.35">
      <c r="A120" s="198"/>
      <c r="B120" s="198"/>
      <c r="C120" s="626" t="s">
        <v>571</v>
      </c>
      <c r="D120" s="627" t="s">
        <v>456</v>
      </c>
      <c r="E120" s="647">
        <v>0.08</v>
      </c>
      <c r="F120" s="629"/>
      <c r="G120" s="208" t="s">
        <v>572</v>
      </c>
      <c r="H120" s="198"/>
      <c r="I120" s="283"/>
      <c r="J120" s="283"/>
      <c r="K120" s="283"/>
      <c r="L120" s="283"/>
      <c r="M120" s="283"/>
      <c r="N120" s="283"/>
      <c r="O120" s="283"/>
      <c r="P120" s="283"/>
    </row>
    <row r="121" spans="1:16" ht="18" customHeight="1" x14ac:dyDescent="0.35">
      <c r="A121" s="198"/>
      <c r="B121" s="198"/>
      <c r="C121" s="653" t="s">
        <v>573</v>
      </c>
      <c r="D121" s="627"/>
      <c r="E121" s="647"/>
      <c r="F121" s="629"/>
      <c r="G121" s="208"/>
      <c r="H121" s="198"/>
      <c r="I121" s="283"/>
      <c r="J121" s="283"/>
      <c r="K121" s="283"/>
      <c r="L121" s="283"/>
      <c r="M121" s="283"/>
      <c r="N121" s="283"/>
      <c r="O121" s="283"/>
      <c r="P121" s="283"/>
    </row>
    <row r="122" spans="1:16" ht="18" customHeight="1" x14ac:dyDescent="0.35">
      <c r="A122" s="198"/>
      <c r="B122" s="198"/>
      <c r="C122" s="626" t="s">
        <v>574</v>
      </c>
      <c r="D122" s="627" t="s">
        <v>158</v>
      </c>
      <c r="E122" s="654">
        <v>0</v>
      </c>
      <c r="F122" s="629"/>
      <c r="G122" s="208" t="s">
        <v>575</v>
      </c>
      <c r="H122" s="198"/>
      <c r="I122" s="283"/>
      <c r="J122" s="283"/>
      <c r="K122" s="283"/>
      <c r="L122" s="283"/>
      <c r="M122" s="283"/>
      <c r="N122" s="283"/>
      <c r="O122" s="283"/>
      <c r="P122" s="283"/>
    </row>
    <row r="123" spans="1:16" ht="18" customHeight="1" x14ac:dyDescent="0.35">
      <c r="A123" s="198"/>
      <c r="B123" s="198"/>
      <c r="C123" s="626" t="s">
        <v>576</v>
      </c>
      <c r="D123" s="627" t="s">
        <v>158</v>
      </c>
      <c r="E123" s="654">
        <v>1</v>
      </c>
      <c r="F123" s="629"/>
      <c r="G123" s="208" t="s">
        <v>577</v>
      </c>
      <c r="H123" s="198"/>
      <c r="I123" s="283"/>
      <c r="J123" s="283"/>
      <c r="K123" s="283"/>
      <c r="L123" s="283"/>
      <c r="M123" s="283"/>
      <c r="N123" s="283"/>
      <c r="O123" s="283"/>
      <c r="P123" s="283"/>
    </row>
    <row r="124" spans="1:16" ht="18" customHeight="1" x14ac:dyDescent="0.35">
      <c r="A124" s="198"/>
      <c r="B124" s="198"/>
      <c r="C124" s="626"/>
      <c r="D124" s="627"/>
      <c r="E124" s="200"/>
      <c r="F124" s="629"/>
      <c r="G124" s="208"/>
      <c r="H124" s="198"/>
      <c r="I124" s="283"/>
      <c r="J124" s="283"/>
      <c r="K124" s="283"/>
      <c r="L124" s="283"/>
      <c r="M124" s="283"/>
      <c r="N124" s="283"/>
      <c r="O124" s="283"/>
      <c r="P124" s="283"/>
    </row>
    <row r="125" spans="1:16" ht="18" customHeight="1" x14ac:dyDescent="0.35">
      <c r="A125" s="198"/>
      <c r="B125" s="731" t="s">
        <v>578</v>
      </c>
      <c r="C125" s="704"/>
      <c r="D125" s="704"/>
      <c r="E125" s="704"/>
      <c r="F125" s="704"/>
      <c r="G125" s="704"/>
      <c r="H125" s="198"/>
      <c r="I125" s="283"/>
      <c r="J125" s="283"/>
      <c r="K125" s="283"/>
      <c r="L125" s="283"/>
      <c r="M125" s="283"/>
      <c r="N125" s="283"/>
      <c r="O125" s="283"/>
      <c r="P125" s="283"/>
    </row>
    <row r="126" spans="1:16" ht="24" customHeight="1" x14ac:dyDescent="0.35">
      <c r="A126" s="198"/>
      <c r="B126" s="198"/>
      <c r="C126" s="626"/>
      <c r="D126" s="627"/>
      <c r="E126" s="200"/>
      <c r="F126" s="629"/>
      <c r="G126" s="208"/>
      <c r="H126" s="198"/>
      <c r="I126" s="283"/>
      <c r="J126" s="283"/>
      <c r="K126" s="283"/>
      <c r="L126" s="283"/>
      <c r="M126" s="283"/>
      <c r="N126" s="283"/>
      <c r="O126" s="283"/>
      <c r="P126" s="283"/>
    </row>
    <row r="127" spans="1:16" ht="18" customHeight="1" x14ac:dyDescent="0.35">
      <c r="A127" s="198"/>
      <c r="B127" s="198"/>
      <c r="C127" s="627" t="s">
        <v>91</v>
      </c>
      <c r="D127" s="655" t="s">
        <v>579</v>
      </c>
      <c r="E127" s="639">
        <v>5000</v>
      </c>
      <c r="F127" s="629"/>
      <c r="G127" s="208" t="s">
        <v>580</v>
      </c>
      <c r="H127" s="198"/>
      <c r="I127" s="283"/>
      <c r="J127" s="283"/>
      <c r="K127" s="283"/>
      <c r="L127" s="283"/>
      <c r="M127" s="283"/>
      <c r="N127" s="283"/>
      <c r="O127" s="283"/>
      <c r="P127" s="283"/>
    </row>
    <row r="128" spans="1:16" ht="18" customHeight="1" x14ac:dyDescent="0.35">
      <c r="A128" s="198"/>
      <c r="B128" s="198"/>
      <c r="C128" s="627" t="s">
        <v>93</v>
      </c>
      <c r="D128" s="655" t="s">
        <v>579</v>
      </c>
      <c r="E128" s="639">
        <v>3000</v>
      </c>
      <c r="F128" s="629"/>
      <c r="G128" s="208" t="s">
        <v>581</v>
      </c>
      <c r="H128" s="198"/>
      <c r="I128" s="283"/>
      <c r="J128" s="283"/>
      <c r="K128" s="283"/>
      <c r="L128" s="283"/>
      <c r="M128" s="283"/>
      <c r="N128" s="283"/>
      <c r="O128" s="283"/>
      <c r="P128" s="283"/>
    </row>
    <row r="129" spans="1:16" ht="18" customHeight="1" x14ac:dyDescent="0.35">
      <c r="A129" s="198"/>
      <c r="B129" s="198"/>
      <c r="C129" s="627" t="s">
        <v>95</v>
      </c>
      <c r="D129" s="655" t="s">
        <v>579</v>
      </c>
      <c r="E129" s="639">
        <v>1500</v>
      </c>
      <c r="F129" s="629"/>
      <c r="G129" s="208" t="s">
        <v>582</v>
      </c>
      <c r="H129" s="198"/>
      <c r="I129" s="283"/>
      <c r="J129" s="283"/>
      <c r="K129" s="283"/>
      <c r="L129" s="283"/>
      <c r="M129" s="283"/>
      <c r="N129" s="283"/>
      <c r="O129" s="283"/>
      <c r="P129" s="283"/>
    </row>
    <row r="130" spans="1:16" ht="18" customHeight="1" x14ac:dyDescent="0.35">
      <c r="A130" s="198"/>
      <c r="B130" s="198"/>
      <c r="C130" s="627" t="s">
        <v>583</v>
      </c>
      <c r="D130" s="655" t="s">
        <v>579</v>
      </c>
      <c r="E130" s="639">
        <v>3500</v>
      </c>
      <c r="F130" s="629"/>
      <c r="G130" s="208" t="s">
        <v>584</v>
      </c>
      <c r="H130" s="198"/>
      <c r="I130" s="283"/>
      <c r="J130" s="283"/>
      <c r="K130" s="283"/>
      <c r="L130" s="283"/>
      <c r="M130" s="283"/>
      <c r="N130" s="283"/>
      <c r="O130" s="283"/>
      <c r="P130" s="283"/>
    </row>
    <row r="131" spans="1:16" ht="18" customHeight="1" x14ac:dyDescent="0.35">
      <c r="A131" s="198"/>
      <c r="B131" s="198"/>
      <c r="C131" s="627" t="s">
        <v>585</v>
      </c>
      <c r="D131" s="655" t="s">
        <v>579</v>
      </c>
      <c r="E131" s="639">
        <v>3500</v>
      </c>
      <c r="F131" s="629"/>
      <c r="G131" s="208" t="s">
        <v>586</v>
      </c>
      <c r="H131" s="198"/>
      <c r="I131" s="283"/>
      <c r="J131" s="283"/>
      <c r="K131" s="283"/>
      <c r="L131" s="283"/>
      <c r="M131" s="283"/>
      <c r="N131" s="283"/>
      <c r="O131" s="283"/>
      <c r="P131" s="283"/>
    </row>
    <row r="132" spans="1:16" ht="18" customHeight="1" x14ac:dyDescent="0.35">
      <c r="A132" s="198"/>
      <c r="B132" s="198"/>
      <c r="C132" s="627" t="s">
        <v>587</v>
      </c>
      <c r="D132" s="655" t="s">
        <v>579</v>
      </c>
      <c r="E132" s="639">
        <v>3500</v>
      </c>
      <c r="F132" s="629"/>
      <c r="G132" s="208" t="s">
        <v>588</v>
      </c>
      <c r="H132" s="198"/>
      <c r="I132" s="283"/>
      <c r="J132" s="283"/>
      <c r="K132" s="283"/>
      <c r="L132" s="283"/>
      <c r="M132" s="283"/>
      <c r="N132" s="283"/>
      <c r="O132" s="283"/>
      <c r="P132" s="283"/>
    </row>
    <row r="133" spans="1:16" ht="18" customHeight="1" x14ac:dyDescent="0.35">
      <c r="A133" s="198"/>
      <c r="B133" s="198"/>
      <c r="C133" s="627" t="s">
        <v>140</v>
      </c>
      <c r="D133" s="655" t="s">
        <v>579</v>
      </c>
      <c r="E133" s="639">
        <v>3500</v>
      </c>
      <c r="F133" s="629"/>
      <c r="G133" s="208" t="s">
        <v>589</v>
      </c>
      <c r="H133" s="198"/>
      <c r="I133" s="283"/>
      <c r="J133" s="283"/>
      <c r="K133" s="283"/>
      <c r="L133" s="283"/>
      <c r="M133" s="283"/>
      <c r="N133" s="283"/>
      <c r="O133" s="283"/>
      <c r="P133" s="283"/>
    </row>
    <row r="134" spans="1:16" ht="18" customHeight="1" x14ac:dyDescent="0.35">
      <c r="A134" s="198"/>
      <c r="B134" s="198"/>
      <c r="C134" s="627" t="s">
        <v>142</v>
      </c>
      <c r="D134" s="655" t="s">
        <v>579</v>
      </c>
      <c r="E134" s="639">
        <v>3500</v>
      </c>
      <c r="F134" s="629"/>
      <c r="G134" s="208" t="s">
        <v>590</v>
      </c>
      <c r="H134" s="198"/>
      <c r="I134" s="283"/>
      <c r="J134" s="283"/>
      <c r="K134" s="283"/>
      <c r="L134" s="283"/>
      <c r="M134" s="283"/>
      <c r="N134" s="283"/>
      <c r="O134" s="283"/>
      <c r="P134" s="283"/>
    </row>
    <row r="135" spans="1:16" ht="18" customHeight="1" x14ac:dyDescent="0.35">
      <c r="A135" s="198"/>
      <c r="B135" s="198"/>
      <c r="C135" s="627" t="s">
        <v>102</v>
      </c>
      <c r="D135" s="655" t="s">
        <v>579</v>
      </c>
      <c r="E135" s="639">
        <v>2000</v>
      </c>
      <c r="F135" s="629"/>
      <c r="G135" s="208" t="s">
        <v>591</v>
      </c>
      <c r="H135" s="198"/>
      <c r="I135" s="283"/>
      <c r="J135" s="283"/>
      <c r="K135" s="283"/>
      <c r="L135" s="283"/>
      <c r="M135" s="283"/>
      <c r="N135" s="283"/>
      <c r="O135" s="283"/>
      <c r="P135" s="283"/>
    </row>
    <row r="136" spans="1:16" ht="18" customHeight="1" x14ac:dyDescent="0.35">
      <c r="A136" s="198"/>
      <c r="B136" s="198"/>
      <c r="C136" s="627" t="s">
        <v>144</v>
      </c>
      <c r="D136" s="655" t="s">
        <v>579</v>
      </c>
      <c r="E136" s="639">
        <v>2000</v>
      </c>
      <c r="F136" s="629"/>
      <c r="G136" s="208" t="s">
        <v>592</v>
      </c>
      <c r="H136" s="198"/>
      <c r="I136" s="283"/>
      <c r="J136" s="283"/>
      <c r="K136" s="283"/>
      <c r="L136" s="283"/>
      <c r="M136" s="283"/>
      <c r="N136" s="283"/>
      <c r="O136" s="283"/>
      <c r="P136" s="283"/>
    </row>
    <row r="137" spans="1:16" ht="18" customHeight="1" x14ac:dyDescent="0.35">
      <c r="A137" s="198"/>
      <c r="B137" s="198"/>
      <c r="C137" s="627" t="s">
        <v>593</v>
      </c>
      <c r="D137" s="655" t="s">
        <v>579</v>
      </c>
      <c r="E137" s="639">
        <v>4000</v>
      </c>
      <c r="F137" s="629"/>
      <c r="G137" s="208" t="s">
        <v>594</v>
      </c>
      <c r="H137" s="198"/>
      <c r="I137" s="283"/>
      <c r="J137" s="283"/>
      <c r="K137" s="283"/>
      <c r="L137" s="283"/>
      <c r="M137" s="283"/>
      <c r="N137" s="283"/>
      <c r="O137" s="283"/>
      <c r="P137" s="283"/>
    </row>
    <row r="138" spans="1:16" ht="18" customHeight="1" x14ac:dyDescent="0.35">
      <c r="A138" s="198"/>
      <c r="B138" s="198"/>
      <c r="C138" s="627"/>
      <c r="D138" s="627"/>
      <c r="E138" s="200"/>
      <c r="F138" s="629"/>
      <c r="G138" s="208"/>
      <c r="H138" s="198"/>
      <c r="I138" s="283"/>
      <c r="J138" s="283"/>
      <c r="K138" s="283"/>
      <c r="L138" s="283"/>
      <c r="M138" s="283"/>
      <c r="N138" s="283"/>
      <c r="O138" s="283"/>
      <c r="P138" s="283"/>
    </row>
    <row r="139" spans="1:16" ht="18" customHeight="1" x14ac:dyDescent="0.35">
      <c r="A139" s="198"/>
      <c r="B139" s="198"/>
      <c r="C139" s="627" t="s">
        <v>595</v>
      </c>
      <c r="D139" s="655" t="s">
        <v>150</v>
      </c>
      <c r="E139" s="634">
        <v>180</v>
      </c>
      <c r="F139" s="629"/>
      <c r="G139" s="208" t="s">
        <v>596</v>
      </c>
      <c r="H139" s="198"/>
      <c r="I139" s="283"/>
      <c r="J139" s="283"/>
      <c r="K139" s="283"/>
      <c r="L139" s="283"/>
      <c r="M139" s="283"/>
      <c r="N139" s="283"/>
      <c r="O139" s="283"/>
      <c r="P139" s="283"/>
    </row>
    <row r="140" spans="1:16" ht="18" customHeight="1" x14ac:dyDescent="0.35">
      <c r="A140" s="198"/>
      <c r="B140" s="198"/>
      <c r="C140" s="627" t="s">
        <v>597</v>
      </c>
      <c r="D140" s="655" t="s">
        <v>150</v>
      </c>
      <c r="E140" s="634">
        <v>180</v>
      </c>
      <c r="F140" s="629"/>
      <c r="G140" s="208" t="s">
        <v>598</v>
      </c>
      <c r="H140" s="198"/>
      <c r="I140" s="283"/>
      <c r="J140" s="283"/>
      <c r="K140" s="283"/>
      <c r="L140" s="283"/>
      <c r="M140" s="283"/>
      <c r="N140" s="283"/>
      <c r="O140" s="283"/>
      <c r="P140" s="283"/>
    </row>
    <row r="141" spans="1:16" ht="18" customHeight="1" x14ac:dyDescent="0.35">
      <c r="A141" s="198"/>
      <c r="B141" s="198"/>
      <c r="C141" s="626"/>
      <c r="D141" s="627"/>
      <c r="E141" s="200"/>
      <c r="F141" s="629"/>
      <c r="G141" s="208"/>
      <c r="H141" s="198"/>
      <c r="I141" s="283"/>
      <c r="J141" s="283"/>
      <c r="K141" s="283"/>
      <c r="L141" s="283"/>
      <c r="M141" s="283"/>
      <c r="N141" s="283"/>
      <c r="O141" s="283"/>
      <c r="P141" s="283"/>
    </row>
    <row r="142" spans="1:16" ht="18" customHeight="1" x14ac:dyDescent="0.35">
      <c r="A142" s="198"/>
      <c r="B142" s="731" t="s">
        <v>599</v>
      </c>
      <c r="C142" s="704"/>
      <c r="D142" s="704"/>
      <c r="E142" s="704"/>
      <c r="F142" s="704"/>
      <c r="G142" s="704"/>
      <c r="H142" s="198"/>
      <c r="I142" s="283"/>
      <c r="J142" s="283"/>
      <c r="K142" s="283"/>
      <c r="L142" s="283"/>
      <c r="M142" s="283"/>
      <c r="N142" s="283"/>
      <c r="O142" s="283"/>
      <c r="P142" s="283"/>
    </row>
    <row r="143" spans="1:16" ht="18" customHeight="1" x14ac:dyDescent="0.35">
      <c r="A143" s="198"/>
      <c r="B143" s="198"/>
      <c r="C143" s="626"/>
      <c r="D143" s="627"/>
      <c r="E143" s="200"/>
      <c r="F143" s="629"/>
      <c r="G143" s="208"/>
      <c r="H143" s="198"/>
      <c r="I143" s="283"/>
      <c r="J143" s="283"/>
      <c r="K143" s="283"/>
      <c r="L143" s="283"/>
      <c r="M143" s="283"/>
      <c r="N143" s="283"/>
      <c r="O143" s="283"/>
      <c r="P143" s="283"/>
    </row>
    <row r="144" spans="1:16" ht="18" customHeight="1" x14ac:dyDescent="0.35">
      <c r="A144" s="198"/>
      <c r="B144" s="198"/>
      <c r="C144" s="642" t="s">
        <v>600</v>
      </c>
      <c r="D144" s="643"/>
      <c r="E144" s="210"/>
      <c r="F144" s="644"/>
      <c r="G144" s="645"/>
      <c r="H144" s="198"/>
      <c r="I144" s="283"/>
      <c r="J144" s="283"/>
      <c r="K144" s="283"/>
      <c r="L144" s="283"/>
      <c r="M144" s="283"/>
      <c r="N144" s="283"/>
      <c r="O144" s="283"/>
      <c r="P144" s="283"/>
    </row>
    <row r="145" spans="1:16" ht="18" customHeight="1" x14ac:dyDescent="0.35">
      <c r="A145" s="198"/>
      <c r="B145" s="198"/>
      <c r="C145" s="626" t="s">
        <v>601</v>
      </c>
      <c r="D145" s="627" t="s">
        <v>158</v>
      </c>
      <c r="E145" s="647">
        <v>0.13</v>
      </c>
      <c r="F145" s="629"/>
      <c r="G145" s="208" t="s">
        <v>602</v>
      </c>
      <c r="H145" s="198"/>
      <c r="I145" s="283"/>
      <c r="J145" s="283"/>
      <c r="K145" s="283"/>
      <c r="L145" s="283"/>
      <c r="M145" s="283"/>
      <c r="N145" s="283"/>
      <c r="O145" s="283"/>
      <c r="P145" s="283"/>
    </row>
    <row r="146" spans="1:16" ht="18" customHeight="1" x14ac:dyDescent="0.35">
      <c r="A146" s="198"/>
      <c r="B146" s="198"/>
      <c r="C146" s="626" t="s">
        <v>603</v>
      </c>
      <c r="D146" s="627" t="s">
        <v>158</v>
      </c>
      <c r="E146" s="647">
        <v>0.2</v>
      </c>
      <c r="F146" s="629"/>
      <c r="G146" s="208" t="s">
        <v>604</v>
      </c>
      <c r="H146" s="198"/>
      <c r="I146" s="283"/>
      <c r="J146" s="283"/>
      <c r="K146" s="283"/>
      <c r="L146" s="283"/>
      <c r="M146" s="283"/>
      <c r="N146" s="283"/>
      <c r="O146" s="283"/>
      <c r="P146" s="283"/>
    </row>
    <row r="147" spans="1:16" ht="18" customHeight="1" x14ac:dyDescent="0.35">
      <c r="A147" s="198"/>
      <c r="B147" s="198"/>
      <c r="C147" s="626" t="s">
        <v>605</v>
      </c>
      <c r="D147" s="627" t="s">
        <v>173</v>
      </c>
      <c r="E147" s="639">
        <f>'Revenue Assumptions'!F22</f>
        <v>100</v>
      </c>
      <c r="F147" s="629"/>
      <c r="G147" s="208" t="s">
        <v>606</v>
      </c>
      <c r="H147" s="198"/>
      <c r="I147" s="283"/>
      <c r="J147" s="283"/>
      <c r="K147" s="283"/>
      <c r="L147" s="283"/>
      <c r="M147" s="283"/>
      <c r="N147" s="283"/>
      <c r="O147" s="283"/>
      <c r="P147" s="283"/>
    </row>
    <row r="148" spans="1:16" ht="18" customHeight="1" x14ac:dyDescent="0.35">
      <c r="A148" s="198"/>
      <c r="B148" s="198"/>
      <c r="C148" s="626" t="s">
        <v>607</v>
      </c>
      <c r="D148" s="627" t="s">
        <v>173</v>
      </c>
      <c r="E148" s="639">
        <f>'Revenue Assumptions'!F23</f>
        <v>100</v>
      </c>
      <c r="F148" s="629"/>
      <c r="G148" s="208"/>
      <c r="H148" s="198"/>
      <c r="I148" s="283"/>
      <c r="J148" s="283"/>
      <c r="K148" s="283"/>
      <c r="L148" s="283"/>
      <c r="M148" s="283"/>
      <c r="N148" s="283"/>
      <c r="O148" s="283"/>
      <c r="P148" s="283"/>
    </row>
    <row r="149" spans="1:16" ht="18" customHeight="1" x14ac:dyDescent="0.35">
      <c r="A149" s="198"/>
      <c r="B149" s="198"/>
      <c r="C149" s="626" t="s">
        <v>608</v>
      </c>
      <c r="D149" s="627" t="s">
        <v>173</v>
      </c>
      <c r="E149" s="639">
        <f>'Revenue Assumptions'!F24</f>
        <v>85</v>
      </c>
      <c r="F149" s="629"/>
      <c r="G149" s="208"/>
      <c r="H149" s="198"/>
      <c r="I149" s="283"/>
      <c r="J149" s="283"/>
      <c r="K149" s="283"/>
      <c r="L149" s="283"/>
      <c r="M149" s="283"/>
      <c r="N149" s="283"/>
      <c r="O149" s="283"/>
      <c r="P149" s="283"/>
    </row>
    <row r="150" spans="1:16" ht="18" customHeight="1" x14ac:dyDescent="0.35">
      <c r="A150" s="198"/>
      <c r="B150" s="198"/>
      <c r="C150" s="626" t="s">
        <v>609</v>
      </c>
      <c r="D150" s="627" t="s">
        <v>173</v>
      </c>
      <c r="E150" s="639">
        <f>'Revenue Assumptions'!F25</f>
        <v>120</v>
      </c>
      <c r="F150" s="629"/>
      <c r="G150" s="208"/>
      <c r="H150" s="198"/>
      <c r="I150" s="283"/>
      <c r="J150" s="283"/>
      <c r="K150" s="283"/>
      <c r="L150" s="283"/>
      <c r="M150" s="283"/>
      <c r="N150" s="283"/>
      <c r="O150" s="283"/>
      <c r="P150" s="283"/>
    </row>
    <row r="151" spans="1:16" ht="18" customHeight="1" x14ac:dyDescent="0.35">
      <c r="A151" s="198"/>
      <c r="B151" s="198"/>
      <c r="C151" s="626" t="s">
        <v>610</v>
      </c>
      <c r="D151" s="627" t="s">
        <v>173</v>
      </c>
      <c r="E151" s="639">
        <f>'Revenue Assumptions'!F26</f>
        <v>100</v>
      </c>
      <c r="F151" s="629"/>
      <c r="G151" s="208" t="s">
        <v>611</v>
      </c>
      <c r="H151" s="198"/>
      <c r="I151" s="283"/>
      <c r="J151" s="283"/>
      <c r="K151" s="283"/>
      <c r="L151" s="283"/>
      <c r="M151" s="283"/>
      <c r="N151" s="283"/>
      <c r="O151" s="283"/>
      <c r="P151" s="283"/>
    </row>
    <row r="152" spans="1:16" ht="18" customHeight="1" x14ac:dyDescent="0.35">
      <c r="A152" s="198"/>
      <c r="B152" s="198"/>
      <c r="C152" s="626" t="s">
        <v>612</v>
      </c>
      <c r="D152" s="627" t="s">
        <v>456</v>
      </c>
      <c r="E152" s="647">
        <v>0.03</v>
      </c>
      <c r="F152" s="629"/>
      <c r="G152" s="208" t="s">
        <v>613</v>
      </c>
      <c r="H152" s="198"/>
      <c r="I152" s="283"/>
      <c r="J152" s="283"/>
      <c r="K152" s="283"/>
      <c r="L152" s="283"/>
      <c r="M152" s="283"/>
      <c r="N152" s="283"/>
      <c r="O152" s="283"/>
      <c r="P152" s="283"/>
    </row>
    <row r="153" spans="1:16" ht="18" customHeight="1" x14ac:dyDescent="0.35">
      <c r="A153" s="198"/>
      <c r="B153" s="198"/>
      <c r="C153" s="626" t="s">
        <v>614</v>
      </c>
      <c r="D153" s="627" t="s">
        <v>173</v>
      </c>
      <c r="E153" s="656">
        <v>40000</v>
      </c>
      <c r="F153" s="629"/>
      <c r="G153" s="208" t="s">
        <v>615</v>
      </c>
      <c r="H153" s="198"/>
      <c r="I153" s="283"/>
      <c r="J153" s="283"/>
      <c r="K153" s="283"/>
      <c r="L153" s="283"/>
      <c r="M153" s="283"/>
      <c r="N153" s="283"/>
      <c r="O153" s="283"/>
      <c r="P153" s="283"/>
    </row>
    <row r="154" spans="1:16" ht="18" customHeight="1" x14ac:dyDescent="0.35">
      <c r="A154" s="198"/>
      <c r="B154" s="198"/>
      <c r="C154" s="626" t="s">
        <v>616</v>
      </c>
      <c r="D154" s="627" t="s">
        <v>173</v>
      </c>
      <c r="E154" s="656">
        <v>40000</v>
      </c>
      <c r="F154" s="629"/>
      <c r="G154" s="208" t="s">
        <v>617</v>
      </c>
      <c r="H154" s="198"/>
      <c r="I154" s="283"/>
      <c r="J154" s="283"/>
      <c r="K154" s="283"/>
      <c r="L154" s="283"/>
      <c r="M154" s="283"/>
      <c r="N154" s="283"/>
      <c r="O154" s="283"/>
      <c r="P154" s="283"/>
    </row>
    <row r="155" spans="1:16" ht="18" customHeight="1" x14ac:dyDescent="0.35">
      <c r="A155" s="198"/>
      <c r="B155" s="198"/>
      <c r="C155" s="626" t="s">
        <v>618</v>
      </c>
      <c r="D155" s="627" t="s">
        <v>173</v>
      </c>
      <c r="E155" s="639">
        <v>10000</v>
      </c>
      <c r="F155" s="629"/>
      <c r="G155" s="208"/>
      <c r="H155" s="198"/>
      <c r="I155" s="283"/>
      <c r="J155" s="283"/>
      <c r="K155" s="283"/>
      <c r="L155" s="283"/>
      <c r="M155" s="283"/>
      <c r="N155" s="283"/>
      <c r="O155" s="283"/>
      <c r="P155" s="283"/>
    </row>
    <row r="156" spans="1:16" ht="18" customHeight="1" x14ac:dyDescent="0.35">
      <c r="A156" s="198"/>
      <c r="B156" s="198"/>
      <c r="C156" s="626" t="s">
        <v>619</v>
      </c>
      <c r="D156" s="627" t="s">
        <v>173</v>
      </c>
      <c r="E156" s="639">
        <v>20000</v>
      </c>
      <c r="F156" s="629"/>
      <c r="G156" s="208"/>
      <c r="H156" s="198"/>
      <c r="I156" s="283"/>
      <c r="J156" s="283"/>
      <c r="K156" s="283"/>
      <c r="L156" s="283"/>
      <c r="M156" s="283"/>
      <c r="N156" s="283"/>
      <c r="O156" s="283"/>
      <c r="P156" s="283"/>
    </row>
    <row r="157" spans="1:16" ht="18" customHeight="1" x14ac:dyDescent="0.35">
      <c r="A157" s="198"/>
      <c r="B157" s="198"/>
      <c r="C157" s="626" t="s">
        <v>620</v>
      </c>
      <c r="D157" s="627" t="s">
        <v>173</v>
      </c>
      <c r="E157" s="639">
        <v>10000</v>
      </c>
      <c r="F157" s="629"/>
      <c r="G157" s="208"/>
      <c r="H157" s="198"/>
      <c r="I157" s="283"/>
      <c r="J157" s="283"/>
      <c r="K157" s="283"/>
      <c r="L157" s="283"/>
      <c r="M157" s="283"/>
      <c r="N157" s="283"/>
      <c r="O157" s="283"/>
      <c r="P157" s="283"/>
    </row>
    <row r="158" spans="1:16" ht="18" customHeight="1" x14ac:dyDescent="0.35">
      <c r="A158" s="198"/>
      <c r="B158" s="198"/>
      <c r="C158" s="626"/>
      <c r="D158" s="627"/>
      <c r="E158" s="200"/>
      <c r="F158" s="629"/>
      <c r="G158" s="208"/>
      <c r="H158" s="198"/>
      <c r="I158" s="283"/>
      <c r="J158" s="283"/>
      <c r="K158" s="283"/>
      <c r="L158" s="283"/>
      <c r="M158" s="283"/>
      <c r="N158" s="283"/>
      <c r="O158" s="283"/>
      <c r="P158" s="283"/>
    </row>
    <row r="159" spans="1:16" ht="18" customHeight="1" x14ac:dyDescent="0.35">
      <c r="A159" s="198"/>
      <c r="B159" s="198"/>
      <c r="C159" s="642" t="s">
        <v>621</v>
      </c>
      <c r="D159" s="643"/>
      <c r="E159" s="210"/>
      <c r="F159" s="644"/>
      <c r="G159" s="645"/>
      <c r="H159" s="198"/>
      <c r="I159" s="283"/>
      <c r="J159" s="283"/>
      <c r="K159" s="283"/>
      <c r="L159" s="283"/>
      <c r="M159" s="283"/>
      <c r="N159" s="283"/>
      <c r="O159" s="283"/>
      <c r="P159" s="283"/>
    </row>
    <row r="160" spans="1:16" ht="18" customHeight="1" x14ac:dyDescent="0.35">
      <c r="A160" s="198"/>
      <c r="B160" s="198"/>
      <c r="C160" s="626" t="s">
        <v>622</v>
      </c>
      <c r="D160" s="627" t="s">
        <v>173</v>
      </c>
      <c r="E160" s="634">
        <v>12</v>
      </c>
      <c r="F160" s="629"/>
      <c r="G160" s="208" t="s">
        <v>623</v>
      </c>
      <c r="H160" s="198"/>
      <c r="I160" s="283"/>
      <c r="J160" s="283"/>
      <c r="K160" s="283"/>
      <c r="L160" s="283"/>
      <c r="M160" s="283"/>
      <c r="N160" s="283"/>
      <c r="O160" s="283"/>
      <c r="P160" s="283"/>
    </row>
    <row r="161" spans="1:16" ht="18" customHeight="1" x14ac:dyDescent="0.35">
      <c r="A161" s="198"/>
      <c r="B161" s="198"/>
      <c r="C161" s="626" t="s">
        <v>624</v>
      </c>
      <c r="D161" s="627" t="s">
        <v>173</v>
      </c>
      <c r="E161" s="634">
        <v>15</v>
      </c>
      <c r="F161" s="629"/>
      <c r="G161" s="208" t="s">
        <v>625</v>
      </c>
      <c r="H161" s="198"/>
      <c r="I161" s="283"/>
      <c r="J161" s="283"/>
      <c r="K161" s="283"/>
      <c r="L161" s="283"/>
      <c r="M161" s="283"/>
      <c r="N161" s="283"/>
      <c r="O161" s="283"/>
      <c r="P161" s="283"/>
    </row>
    <row r="162" spans="1:16" ht="18" customHeight="1" x14ac:dyDescent="0.35">
      <c r="A162" s="198"/>
      <c r="B162" s="198"/>
      <c r="C162" s="626" t="s">
        <v>626</v>
      </c>
      <c r="D162" s="627" t="s">
        <v>173</v>
      </c>
      <c r="E162" s="634">
        <v>7</v>
      </c>
      <c r="F162" s="629"/>
      <c r="G162" s="208" t="s">
        <v>627</v>
      </c>
      <c r="H162" s="198"/>
      <c r="I162" s="283"/>
      <c r="J162" s="283"/>
      <c r="K162" s="283"/>
      <c r="L162" s="283"/>
      <c r="M162" s="283"/>
      <c r="N162" s="283"/>
      <c r="O162" s="283"/>
      <c r="P162" s="283"/>
    </row>
    <row r="163" spans="1:16" ht="18" customHeight="1" x14ac:dyDescent="0.35">
      <c r="A163" s="198"/>
      <c r="B163" s="198"/>
      <c r="C163" s="626" t="s">
        <v>628</v>
      </c>
      <c r="D163" s="627" t="s">
        <v>173</v>
      </c>
      <c r="E163" s="634">
        <v>40</v>
      </c>
      <c r="F163" s="629"/>
      <c r="G163" s="208" t="s">
        <v>629</v>
      </c>
      <c r="H163" s="198"/>
      <c r="I163" s="283"/>
      <c r="J163" s="283"/>
      <c r="K163" s="283"/>
      <c r="L163" s="283"/>
      <c r="M163" s="283"/>
      <c r="N163" s="283"/>
      <c r="O163" s="283"/>
      <c r="P163" s="283"/>
    </row>
    <row r="164" spans="1:16" ht="18" customHeight="1" x14ac:dyDescent="0.35">
      <c r="A164" s="198"/>
      <c r="B164" s="198"/>
      <c r="C164" s="626" t="s">
        <v>630</v>
      </c>
      <c r="D164" s="627" t="s">
        <v>173</v>
      </c>
      <c r="E164" s="634">
        <v>5</v>
      </c>
      <c r="F164" s="629"/>
      <c r="G164" s="208" t="s">
        <v>631</v>
      </c>
      <c r="H164" s="198"/>
      <c r="I164" s="283"/>
      <c r="J164" s="283"/>
      <c r="K164" s="283"/>
      <c r="L164" s="283"/>
      <c r="M164" s="283"/>
      <c r="N164" s="283"/>
      <c r="O164" s="283"/>
      <c r="P164" s="283"/>
    </row>
    <row r="165" spans="1:16" ht="18" customHeight="1" x14ac:dyDescent="0.35">
      <c r="A165" s="198"/>
      <c r="B165" s="198"/>
      <c r="C165" s="626" t="s">
        <v>632</v>
      </c>
      <c r="D165" s="627" t="s">
        <v>456</v>
      </c>
      <c r="E165" s="634">
        <v>0.03</v>
      </c>
      <c r="F165" s="629"/>
      <c r="G165" s="208" t="s">
        <v>613</v>
      </c>
      <c r="H165" s="198"/>
      <c r="I165" s="283"/>
      <c r="J165" s="283"/>
      <c r="K165" s="283"/>
      <c r="L165" s="283"/>
      <c r="M165" s="283"/>
      <c r="N165" s="283"/>
      <c r="O165" s="283"/>
      <c r="P165" s="283"/>
    </row>
    <row r="166" spans="1:16" ht="18" customHeight="1" x14ac:dyDescent="0.35">
      <c r="A166" s="198"/>
      <c r="B166" s="198"/>
      <c r="C166" s="626" t="s">
        <v>633</v>
      </c>
      <c r="D166" s="627" t="s">
        <v>634</v>
      </c>
      <c r="E166" s="634">
        <v>50</v>
      </c>
      <c r="F166" s="629"/>
      <c r="G166" s="208" t="s">
        <v>635</v>
      </c>
      <c r="H166" s="198"/>
      <c r="I166" s="283"/>
      <c r="J166" s="283"/>
      <c r="K166" s="283"/>
      <c r="L166" s="283"/>
      <c r="M166" s="283"/>
      <c r="N166" s="283"/>
      <c r="O166" s="283"/>
      <c r="P166" s="283"/>
    </row>
    <row r="167" spans="1:16" ht="18" customHeight="1" x14ac:dyDescent="0.35">
      <c r="A167" s="198"/>
      <c r="B167" s="198"/>
      <c r="C167" s="626" t="s">
        <v>636</v>
      </c>
      <c r="D167" s="627" t="s">
        <v>208</v>
      </c>
      <c r="E167" s="634">
        <v>1.5</v>
      </c>
      <c r="F167" s="629"/>
      <c r="G167" s="208" t="s">
        <v>637</v>
      </c>
      <c r="H167" s="198"/>
      <c r="I167" s="283"/>
      <c r="J167" s="283"/>
      <c r="K167" s="283"/>
      <c r="L167" s="283"/>
      <c r="M167" s="283"/>
      <c r="N167" s="283"/>
      <c r="O167" s="283"/>
      <c r="P167" s="283"/>
    </row>
    <row r="168" spans="1:16" ht="18" customHeight="1" x14ac:dyDescent="0.35">
      <c r="A168" s="198"/>
      <c r="B168" s="198"/>
      <c r="C168" s="626"/>
      <c r="D168" s="627"/>
      <c r="E168" s="200"/>
      <c r="F168" s="629"/>
      <c r="G168" s="208"/>
      <c r="H168" s="198"/>
      <c r="I168" s="283"/>
      <c r="J168" s="283"/>
      <c r="K168" s="283"/>
      <c r="L168" s="283"/>
      <c r="M168" s="283"/>
      <c r="N168" s="283"/>
      <c r="O168" s="283"/>
      <c r="P168" s="283"/>
    </row>
    <row r="169" spans="1:16" ht="18" customHeight="1" x14ac:dyDescent="0.35">
      <c r="A169" s="198"/>
      <c r="B169" s="198"/>
      <c r="C169" s="642" t="s">
        <v>638</v>
      </c>
      <c r="D169" s="643"/>
      <c r="E169" s="210"/>
      <c r="F169" s="644"/>
      <c r="G169" s="645"/>
      <c r="H169" s="198"/>
      <c r="I169" s="283"/>
      <c r="J169" s="283"/>
      <c r="K169" s="283"/>
      <c r="L169" s="283"/>
      <c r="M169" s="283"/>
      <c r="N169" s="283"/>
      <c r="O169" s="283"/>
      <c r="P169" s="283"/>
    </row>
    <row r="170" spans="1:16" ht="18" customHeight="1" x14ac:dyDescent="0.35">
      <c r="A170" s="198"/>
      <c r="B170" s="198"/>
      <c r="C170" s="626" t="s">
        <v>639</v>
      </c>
      <c r="D170" s="627" t="s">
        <v>173</v>
      </c>
      <c r="E170" s="639">
        <v>600000</v>
      </c>
      <c r="F170" s="629"/>
      <c r="G170" s="208" t="s">
        <v>640</v>
      </c>
      <c r="H170" s="198"/>
      <c r="I170" s="283"/>
      <c r="J170" s="283"/>
      <c r="K170" s="283"/>
      <c r="L170" s="283"/>
      <c r="M170" s="283"/>
      <c r="N170" s="283"/>
      <c r="O170" s="283"/>
      <c r="P170" s="283"/>
    </row>
    <row r="171" spans="1:16" ht="18" customHeight="1" x14ac:dyDescent="0.35">
      <c r="A171" s="198"/>
      <c r="B171" s="198"/>
      <c r="C171" s="626" t="s">
        <v>641</v>
      </c>
      <c r="D171" s="627" t="s">
        <v>173</v>
      </c>
      <c r="E171" s="639">
        <v>150000</v>
      </c>
      <c r="F171" s="629"/>
      <c r="G171" s="208"/>
      <c r="H171" s="198"/>
      <c r="I171" s="283"/>
      <c r="J171" s="283"/>
      <c r="K171" s="283"/>
      <c r="L171" s="283"/>
      <c r="M171" s="283"/>
      <c r="N171" s="283"/>
      <c r="O171" s="283"/>
      <c r="P171" s="283"/>
    </row>
    <row r="172" spans="1:16" x14ac:dyDescent="0.35">
      <c r="A172" s="198"/>
      <c r="B172" s="198"/>
      <c r="C172" s="626" t="s">
        <v>642</v>
      </c>
      <c r="D172" s="627" t="s">
        <v>173</v>
      </c>
      <c r="E172" s="639">
        <v>150000</v>
      </c>
      <c r="F172" s="629"/>
      <c r="G172" s="208"/>
      <c r="H172" s="198"/>
      <c r="I172" s="283"/>
      <c r="J172" s="283"/>
      <c r="K172" s="283"/>
      <c r="L172" s="283"/>
      <c r="M172" s="304"/>
      <c r="N172" s="304"/>
      <c r="O172" s="304"/>
      <c r="P172" s="283"/>
    </row>
    <row r="173" spans="1:16" x14ac:dyDescent="0.35">
      <c r="A173" s="198"/>
      <c r="B173" s="198"/>
      <c r="C173" s="626" t="s">
        <v>643</v>
      </c>
      <c r="D173" s="627" t="s">
        <v>173</v>
      </c>
      <c r="E173" s="639">
        <v>100000</v>
      </c>
      <c r="F173" s="629"/>
      <c r="G173" s="208" t="s">
        <v>644</v>
      </c>
      <c r="H173" s="198"/>
      <c r="I173" s="283"/>
      <c r="J173" s="283"/>
      <c r="K173" s="283"/>
      <c r="L173" s="283"/>
      <c r="M173" s="304"/>
      <c r="N173" s="304"/>
      <c r="O173" s="304"/>
      <c r="P173" s="283"/>
    </row>
    <row r="174" spans="1:16" x14ac:dyDescent="0.35">
      <c r="A174" s="198"/>
      <c r="B174" s="198"/>
      <c r="C174" s="626" t="s">
        <v>645</v>
      </c>
      <c r="D174" s="627" t="s">
        <v>173</v>
      </c>
      <c r="E174" s="639">
        <v>50000</v>
      </c>
      <c r="F174" s="629"/>
      <c r="G174" s="208" t="s">
        <v>646</v>
      </c>
      <c r="H174" s="198"/>
      <c r="I174" s="283"/>
      <c r="J174" s="283"/>
      <c r="K174" s="283"/>
      <c r="L174" s="283"/>
      <c r="M174" s="304"/>
      <c r="N174" s="304"/>
      <c r="O174" s="304"/>
      <c r="P174" s="283"/>
    </row>
    <row r="175" spans="1:16" x14ac:dyDescent="0.35">
      <c r="A175" s="198"/>
      <c r="B175" s="198"/>
      <c r="C175" s="626" t="s">
        <v>647</v>
      </c>
      <c r="D175" s="627" t="s">
        <v>173</v>
      </c>
      <c r="E175" s="639">
        <v>350000</v>
      </c>
      <c r="F175" s="629"/>
      <c r="G175" s="208" t="s">
        <v>648</v>
      </c>
      <c r="H175" s="198"/>
      <c r="I175" s="283"/>
      <c r="J175" s="283"/>
      <c r="K175" s="283"/>
      <c r="L175" s="283"/>
      <c r="M175" s="304"/>
      <c r="N175" s="304"/>
      <c r="O175" s="304"/>
      <c r="P175" s="283"/>
    </row>
    <row r="176" spans="1:16" x14ac:dyDescent="0.35">
      <c r="A176" s="198"/>
      <c r="B176" s="198"/>
      <c r="C176" s="626" t="s">
        <v>649</v>
      </c>
      <c r="D176" s="627" t="s">
        <v>173</v>
      </c>
      <c r="E176" s="639">
        <v>250000</v>
      </c>
      <c r="F176" s="629"/>
      <c r="G176" s="208" t="s">
        <v>650</v>
      </c>
      <c r="H176" s="198"/>
      <c r="I176" s="283"/>
      <c r="J176" s="283"/>
      <c r="K176" s="283"/>
      <c r="L176" s="283"/>
      <c r="M176" s="304"/>
      <c r="N176" s="304"/>
      <c r="O176" s="304"/>
      <c r="P176" s="283"/>
    </row>
    <row r="177" spans="1:16" x14ac:dyDescent="0.35">
      <c r="A177" s="198"/>
      <c r="B177" s="198"/>
      <c r="C177" s="626" t="s">
        <v>651</v>
      </c>
      <c r="D177" s="627" t="s">
        <v>173</v>
      </c>
      <c r="E177" s="639">
        <v>200000</v>
      </c>
      <c r="F177" s="629"/>
      <c r="G177" s="208" t="s">
        <v>652</v>
      </c>
      <c r="H177" s="198"/>
      <c r="I177" s="283"/>
      <c r="J177" s="283"/>
      <c r="K177" s="283"/>
      <c r="L177" s="283"/>
      <c r="M177" s="304"/>
      <c r="N177" s="304"/>
      <c r="O177" s="304"/>
      <c r="P177" s="283"/>
    </row>
    <row r="178" spans="1:16" x14ac:dyDescent="0.35">
      <c r="A178" s="198"/>
      <c r="B178" s="198"/>
      <c r="C178" s="626" t="s">
        <v>653</v>
      </c>
      <c r="D178" s="627" t="s">
        <v>173</v>
      </c>
      <c r="E178" s="639">
        <v>375000</v>
      </c>
      <c r="F178" s="629"/>
      <c r="G178" s="208" t="s">
        <v>654</v>
      </c>
      <c r="H178" s="198"/>
      <c r="I178" s="283"/>
      <c r="J178" s="283"/>
      <c r="K178" s="283"/>
      <c r="L178" s="283"/>
      <c r="M178" s="304"/>
      <c r="N178" s="304"/>
      <c r="O178" s="304"/>
      <c r="P178" s="283"/>
    </row>
    <row r="179" spans="1:16" x14ac:dyDescent="0.35">
      <c r="A179" s="198"/>
      <c r="B179" s="198"/>
      <c r="C179" s="626" t="s">
        <v>655</v>
      </c>
      <c r="D179" s="627" t="s">
        <v>173</v>
      </c>
      <c r="E179" s="639">
        <v>200000</v>
      </c>
      <c r="F179" s="629"/>
      <c r="G179" s="208" t="s">
        <v>656</v>
      </c>
      <c r="H179" s="198"/>
      <c r="I179" s="283"/>
      <c r="J179" s="283"/>
      <c r="K179" s="283"/>
      <c r="L179" s="283"/>
      <c r="M179" s="304"/>
      <c r="N179" s="304"/>
      <c r="O179" s="304"/>
      <c r="P179" s="283"/>
    </row>
    <row r="180" spans="1:16" x14ac:dyDescent="0.35">
      <c r="A180" s="198"/>
      <c r="B180" s="198"/>
      <c r="C180" s="626"/>
      <c r="D180" s="627"/>
      <c r="E180" s="657">
        <f>E181</f>
        <v>2.5000000000000001E-2</v>
      </c>
      <c r="F180" s="629"/>
      <c r="G180" s="208" t="s">
        <v>657</v>
      </c>
      <c r="H180" s="198"/>
      <c r="I180" s="283"/>
      <c r="J180" s="283"/>
      <c r="K180" s="283"/>
      <c r="L180" s="283"/>
      <c r="M180" s="304"/>
      <c r="N180" s="304"/>
      <c r="O180" s="304"/>
      <c r="P180" s="283"/>
    </row>
    <row r="181" spans="1:16" x14ac:dyDescent="0.35">
      <c r="A181" s="198"/>
      <c r="B181" s="198"/>
      <c r="C181" s="626" t="s">
        <v>658</v>
      </c>
      <c r="D181" s="627" t="s">
        <v>456</v>
      </c>
      <c r="E181" s="647">
        <v>2.5000000000000001E-2</v>
      </c>
      <c r="F181" s="629"/>
      <c r="G181" s="208" t="s">
        <v>659</v>
      </c>
      <c r="H181" s="198"/>
      <c r="I181" s="283"/>
      <c r="J181" s="283"/>
      <c r="K181" s="283"/>
      <c r="L181" s="283"/>
      <c r="M181" s="304"/>
      <c r="N181" s="304"/>
      <c r="O181" s="304"/>
      <c r="P181" s="283"/>
    </row>
    <row r="182" spans="1:16" x14ac:dyDescent="0.35">
      <c r="A182" s="198"/>
      <c r="B182" s="198"/>
      <c r="C182" s="626" t="s">
        <v>660</v>
      </c>
      <c r="D182" s="627" t="s">
        <v>456</v>
      </c>
      <c r="E182" s="647">
        <v>0.1</v>
      </c>
      <c r="F182" s="629"/>
      <c r="G182" s="208" t="s">
        <v>661</v>
      </c>
      <c r="H182" s="198"/>
      <c r="I182" s="283"/>
      <c r="J182" s="283"/>
      <c r="K182" s="283"/>
      <c r="L182" s="283"/>
      <c r="M182" s="304"/>
      <c r="N182" s="304"/>
      <c r="O182" s="304"/>
      <c r="P182" s="283"/>
    </row>
    <row r="183" spans="1:16" x14ac:dyDescent="0.35">
      <c r="A183" s="198"/>
      <c r="B183" s="198"/>
      <c r="C183" s="626" t="s">
        <v>662</v>
      </c>
      <c r="D183" s="627" t="s">
        <v>158</v>
      </c>
      <c r="E183" s="647">
        <v>0.25</v>
      </c>
      <c r="F183" s="629"/>
      <c r="G183" s="208" t="s">
        <v>663</v>
      </c>
      <c r="H183" s="198"/>
      <c r="I183" s="283"/>
      <c r="J183" s="283"/>
      <c r="K183" s="283"/>
      <c r="L183" s="283"/>
      <c r="M183" s="304"/>
      <c r="N183" s="304"/>
      <c r="O183" s="304"/>
      <c r="P183" s="283"/>
    </row>
    <row r="184" spans="1:16" x14ac:dyDescent="0.35">
      <c r="A184" s="198"/>
      <c r="B184" s="198"/>
      <c r="C184" s="626" t="s">
        <v>664</v>
      </c>
      <c r="D184" s="627" t="s">
        <v>158</v>
      </c>
      <c r="E184" s="647">
        <v>0.15</v>
      </c>
      <c r="F184" s="629"/>
      <c r="G184" s="208" t="s">
        <v>665</v>
      </c>
      <c r="H184" s="198"/>
      <c r="I184" s="283"/>
      <c r="J184" s="283"/>
      <c r="K184" s="283"/>
      <c r="L184" s="283"/>
      <c r="M184" s="304"/>
      <c r="N184" s="304"/>
      <c r="O184" s="304"/>
      <c r="P184" s="283"/>
    </row>
    <row r="185" spans="1:16" x14ac:dyDescent="0.35">
      <c r="A185" s="198"/>
      <c r="B185" s="198"/>
      <c r="C185" s="626" t="s">
        <v>666</v>
      </c>
      <c r="D185" s="627" t="s">
        <v>158</v>
      </c>
      <c r="E185" s="647">
        <v>0.05</v>
      </c>
      <c r="F185" s="629"/>
      <c r="G185" s="208" t="s">
        <v>667</v>
      </c>
      <c r="H185" s="198"/>
      <c r="I185" s="283"/>
      <c r="J185" s="283"/>
      <c r="K185" s="283"/>
      <c r="L185" s="283"/>
      <c r="M185" s="304"/>
      <c r="N185" s="304"/>
      <c r="O185" s="304"/>
      <c r="P185" s="283"/>
    </row>
    <row r="186" spans="1:16" ht="24" customHeight="1" x14ac:dyDescent="0.35">
      <c r="A186" s="198"/>
      <c r="B186" s="198"/>
      <c r="C186" s="198"/>
      <c r="D186" s="199"/>
      <c r="E186" s="200"/>
      <c r="F186" s="201"/>
      <c r="G186" s="208"/>
      <c r="H186" s="198"/>
      <c r="I186" s="283"/>
      <c r="J186" s="283"/>
      <c r="K186" s="283"/>
      <c r="L186" s="283"/>
      <c r="M186" s="304"/>
      <c r="N186" s="304"/>
      <c r="O186" s="304"/>
      <c r="P186" s="283"/>
    </row>
    <row r="187" spans="1:16" ht="18" customHeight="1" x14ac:dyDescent="0.35">
      <c r="A187" s="198"/>
      <c r="B187" s="198"/>
      <c r="C187" s="198"/>
      <c r="D187" s="199"/>
      <c r="E187" s="200"/>
      <c r="F187" s="201"/>
      <c r="G187" s="208"/>
      <c r="H187" s="198"/>
      <c r="I187" s="283"/>
      <c r="J187" s="283"/>
      <c r="K187" s="283"/>
      <c r="L187" s="283"/>
      <c r="M187" s="304"/>
      <c r="N187" s="304"/>
      <c r="O187" s="304"/>
      <c r="P187" s="283"/>
    </row>
    <row r="188" spans="1:16" ht="18" customHeight="1" x14ac:dyDescent="0.35">
      <c r="A188" s="283"/>
      <c r="B188" s="198"/>
      <c r="C188" s="642" t="s">
        <v>668</v>
      </c>
      <c r="D188" s="643"/>
      <c r="E188" s="210"/>
      <c r="F188" s="644"/>
      <c r="G188" s="645"/>
      <c r="H188" s="283"/>
      <c r="I188" s="304"/>
      <c r="J188" s="304"/>
      <c r="K188" s="304"/>
      <c r="L188" s="304"/>
      <c r="M188" s="304"/>
      <c r="N188" s="304"/>
      <c r="O188" s="304"/>
      <c r="P188" s="283"/>
    </row>
    <row r="189" spans="1:16" ht="18" customHeight="1" x14ac:dyDescent="0.35">
      <c r="A189" s="283"/>
      <c r="B189" s="198"/>
      <c r="C189" s="283"/>
      <c r="D189" s="658"/>
      <c r="E189" s="659"/>
      <c r="F189" s="304"/>
      <c r="G189" s="208"/>
      <c r="H189" s="283"/>
      <c r="I189" s="304"/>
      <c r="J189" s="304"/>
      <c r="K189" s="304"/>
      <c r="L189" s="304"/>
      <c r="M189" s="304"/>
      <c r="N189" s="304"/>
      <c r="O189" s="304"/>
      <c r="P189" s="283"/>
    </row>
    <row r="190" spans="1:16" ht="18" customHeight="1" x14ac:dyDescent="0.35">
      <c r="A190" s="283"/>
      <c r="B190" s="198"/>
      <c r="C190" s="626" t="s">
        <v>669</v>
      </c>
      <c r="D190" s="627" t="s">
        <v>173</v>
      </c>
      <c r="E190" s="639">
        <v>10000</v>
      </c>
      <c r="F190" s="629"/>
      <c r="G190" s="208" t="s">
        <v>670</v>
      </c>
      <c r="H190" s="283"/>
      <c r="I190" s="304"/>
      <c r="J190" s="304"/>
      <c r="K190" s="304"/>
      <c r="L190" s="304"/>
      <c r="M190" s="304"/>
      <c r="N190" s="304"/>
      <c r="O190" s="304"/>
      <c r="P190" s="283"/>
    </row>
    <row r="191" spans="1:16" ht="18" customHeight="1" x14ac:dyDescent="0.35">
      <c r="A191" s="283"/>
      <c r="B191" s="198"/>
      <c r="C191" s="626" t="s">
        <v>671</v>
      </c>
      <c r="D191" s="627" t="s">
        <v>173</v>
      </c>
      <c r="E191" s="639">
        <v>10000</v>
      </c>
      <c r="F191" s="629"/>
      <c r="G191" s="208" t="s">
        <v>672</v>
      </c>
      <c r="H191" s="283"/>
      <c r="I191" s="304"/>
      <c r="J191" s="304"/>
      <c r="K191" s="304"/>
      <c r="L191" s="304"/>
      <c r="M191" s="304"/>
      <c r="N191" s="304"/>
      <c r="O191" s="304"/>
      <c r="P191" s="283"/>
    </row>
    <row r="192" spans="1:16" ht="18" customHeight="1" x14ac:dyDescent="0.35">
      <c r="A192" s="283"/>
      <c r="B192" s="198"/>
      <c r="C192" s="626" t="s">
        <v>673</v>
      </c>
      <c r="D192" s="627" t="s">
        <v>173</v>
      </c>
      <c r="E192" s="639">
        <v>3</v>
      </c>
      <c r="F192" s="629"/>
      <c r="G192" s="208" t="s">
        <v>674</v>
      </c>
      <c r="H192" s="283"/>
      <c r="I192" s="304"/>
      <c r="J192" s="304"/>
      <c r="K192" s="304"/>
      <c r="L192" s="304"/>
      <c r="M192" s="304"/>
      <c r="N192" s="304"/>
      <c r="O192" s="304"/>
      <c r="P192" s="283"/>
    </row>
    <row r="193" spans="1:16" ht="18" customHeight="1" x14ac:dyDescent="0.35">
      <c r="A193" s="283"/>
      <c r="B193" s="198"/>
      <c r="C193" s="626" t="s">
        <v>675</v>
      </c>
      <c r="D193" s="627" t="s">
        <v>158</v>
      </c>
      <c r="E193" s="647">
        <f>E252</f>
        <v>0.4</v>
      </c>
      <c r="F193" s="629"/>
      <c r="G193" s="208" t="s">
        <v>676</v>
      </c>
      <c r="H193" s="283"/>
      <c r="I193" s="304"/>
      <c r="J193" s="304"/>
      <c r="K193" s="304"/>
      <c r="L193" s="304"/>
      <c r="M193" s="304"/>
      <c r="N193" s="304"/>
      <c r="O193" s="304"/>
      <c r="P193" s="283"/>
    </row>
    <row r="194" spans="1:16" ht="18" customHeight="1" x14ac:dyDescent="0.35">
      <c r="A194" s="283"/>
      <c r="B194" s="198"/>
      <c r="C194" s="626" t="s">
        <v>2059</v>
      </c>
      <c r="D194" s="627" t="s">
        <v>173</v>
      </c>
      <c r="E194" s="639">
        <v>3</v>
      </c>
      <c r="F194" s="629"/>
      <c r="G194" s="208" t="s">
        <v>677</v>
      </c>
      <c r="H194" s="283"/>
      <c r="I194" s="304"/>
      <c r="J194" s="304"/>
      <c r="K194" s="304"/>
      <c r="L194" s="304"/>
      <c r="M194" s="304"/>
      <c r="N194" s="304"/>
      <c r="O194" s="304"/>
      <c r="P194" s="283"/>
    </row>
    <row r="195" spans="1:16" ht="18" customHeight="1" x14ac:dyDescent="0.35">
      <c r="A195" s="283"/>
      <c r="B195" s="198"/>
      <c r="C195" s="626" t="s">
        <v>678</v>
      </c>
      <c r="D195" s="627" t="s">
        <v>456</v>
      </c>
      <c r="E195" s="647">
        <v>0.03</v>
      </c>
      <c r="F195" s="629"/>
      <c r="G195" s="208" t="s">
        <v>679</v>
      </c>
      <c r="H195" s="283"/>
      <c r="I195" s="304"/>
      <c r="J195" s="304"/>
      <c r="K195" s="304"/>
      <c r="L195" s="304"/>
      <c r="M195" s="304"/>
      <c r="N195" s="304"/>
      <c r="O195" s="304"/>
      <c r="P195" s="283"/>
    </row>
    <row r="196" spans="1:16" ht="18" customHeight="1" x14ac:dyDescent="0.35">
      <c r="A196" s="283"/>
      <c r="B196" s="283"/>
      <c r="C196" s="283"/>
      <c r="D196" s="658"/>
      <c r="E196" s="659"/>
      <c r="F196" s="304"/>
      <c r="G196" s="208"/>
      <c r="H196" s="283"/>
      <c r="I196" s="304"/>
      <c r="J196" s="304"/>
      <c r="K196" s="304"/>
      <c r="L196" s="304"/>
      <c r="M196" s="304"/>
      <c r="N196" s="304"/>
      <c r="O196" s="304"/>
      <c r="P196" s="283"/>
    </row>
    <row r="197" spans="1:16" ht="18" customHeight="1" x14ac:dyDescent="0.35">
      <c r="A197" s="283"/>
      <c r="B197" s="283"/>
      <c r="C197" s="283"/>
      <c r="D197" s="658"/>
      <c r="E197" s="659"/>
      <c r="F197" s="304"/>
      <c r="G197" s="208"/>
      <c r="H197" s="283"/>
      <c r="I197" s="304"/>
      <c r="J197" s="304"/>
      <c r="K197" s="304"/>
      <c r="L197" s="304"/>
      <c r="M197" s="304"/>
      <c r="N197" s="304"/>
      <c r="O197" s="304"/>
      <c r="P197" s="283"/>
    </row>
    <row r="198" spans="1:16" ht="18" customHeight="1" x14ac:dyDescent="0.35">
      <c r="A198" s="283"/>
      <c r="B198" s="283"/>
      <c r="C198" s="283"/>
      <c r="D198" s="658"/>
      <c r="E198" s="659"/>
      <c r="F198" s="304"/>
      <c r="G198" s="208"/>
      <c r="H198" s="283"/>
      <c r="I198" s="304"/>
      <c r="J198" s="304"/>
      <c r="K198" s="304"/>
      <c r="L198" s="304"/>
      <c r="M198" s="283"/>
      <c r="N198" s="283"/>
      <c r="O198" s="283"/>
      <c r="P198" s="283"/>
    </row>
    <row r="199" spans="1:16" ht="18" customHeight="1" x14ac:dyDescent="0.35">
      <c r="A199" s="283"/>
      <c r="B199" s="283"/>
      <c r="C199" s="283"/>
      <c r="D199" s="658"/>
      <c r="E199" s="659"/>
      <c r="F199" s="304"/>
      <c r="G199" s="208"/>
      <c r="H199" s="283"/>
      <c r="I199" s="304"/>
      <c r="J199" s="304"/>
      <c r="K199" s="304"/>
      <c r="L199" s="304"/>
      <c r="M199" s="283"/>
      <c r="N199" s="283"/>
      <c r="O199" s="283"/>
      <c r="P199" s="283"/>
    </row>
    <row r="200" spans="1:16" ht="18" customHeight="1" x14ac:dyDescent="0.35">
      <c r="A200" s="283"/>
      <c r="B200" s="283"/>
      <c r="C200" s="283"/>
      <c r="D200" s="658"/>
      <c r="E200" s="659"/>
      <c r="F200" s="304"/>
      <c r="G200" s="208"/>
      <c r="H200" s="283"/>
      <c r="I200" s="304"/>
      <c r="J200" s="304"/>
      <c r="K200" s="304"/>
      <c r="L200" s="304"/>
      <c r="M200" s="283"/>
      <c r="N200" s="283"/>
      <c r="O200" s="283"/>
      <c r="P200" s="283"/>
    </row>
    <row r="201" spans="1:16" ht="18" customHeight="1" x14ac:dyDescent="0.35">
      <c r="A201" s="283"/>
      <c r="B201" s="283"/>
      <c r="C201" s="283"/>
      <c r="D201" s="658"/>
      <c r="E201" s="659"/>
      <c r="F201" s="304"/>
      <c r="G201" s="208"/>
      <c r="H201" s="283"/>
      <c r="I201" s="304"/>
      <c r="J201" s="304"/>
      <c r="K201" s="304"/>
      <c r="L201" s="304"/>
      <c r="M201" s="283"/>
      <c r="N201" s="283"/>
      <c r="O201" s="283"/>
      <c r="P201" s="283"/>
    </row>
    <row r="202" spans="1:16" ht="18" customHeight="1" x14ac:dyDescent="0.35">
      <c r="A202" s="198"/>
      <c r="B202" s="731" t="s">
        <v>680</v>
      </c>
      <c r="C202" s="704"/>
      <c r="D202" s="704"/>
      <c r="E202" s="704"/>
      <c r="F202" s="704"/>
      <c r="G202" s="704"/>
      <c r="H202" s="198"/>
      <c r="I202" s="304"/>
      <c r="J202" s="304"/>
      <c r="K202" s="304"/>
      <c r="L202" s="304"/>
      <c r="M202" s="283"/>
      <c r="N202" s="283"/>
      <c r="O202" s="283"/>
      <c r="P202" s="283"/>
    </row>
    <row r="203" spans="1:16" ht="18" customHeight="1" x14ac:dyDescent="0.35">
      <c r="A203" s="198"/>
      <c r="B203" s="198"/>
      <c r="C203" s="626"/>
      <c r="D203" s="627"/>
      <c r="E203" s="200"/>
      <c r="F203" s="629"/>
      <c r="G203" s="208"/>
      <c r="H203" s="208"/>
      <c r="I203" s="304"/>
      <c r="J203" s="304"/>
      <c r="K203" s="304"/>
      <c r="L203" s="304"/>
      <c r="M203" s="283"/>
      <c r="N203" s="283"/>
      <c r="O203" s="283"/>
      <c r="P203" s="283"/>
    </row>
    <row r="204" spans="1:16" ht="18" customHeight="1" x14ac:dyDescent="0.35">
      <c r="A204" s="198"/>
      <c r="B204" s="198"/>
      <c r="C204" s="642" t="s">
        <v>131</v>
      </c>
      <c r="D204" s="643"/>
      <c r="E204" s="210"/>
      <c r="F204" s="644"/>
      <c r="G204" s="645"/>
      <c r="H204" s="198"/>
      <c r="I204" s="304"/>
      <c r="J204" s="304"/>
      <c r="K204" s="304"/>
      <c r="L204" s="304"/>
      <c r="M204" s="283"/>
      <c r="N204" s="283"/>
      <c r="O204" s="283"/>
      <c r="P204" s="283"/>
    </row>
    <row r="205" spans="1:16" ht="18" customHeight="1" x14ac:dyDescent="0.35">
      <c r="A205" s="198"/>
      <c r="B205" s="198"/>
      <c r="C205" s="660" t="s">
        <v>681</v>
      </c>
      <c r="D205" s="623" t="s">
        <v>682</v>
      </c>
      <c r="E205" s="624" t="s">
        <v>683</v>
      </c>
      <c r="F205" s="661" t="s">
        <v>684</v>
      </c>
      <c r="G205" s="662" t="s">
        <v>56</v>
      </c>
      <c r="H205" s="198"/>
      <c r="I205" s="304"/>
      <c r="J205" s="304"/>
      <c r="K205" s="304"/>
      <c r="L205" s="304"/>
      <c r="M205" s="283"/>
      <c r="N205" s="283"/>
      <c r="O205" s="283"/>
      <c r="P205" s="283"/>
    </row>
    <row r="206" spans="1:16" ht="18" customHeight="1" x14ac:dyDescent="0.35">
      <c r="A206" s="198"/>
      <c r="B206" s="198"/>
      <c r="C206" s="626" t="s">
        <v>685</v>
      </c>
      <c r="D206" s="663">
        <v>1</v>
      </c>
      <c r="E206" s="639">
        <v>220000</v>
      </c>
      <c r="F206" s="664">
        <v>0.25</v>
      </c>
      <c r="G206" s="208" t="s">
        <v>686</v>
      </c>
      <c r="H206" s="198"/>
      <c r="I206" s="304"/>
      <c r="J206" s="304"/>
      <c r="K206" s="304"/>
      <c r="L206" s="304"/>
      <c r="M206" s="283"/>
      <c r="N206" s="283"/>
      <c r="O206" s="283"/>
      <c r="P206" s="283"/>
    </row>
    <row r="207" spans="1:16" ht="18" customHeight="1" x14ac:dyDescent="0.35">
      <c r="A207" s="198"/>
      <c r="B207" s="198"/>
      <c r="C207" s="626" t="s">
        <v>687</v>
      </c>
      <c r="D207" s="663">
        <v>1</v>
      </c>
      <c r="E207" s="639">
        <v>75000</v>
      </c>
      <c r="F207" s="664">
        <v>0.12</v>
      </c>
      <c r="G207" s="208"/>
      <c r="H207" s="198"/>
      <c r="I207" s="304"/>
      <c r="J207" s="304"/>
      <c r="K207" s="304"/>
      <c r="L207" s="304"/>
      <c r="M207" s="283"/>
      <c r="N207" s="283"/>
      <c r="O207" s="283"/>
      <c r="P207" s="283"/>
    </row>
    <row r="208" spans="1:16" ht="18" customHeight="1" x14ac:dyDescent="0.35">
      <c r="A208" s="198"/>
      <c r="B208" s="198"/>
      <c r="C208" s="626" t="s">
        <v>688</v>
      </c>
      <c r="D208" s="663">
        <v>1</v>
      </c>
      <c r="E208" s="639">
        <v>150000</v>
      </c>
      <c r="F208" s="664">
        <v>0.2</v>
      </c>
      <c r="G208" s="208"/>
      <c r="H208" s="198"/>
      <c r="I208" s="304"/>
      <c r="J208" s="304"/>
      <c r="K208" s="304"/>
      <c r="L208" s="304"/>
      <c r="M208" s="283"/>
      <c r="N208" s="283"/>
      <c r="O208" s="283"/>
      <c r="P208" s="283"/>
    </row>
    <row r="209" spans="1:16" ht="18" customHeight="1" x14ac:dyDescent="0.35">
      <c r="A209" s="198"/>
      <c r="B209" s="198"/>
      <c r="C209" s="626" t="s">
        <v>689</v>
      </c>
      <c r="D209" s="663">
        <v>1</v>
      </c>
      <c r="E209" s="639">
        <v>120000</v>
      </c>
      <c r="F209" s="664">
        <v>0.18</v>
      </c>
      <c r="G209" s="208"/>
      <c r="H209" s="198"/>
      <c r="I209" s="304"/>
      <c r="J209" s="304"/>
      <c r="K209" s="304"/>
      <c r="L209" s="304"/>
      <c r="M209" s="283"/>
      <c r="N209" s="283"/>
      <c r="O209" s="283"/>
      <c r="P209" s="283"/>
    </row>
    <row r="210" spans="1:16" ht="18" customHeight="1" x14ac:dyDescent="0.35">
      <c r="A210" s="198"/>
      <c r="B210" s="198"/>
      <c r="C210" s="626" t="s">
        <v>690</v>
      </c>
      <c r="D210" s="663">
        <v>1</v>
      </c>
      <c r="E210" s="639">
        <v>100000</v>
      </c>
      <c r="F210" s="664">
        <v>0.15</v>
      </c>
      <c r="G210" s="208"/>
      <c r="H210" s="198"/>
      <c r="I210" s="304"/>
      <c r="J210" s="304"/>
      <c r="K210" s="304"/>
      <c r="L210" s="304"/>
      <c r="M210" s="283"/>
      <c r="N210" s="283"/>
      <c r="O210" s="283"/>
      <c r="P210" s="283"/>
    </row>
    <row r="211" spans="1:16" ht="18" customHeight="1" x14ac:dyDescent="0.35">
      <c r="A211" s="198"/>
      <c r="B211" s="198"/>
      <c r="C211" s="626" t="s">
        <v>691</v>
      </c>
      <c r="D211" s="663">
        <v>1</v>
      </c>
      <c r="E211" s="639">
        <v>110000</v>
      </c>
      <c r="F211" s="664">
        <v>0.18</v>
      </c>
      <c r="G211" s="208"/>
      <c r="H211" s="198"/>
      <c r="I211" s="304"/>
      <c r="J211" s="304"/>
      <c r="K211" s="304"/>
      <c r="L211" s="304"/>
      <c r="M211" s="283"/>
      <c r="N211" s="283"/>
      <c r="O211" s="283"/>
      <c r="P211" s="283"/>
    </row>
    <row r="212" spans="1:16" ht="18" customHeight="1" x14ac:dyDescent="0.35">
      <c r="A212" s="198"/>
      <c r="B212" s="198"/>
      <c r="C212" s="626" t="s">
        <v>692</v>
      </c>
      <c r="D212" s="663">
        <v>4</v>
      </c>
      <c r="E212" s="639">
        <v>65000</v>
      </c>
      <c r="F212" s="664">
        <v>0.15</v>
      </c>
      <c r="G212" s="208" t="s">
        <v>693</v>
      </c>
      <c r="H212" s="198"/>
      <c r="I212" s="304"/>
      <c r="J212" s="304"/>
      <c r="K212" s="304"/>
      <c r="L212" s="304"/>
      <c r="M212" s="283"/>
      <c r="N212" s="283"/>
      <c r="O212" s="283"/>
      <c r="P212" s="283"/>
    </row>
    <row r="213" spans="1:16" ht="18" customHeight="1" x14ac:dyDescent="0.35">
      <c r="A213" s="198"/>
      <c r="B213" s="198"/>
      <c r="C213" s="626" t="s">
        <v>694</v>
      </c>
      <c r="D213" s="663">
        <v>1</v>
      </c>
      <c r="E213" s="639">
        <v>110000</v>
      </c>
      <c r="F213" s="664">
        <v>0.18</v>
      </c>
      <c r="G213" s="208"/>
      <c r="H213" s="198"/>
      <c r="I213" s="304"/>
      <c r="J213" s="304"/>
      <c r="K213" s="304"/>
      <c r="L213" s="304"/>
      <c r="M213" s="283"/>
      <c r="N213" s="283"/>
      <c r="O213" s="283"/>
      <c r="P213" s="283"/>
    </row>
    <row r="214" spans="1:16" ht="18" customHeight="1" x14ac:dyDescent="0.35">
      <c r="A214" s="198"/>
      <c r="B214" s="198"/>
      <c r="C214" s="626" t="s">
        <v>695</v>
      </c>
      <c r="D214" s="663">
        <v>1</v>
      </c>
      <c r="E214" s="639">
        <v>100000</v>
      </c>
      <c r="F214" s="664">
        <v>0.18</v>
      </c>
      <c r="G214" s="208"/>
      <c r="H214" s="198"/>
      <c r="I214" s="283"/>
      <c r="J214" s="283"/>
      <c r="K214" s="283"/>
      <c r="L214" s="283"/>
      <c r="M214" s="283"/>
      <c r="N214" s="283"/>
      <c r="O214" s="283"/>
      <c r="P214" s="283"/>
    </row>
    <row r="215" spans="1:16" ht="18" customHeight="1" x14ac:dyDescent="0.35">
      <c r="A215" s="198"/>
      <c r="B215" s="198"/>
      <c r="C215" s="626" t="s">
        <v>696</v>
      </c>
      <c r="D215" s="663">
        <v>1</v>
      </c>
      <c r="E215" s="639">
        <v>130000</v>
      </c>
      <c r="F215" s="664">
        <v>0.2</v>
      </c>
      <c r="G215" s="208"/>
      <c r="H215" s="198"/>
      <c r="I215" s="283"/>
      <c r="J215" s="283"/>
      <c r="K215" s="283"/>
      <c r="L215" s="283"/>
      <c r="M215" s="283"/>
      <c r="N215" s="283"/>
      <c r="O215" s="283"/>
      <c r="P215" s="283"/>
    </row>
    <row r="216" spans="1:16" ht="18" customHeight="1" x14ac:dyDescent="0.35">
      <c r="A216" s="198"/>
      <c r="B216" s="198"/>
      <c r="C216" s="626" t="s">
        <v>697</v>
      </c>
      <c r="D216" s="663">
        <v>1</v>
      </c>
      <c r="E216" s="639">
        <v>70000</v>
      </c>
      <c r="F216" s="664">
        <v>0.12</v>
      </c>
      <c r="G216" s="208"/>
      <c r="H216" s="198"/>
      <c r="I216" s="283"/>
      <c r="J216" s="283"/>
      <c r="K216" s="283"/>
      <c r="L216" s="283"/>
      <c r="M216" s="283"/>
      <c r="N216" s="283"/>
      <c r="O216" s="283"/>
      <c r="P216" s="283"/>
    </row>
    <row r="217" spans="1:16" ht="18" customHeight="1" x14ac:dyDescent="0.35">
      <c r="A217" s="198"/>
      <c r="B217" s="198"/>
      <c r="C217" s="626" t="s">
        <v>698</v>
      </c>
      <c r="D217" s="663">
        <v>1</v>
      </c>
      <c r="E217" s="639">
        <v>85000</v>
      </c>
      <c r="F217" s="664">
        <v>0.15</v>
      </c>
      <c r="G217" s="208"/>
      <c r="H217" s="198"/>
      <c r="I217" s="283"/>
      <c r="J217" s="283"/>
      <c r="K217" s="283"/>
      <c r="L217" s="283"/>
      <c r="M217" s="283"/>
      <c r="N217" s="283"/>
      <c r="O217" s="283"/>
      <c r="P217" s="283"/>
    </row>
    <row r="218" spans="1:16" ht="18" customHeight="1" x14ac:dyDescent="0.35">
      <c r="A218" s="198"/>
      <c r="B218" s="198"/>
      <c r="C218" s="626"/>
      <c r="D218" s="627"/>
      <c r="E218" s="200"/>
      <c r="F218" s="629"/>
      <c r="G218" s="208"/>
      <c r="H218" s="198"/>
      <c r="I218" s="283"/>
      <c r="J218" s="283"/>
      <c r="K218" s="283"/>
      <c r="L218" s="283"/>
      <c r="M218" s="283"/>
      <c r="N218" s="283"/>
      <c r="O218" s="283"/>
      <c r="P218" s="283"/>
    </row>
    <row r="219" spans="1:16" ht="18" customHeight="1" x14ac:dyDescent="0.35">
      <c r="A219" s="198"/>
      <c r="B219" s="198"/>
      <c r="C219" s="626" t="s">
        <v>699</v>
      </c>
      <c r="D219" s="627" t="s">
        <v>456</v>
      </c>
      <c r="E219" s="634">
        <v>3.1E-2</v>
      </c>
      <c r="F219" s="629"/>
      <c r="G219" s="208" t="s">
        <v>700</v>
      </c>
      <c r="H219" s="198"/>
      <c r="I219" s="283"/>
      <c r="J219" s="283"/>
      <c r="K219" s="283"/>
      <c r="L219" s="283"/>
      <c r="M219" s="283"/>
      <c r="N219" s="283"/>
      <c r="O219" s="283"/>
      <c r="P219" s="283"/>
    </row>
    <row r="220" spans="1:16" ht="18" customHeight="1" x14ac:dyDescent="0.35">
      <c r="A220" s="198"/>
      <c r="B220" s="198"/>
      <c r="C220" s="626"/>
      <c r="D220" s="627"/>
      <c r="E220" s="200"/>
      <c r="F220" s="629"/>
      <c r="G220" s="208"/>
      <c r="H220" s="198"/>
      <c r="I220" s="283"/>
      <c r="J220" s="283"/>
      <c r="K220" s="283"/>
      <c r="L220" s="283"/>
      <c r="M220" s="283"/>
      <c r="N220" s="283"/>
      <c r="O220" s="283"/>
      <c r="P220" s="283"/>
    </row>
    <row r="221" spans="1:16" ht="18" customHeight="1" x14ac:dyDescent="0.35">
      <c r="A221" s="198"/>
      <c r="B221" s="198"/>
      <c r="C221" s="642" t="s">
        <v>701</v>
      </c>
      <c r="D221" s="643"/>
      <c r="E221" s="210"/>
      <c r="F221" s="644"/>
      <c r="G221" s="645"/>
      <c r="H221" s="198"/>
      <c r="I221" s="283"/>
      <c r="J221" s="283"/>
      <c r="K221" s="283"/>
      <c r="L221" s="283"/>
      <c r="M221" s="283"/>
      <c r="N221" s="283"/>
      <c r="O221" s="283"/>
      <c r="P221" s="283"/>
    </row>
    <row r="222" spans="1:16" ht="18" customHeight="1" x14ac:dyDescent="0.35">
      <c r="A222" s="198"/>
      <c r="B222" s="198"/>
      <c r="C222" s="626" t="s">
        <v>702</v>
      </c>
      <c r="D222" s="627" t="s">
        <v>703</v>
      </c>
      <c r="E222" s="634">
        <v>80</v>
      </c>
      <c r="F222" s="629"/>
      <c r="G222" s="208" t="s">
        <v>704</v>
      </c>
      <c r="H222" s="198"/>
      <c r="I222" s="283"/>
      <c r="J222" s="283"/>
      <c r="K222" s="283"/>
      <c r="L222" s="283"/>
      <c r="M222" s="283"/>
      <c r="N222" s="283"/>
      <c r="O222" s="283"/>
      <c r="P222" s="283"/>
    </row>
    <row r="223" spans="1:16" ht="18" customHeight="1" x14ac:dyDescent="0.35">
      <c r="A223" s="198"/>
      <c r="B223" s="198"/>
      <c r="C223" s="626" t="s">
        <v>705</v>
      </c>
      <c r="D223" s="627" t="s">
        <v>706</v>
      </c>
      <c r="E223" s="634">
        <v>40</v>
      </c>
      <c r="F223" s="629"/>
      <c r="G223" s="208" t="s">
        <v>707</v>
      </c>
      <c r="H223" s="198"/>
      <c r="I223" s="283"/>
      <c r="J223" s="283"/>
      <c r="K223" s="283"/>
      <c r="L223" s="283"/>
      <c r="M223" s="283"/>
      <c r="N223" s="283"/>
      <c r="O223" s="283"/>
      <c r="P223" s="283"/>
    </row>
    <row r="224" spans="1:16" ht="18" customHeight="1" x14ac:dyDescent="0.35">
      <c r="A224" s="198"/>
      <c r="B224" s="198"/>
      <c r="C224" s="626" t="s">
        <v>708</v>
      </c>
      <c r="D224" s="627" t="s">
        <v>709</v>
      </c>
      <c r="E224" s="634">
        <v>8</v>
      </c>
      <c r="F224" s="629"/>
      <c r="G224" s="208" t="s">
        <v>710</v>
      </c>
      <c r="H224" s="198"/>
      <c r="I224" s="283"/>
      <c r="J224" s="283"/>
      <c r="K224" s="283"/>
      <c r="L224" s="283"/>
      <c r="M224" s="283"/>
      <c r="N224" s="283"/>
      <c r="O224" s="283"/>
      <c r="P224" s="283"/>
    </row>
    <row r="225" spans="1:16" ht="18" customHeight="1" x14ac:dyDescent="0.35">
      <c r="A225" s="198"/>
      <c r="B225" s="198"/>
      <c r="C225" s="626"/>
      <c r="D225" s="627"/>
      <c r="E225" s="200"/>
      <c r="F225" s="629"/>
      <c r="G225" s="208"/>
      <c r="H225" s="198"/>
      <c r="I225" s="283"/>
      <c r="J225" s="283"/>
      <c r="K225" s="283"/>
      <c r="L225" s="283"/>
      <c r="M225" s="283"/>
      <c r="N225" s="283"/>
      <c r="O225" s="283"/>
      <c r="P225" s="283"/>
    </row>
    <row r="226" spans="1:16" ht="18" customHeight="1" x14ac:dyDescent="0.35">
      <c r="A226" s="198"/>
      <c r="B226" s="198"/>
      <c r="C226" s="642" t="s">
        <v>711</v>
      </c>
      <c r="D226" s="643"/>
      <c r="E226" s="210"/>
      <c r="F226" s="644"/>
      <c r="G226" s="645"/>
      <c r="H226" s="198"/>
      <c r="I226" s="283"/>
      <c r="J226" s="283"/>
      <c r="K226" s="283"/>
      <c r="L226" s="283"/>
      <c r="M226" s="283"/>
      <c r="N226" s="283"/>
      <c r="O226" s="283"/>
      <c r="P226" s="283"/>
    </row>
    <row r="227" spans="1:16" ht="18" customHeight="1" x14ac:dyDescent="0.35">
      <c r="A227" s="198"/>
      <c r="B227" s="198"/>
      <c r="C227" s="626" t="s">
        <v>712</v>
      </c>
      <c r="D227" s="627" t="s">
        <v>173</v>
      </c>
      <c r="E227" s="639">
        <v>350000</v>
      </c>
      <c r="F227" s="629"/>
      <c r="G227" s="208" t="s">
        <v>713</v>
      </c>
      <c r="H227" s="198"/>
      <c r="I227" s="283"/>
      <c r="J227" s="283"/>
      <c r="K227" s="283"/>
      <c r="L227" s="283"/>
      <c r="M227" s="283"/>
      <c r="N227" s="283"/>
      <c r="O227" s="283"/>
      <c r="P227" s="283"/>
    </row>
    <row r="228" spans="1:16" ht="18" customHeight="1" x14ac:dyDescent="0.35">
      <c r="A228" s="198"/>
      <c r="B228" s="198"/>
      <c r="C228" s="626" t="s">
        <v>135</v>
      </c>
      <c r="D228" s="627" t="s">
        <v>173</v>
      </c>
      <c r="E228" s="639">
        <v>200000</v>
      </c>
      <c r="F228" s="629"/>
      <c r="G228" s="208" t="s">
        <v>714</v>
      </c>
      <c r="H228" s="198"/>
      <c r="I228" s="283"/>
      <c r="J228" s="283"/>
      <c r="K228" s="283"/>
      <c r="L228" s="283"/>
      <c r="M228" s="283"/>
      <c r="N228" s="283"/>
      <c r="O228" s="283"/>
      <c r="P228" s="283"/>
    </row>
    <row r="229" spans="1:16" ht="18" customHeight="1" x14ac:dyDescent="0.35">
      <c r="A229" s="198"/>
      <c r="B229" s="198"/>
      <c r="C229" s="626" t="s">
        <v>139</v>
      </c>
      <c r="D229" s="627" t="s">
        <v>173</v>
      </c>
      <c r="E229" s="639">
        <v>50000</v>
      </c>
      <c r="F229" s="629"/>
      <c r="G229" s="208" t="s">
        <v>715</v>
      </c>
      <c r="H229" s="198"/>
      <c r="I229" s="283"/>
      <c r="J229" s="283"/>
      <c r="K229" s="283"/>
      <c r="L229" s="283"/>
      <c r="M229" s="283"/>
      <c r="N229" s="283"/>
      <c r="O229" s="283"/>
      <c r="P229" s="283"/>
    </row>
    <row r="230" spans="1:16" ht="18" customHeight="1" x14ac:dyDescent="0.35">
      <c r="A230" s="198"/>
      <c r="B230" s="198"/>
      <c r="C230" s="626" t="s">
        <v>716</v>
      </c>
      <c r="D230" s="627" t="s">
        <v>173</v>
      </c>
      <c r="E230" s="639">
        <v>100000</v>
      </c>
      <c r="F230" s="629"/>
      <c r="G230" s="208" t="s">
        <v>717</v>
      </c>
      <c r="H230" s="198"/>
      <c r="I230" s="283"/>
      <c r="J230" s="283"/>
      <c r="K230" s="283"/>
      <c r="L230" s="283"/>
      <c r="M230" s="283"/>
      <c r="N230" s="283"/>
      <c r="O230" s="283"/>
      <c r="P230" s="283"/>
    </row>
    <row r="231" spans="1:16" ht="18" customHeight="1" x14ac:dyDescent="0.35">
      <c r="A231" s="198"/>
      <c r="B231" s="198"/>
      <c r="C231" s="626" t="s">
        <v>718</v>
      </c>
      <c r="D231" s="627" t="s">
        <v>173</v>
      </c>
      <c r="E231" s="639">
        <v>100000</v>
      </c>
      <c r="F231" s="629"/>
      <c r="G231" s="208" t="s">
        <v>719</v>
      </c>
      <c r="H231" s="198"/>
      <c r="I231" s="283"/>
      <c r="J231" s="283"/>
      <c r="K231" s="283"/>
      <c r="L231" s="283"/>
      <c r="M231" s="283"/>
      <c r="N231" s="283"/>
      <c r="O231" s="283"/>
      <c r="P231" s="283"/>
    </row>
    <row r="232" spans="1:16" ht="18" customHeight="1" x14ac:dyDescent="0.35">
      <c r="A232" s="198"/>
      <c r="B232" s="198"/>
      <c r="C232" s="626" t="s">
        <v>720</v>
      </c>
      <c r="D232" s="627" t="s">
        <v>173</v>
      </c>
      <c r="E232" s="639">
        <v>50000</v>
      </c>
      <c r="F232" s="629"/>
      <c r="G232" s="208" t="s">
        <v>721</v>
      </c>
      <c r="H232" s="198"/>
      <c r="I232" s="283"/>
      <c r="J232" s="283"/>
      <c r="K232" s="283"/>
      <c r="L232" s="283"/>
      <c r="M232" s="283"/>
      <c r="N232" s="283"/>
      <c r="O232" s="283"/>
      <c r="P232" s="283"/>
    </row>
    <row r="233" spans="1:16" ht="18" customHeight="1" x14ac:dyDescent="0.35">
      <c r="A233" s="198"/>
      <c r="B233" s="198"/>
      <c r="C233" s="626" t="s">
        <v>722</v>
      </c>
      <c r="D233" s="627" t="s">
        <v>173</v>
      </c>
      <c r="E233" s="639">
        <v>50000</v>
      </c>
      <c r="F233" s="629"/>
      <c r="G233" s="208" t="s">
        <v>723</v>
      </c>
      <c r="H233" s="198"/>
      <c r="I233" s="283"/>
      <c r="J233" s="283"/>
      <c r="K233" s="283"/>
      <c r="L233" s="283"/>
      <c r="M233" s="283"/>
      <c r="N233" s="283"/>
      <c r="O233" s="283"/>
      <c r="P233" s="283"/>
    </row>
    <row r="234" spans="1:16" ht="18" customHeight="1" x14ac:dyDescent="0.35">
      <c r="A234" s="198"/>
      <c r="B234" s="198"/>
      <c r="C234" s="626" t="s">
        <v>724</v>
      </c>
      <c r="D234" s="627" t="s">
        <v>173</v>
      </c>
      <c r="E234" s="639">
        <v>25000</v>
      </c>
      <c r="F234" s="629"/>
      <c r="G234" s="208" t="s">
        <v>725</v>
      </c>
      <c r="H234" s="198"/>
      <c r="I234" s="283"/>
      <c r="J234" s="283"/>
      <c r="K234" s="283"/>
      <c r="L234" s="283"/>
      <c r="M234" s="283"/>
      <c r="N234" s="283"/>
      <c r="O234" s="283"/>
      <c r="P234" s="283"/>
    </row>
    <row r="235" spans="1:16" ht="18" customHeight="1" x14ac:dyDescent="0.35">
      <c r="A235" s="198"/>
      <c r="B235" s="198"/>
      <c r="C235" s="626" t="s">
        <v>726</v>
      </c>
      <c r="D235" s="627" t="s">
        <v>173</v>
      </c>
      <c r="E235" s="639">
        <v>10000</v>
      </c>
      <c r="F235" s="629"/>
      <c r="G235" s="208"/>
      <c r="H235" s="198"/>
      <c r="I235" s="283"/>
      <c r="J235" s="283"/>
      <c r="K235" s="283"/>
      <c r="L235" s="283"/>
      <c r="M235" s="283"/>
      <c r="N235" s="283"/>
      <c r="O235" s="283"/>
      <c r="P235" s="283"/>
    </row>
    <row r="236" spans="1:16" ht="18" customHeight="1" x14ac:dyDescent="0.35">
      <c r="A236" s="198"/>
      <c r="B236" s="198"/>
      <c r="C236" s="626" t="s">
        <v>727</v>
      </c>
      <c r="D236" s="627" t="s">
        <v>173</v>
      </c>
      <c r="E236" s="639">
        <v>50000</v>
      </c>
      <c r="F236" s="629"/>
      <c r="G236" s="208" t="s">
        <v>728</v>
      </c>
      <c r="H236" s="198"/>
      <c r="I236" s="283"/>
      <c r="J236" s="283"/>
      <c r="K236" s="283"/>
      <c r="L236" s="283"/>
      <c r="M236" s="283"/>
      <c r="N236" s="283"/>
      <c r="O236" s="283"/>
      <c r="P236" s="283"/>
    </row>
    <row r="237" spans="1:16" ht="18" customHeight="1" x14ac:dyDescent="0.35">
      <c r="A237" s="198"/>
      <c r="B237" s="198"/>
      <c r="C237" s="626" t="s">
        <v>729</v>
      </c>
      <c r="D237" s="627" t="s">
        <v>173</v>
      </c>
      <c r="E237" s="639">
        <v>5000</v>
      </c>
      <c r="F237" s="629"/>
      <c r="G237" s="208"/>
      <c r="H237" s="198"/>
      <c r="I237" s="283"/>
      <c r="J237" s="283"/>
      <c r="K237" s="283"/>
      <c r="L237" s="283"/>
      <c r="M237" s="283"/>
      <c r="N237" s="283"/>
      <c r="O237" s="283"/>
      <c r="P237" s="283"/>
    </row>
    <row r="238" spans="1:16" ht="15" customHeight="1" x14ac:dyDescent="0.35">
      <c r="A238" s="198"/>
      <c r="B238" s="198"/>
      <c r="C238" s="626" t="s">
        <v>730</v>
      </c>
      <c r="D238" s="627" t="s">
        <v>173</v>
      </c>
      <c r="E238" s="639">
        <v>45000</v>
      </c>
      <c r="F238" s="629"/>
      <c r="G238" s="208" t="s">
        <v>731</v>
      </c>
      <c r="H238" s="198"/>
      <c r="I238" s="283"/>
      <c r="J238" s="283"/>
      <c r="K238" s="283"/>
      <c r="L238" s="283"/>
      <c r="M238" s="283"/>
      <c r="N238" s="283"/>
      <c r="O238" s="283"/>
      <c r="P238" s="283"/>
    </row>
    <row r="239" spans="1:16" ht="15" customHeight="1" x14ac:dyDescent="0.35">
      <c r="A239" s="198"/>
      <c r="B239" s="198"/>
      <c r="C239" s="626" t="s">
        <v>732</v>
      </c>
      <c r="D239" s="627" t="s">
        <v>173</v>
      </c>
      <c r="E239" s="639">
        <v>45000</v>
      </c>
      <c r="F239" s="629"/>
      <c r="G239" s="208" t="s">
        <v>733</v>
      </c>
      <c r="H239" s="198"/>
      <c r="I239" s="283"/>
      <c r="J239" s="283"/>
      <c r="K239" s="283"/>
      <c r="L239" s="283"/>
      <c r="M239" s="283"/>
      <c r="N239" s="283"/>
      <c r="O239" s="283"/>
      <c r="P239" s="283"/>
    </row>
    <row r="240" spans="1:16" ht="15" customHeight="1" x14ac:dyDescent="0.35">
      <c r="A240" s="198"/>
      <c r="B240" s="198"/>
      <c r="C240" s="626" t="s">
        <v>734</v>
      </c>
      <c r="D240" s="627" t="s">
        <v>173</v>
      </c>
      <c r="E240" s="639">
        <v>6250</v>
      </c>
      <c r="F240" s="629"/>
      <c r="G240" s="208"/>
      <c r="H240" s="198"/>
      <c r="I240" s="283"/>
      <c r="J240" s="283"/>
      <c r="K240" s="283"/>
      <c r="L240" s="283"/>
      <c r="M240" s="283"/>
      <c r="N240" s="283"/>
      <c r="O240" s="283"/>
      <c r="P240" s="283"/>
    </row>
    <row r="241" spans="1:16" ht="15" customHeight="1" x14ac:dyDescent="0.35">
      <c r="A241" s="198"/>
      <c r="B241" s="198"/>
      <c r="C241" s="626" t="s">
        <v>735</v>
      </c>
      <c r="D241" s="627" t="s">
        <v>173</v>
      </c>
      <c r="E241" s="639">
        <v>20000</v>
      </c>
      <c r="F241" s="629"/>
      <c r="G241" s="208" t="s">
        <v>736</v>
      </c>
      <c r="H241" s="198"/>
      <c r="I241" s="283"/>
      <c r="J241" s="283"/>
      <c r="K241" s="283"/>
      <c r="L241" s="283"/>
      <c r="M241" s="283"/>
      <c r="N241" s="283"/>
      <c r="O241" s="283"/>
      <c r="P241" s="283"/>
    </row>
    <row r="242" spans="1:16" ht="15" customHeight="1" x14ac:dyDescent="0.35">
      <c r="A242" s="198"/>
      <c r="B242" s="198"/>
      <c r="C242" s="626"/>
      <c r="D242" s="627"/>
      <c r="E242" s="200"/>
      <c r="F242" s="629"/>
      <c r="G242" s="208"/>
      <c r="H242" s="198"/>
      <c r="I242" s="283"/>
      <c r="J242" s="283"/>
      <c r="K242" s="283"/>
      <c r="L242" s="283"/>
      <c r="M242" s="283"/>
      <c r="N242" s="283"/>
      <c r="O242" s="283"/>
      <c r="P242" s="283"/>
    </row>
    <row r="243" spans="1:16" ht="15" customHeight="1" x14ac:dyDescent="0.35">
      <c r="A243" s="198"/>
      <c r="B243" s="198"/>
      <c r="C243" s="642" t="s">
        <v>737</v>
      </c>
      <c r="D243" s="643"/>
      <c r="E243" s="210"/>
      <c r="F243" s="644"/>
      <c r="G243" s="645"/>
      <c r="H243" s="198"/>
      <c r="I243" s="283"/>
      <c r="J243" s="283"/>
      <c r="K243" s="283"/>
      <c r="L243" s="283"/>
      <c r="M243" s="283"/>
      <c r="N243" s="283"/>
      <c r="O243" s="283"/>
      <c r="P243" s="283"/>
    </row>
    <row r="244" spans="1:16" ht="15" customHeight="1" x14ac:dyDescent="0.35">
      <c r="A244" s="198"/>
      <c r="B244" s="198"/>
      <c r="C244" s="626" t="s">
        <v>738</v>
      </c>
      <c r="D244" s="627" t="s">
        <v>739</v>
      </c>
      <c r="E244" s="647">
        <v>5.0000000000000001E-3</v>
      </c>
      <c r="F244" s="629"/>
      <c r="G244" s="208" t="s">
        <v>740</v>
      </c>
      <c r="H244" s="198"/>
      <c r="I244" s="283"/>
      <c r="J244" s="283"/>
      <c r="K244" s="283"/>
      <c r="L244" s="283"/>
      <c r="M244" s="283"/>
      <c r="N244" s="283"/>
      <c r="O244" s="283"/>
      <c r="P244" s="283"/>
    </row>
    <row r="245" spans="1:16" ht="15" customHeight="1" x14ac:dyDescent="0.35">
      <c r="A245" s="198"/>
      <c r="B245" s="198"/>
      <c r="C245" s="626" t="s">
        <v>741</v>
      </c>
      <c r="D245" s="627" t="s">
        <v>742</v>
      </c>
      <c r="E245" s="647">
        <v>0.01</v>
      </c>
      <c r="F245" s="629"/>
      <c r="G245" s="208" t="s">
        <v>743</v>
      </c>
      <c r="H245" s="198"/>
      <c r="I245" s="283"/>
      <c r="J245" s="283"/>
      <c r="K245" s="283"/>
      <c r="L245" s="283"/>
      <c r="M245" s="283"/>
      <c r="N245" s="283"/>
      <c r="O245" s="283"/>
      <c r="P245" s="283"/>
    </row>
    <row r="246" spans="1:16" ht="15" customHeight="1" x14ac:dyDescent="0.35">
      <c r="A246" s="198"/>
      <c r="B246" s="198"/>
      <c r="C246" s="626" t="s">
        <v>744</v>
      </c>
      <c r="D246" s="627" t="s">
        <v>739</v>
      </c>
      <c r="E246" s="647">
        <v>0.02</v>
      </c>
      <c r="F246" s="629"/>
      <c r="G246" s="208" t="s">
        <v>745</v>
      </c>
      <c r="H246" s="198"/>
      <c r="I246" s="283"/>
      <c r="J246" s="283"/>
      <c r="K246" s="283"/>
      <c r="L246" s="283"/>
      <c r="M246" s="283"/>
      <c r="N246" s="283"/>
      <c r="O246" s="283"/>
      <c r="P246" s="283"/>
    </row>
    <row r="247" spans="1:16" ht="15" customHeight="1" x14ac:dyDescent="0.35">
      <c r="A247" s="198"/>
      <c r="B247" s="198"/>
      <c r="C247" s="626" t="s">
        <v>716</v>
      </c>
      <c r="D247" s="627" t="s">
        <v>739</v>
      </c>
      <c r="E247" s="647">
        <v>0.1</v>
      </c>
      <c r="F247" s="629"/>
      <c r="G247" s="208" t="s">
        <v>746</v>
      </c>
      <c r="H247" s="198"/>
      <c r="I247" s="283"/>
      <c r="J247" s="283"/>
      <c r="K247" s="283"/>
      <c r="L247" s="283"/>
      <c r="M247" s="283"/>
      <c r="N247" s="283"/>
      <c r="O247" s="283"/>
      <c r="P247" s="283"/>
    </row>
    <row r="248" spans="1:16" ht="15" customHeight="1" x14ac:dyDescent="0.35">
      <c r="A248" s="198"/>
      <c r="B248" s="198"/>
      <c r="C248" s="626"/>
      <c r="D248" s="627"/>
      <c r="E248" s="200"/>
      <c r="F248" s="629"/>
      <c r="G248" s="208"/>
      <c r="H248" s="198"/>
      <c r="I248" s="283"/>
      <c r="J248" s="283"/>
      <c r="K248" s="283"/>
      <c r="L248" s="283"/>
      <c r="M248" s="283"/>
      <c r="N248" s="283"/>
      <c r="O248" s="283"/>
      <c r="P248" s="283"/>
    </row>
    <row r="249" spans="1:16" ht="15" customHeight="1" x14ac:dyDescent="0.35">
      <c r="A249" s="198"/>
      <c r="B249" s="198"/>
      <c r="C249" s="626" t="s">
        <v>747</v>
      </c>
      <c r="D249" s="627"/>
      <c r="E249" s="647"/>
      <c r="F249" s="629"/>
      <c r="G249" s="208"/>
      <c r="H249" s="198"/>
      <c r="I249" s="283"/>
      <c r="J249" s="283"/>
      <c r="K249" s="283"/>
      <c r="L249" s="283"/>
      <c r="M249" s="283"/>
      <c r="N249" s="283"/>
      <c r="O249" s="283"/>
      <c r="P249" s="283"/>
    </row>
    <row r="250" spans="1:16" ht="15" customHeight="1" x14ac:dyDescent="0.35">
      <c r="A250" s="198"/>
      <c r="B250" s="198"/>
      <c r="C250" s="626" t="s">
        <v>748</v>
      </c>
      <c r="D250" s="627" t="s">
        <v>158</v>
      </c>
      <c r="E250" s="647">
        <v>0.3</v>
      </c>
      <c r="F250" s="629"/>
      <c r="G250" s="208" t="s">
        <v>749</v>
      </c>
      <c r="H250" s="198"/>
      <c r="I250" s="283"/>
      <c r="J250" s="283"/>
      <c r="K250" s="283"/>
      <c r="L250" s="283"/>
      <c r="M250" s="283"/>
      <c r="N250" s="283"/>
      <c r="O250" s="283"/>
      <c r="P250" s="283"/>
    </row>
    <row r="251" spans="1:16" ht="15" customHeight="1" x14ac:dyDescent="0.35">
      <c r="A251" s="198"/>
      <c r="B251" s="198"/>
      <c r="C251" s="626" t="s">
        <v>750</v>
      </c>
      <c r="D251" s="627" t="s">
        <v>158</v>
      </c>
      <c r="E251" s="647">
        <v>0.05</v>
      </c>
      <c r="F251" s="629"/>
      <c r="G251" s="208" t="s">
        <v>751</v>
      </c>
      <c r="H251" s="198"/>
      <c r="I251" s="283"/>
      <c r="J251" s="283"/>
      <c r="K251" s="283"/>
      <c r="L251" s="283"/>
      <c r="M251" s="283"/>
      <c r="N251" s="283"/>
      <c r="O251" s="283"/>
      <c r="P251" s="283"/>
    </row>
    <row r="252" spans="1:16" ht="15" customHeight="1" x14ac:dyDescent="0.35">
      <c r="A252" s="198"/>
      <c r="B252" s="198"/>
      <c r="C252" s="626" t="s">
        <v>675</v>
      </c>
      <c r="D252" s="627" t="s">
        <v>158</v>
      </c>
      <c r="E252" s="647">
        <v>0.4</v>
      </c>
      <c r="F252" s="629"/>
      <c r="G252" s="208" t="s">
        <v>752</v>
      </c>
      <c r="H252" s="198"/>
      <c r="I252" s="283"/>
      <c r="J252" s="283"/>
      <c r="K252" s="283"/>
      <c r="L252" s="283"/>
      <c r="M252" s="283"/>
      <c r="N252" s="283"/>
      <c r="O252" s="283"/>
      <c r="P252" s="283"/>
    </row>
    <row r="253" spans="1:16" ht="15" customHeight="1" x14ac:dyDescent="0.35">
      <c r="A253" s="198"/>
      <c r="B253" s="731" t="s">
        <v>753</v>
      </c>
      <c r="C253" s="704"/>
      <c r="D253" s="704"/>
      <c r="E253" s="704"/>
      <c r="F253" s="704"/>
      <c r="G253" s="704"/>
      <c r="H253" s="198"/>
      <c r="I253" s="283"/>
      <c r="J253" s="283"/>
      <c r="K253" s="283"/>
      <c r="L253" s="283"/>
      <c r="M253" s="283"/>
      <c r="N253" s="283"/>
      <c r="O253" s="283"/>
      <c r="P253" s="283"/>
    </row>
    <row r="254" spans="1:16" ht="15" customHeight="1" x14ac:dyDescent="0.35">
      <c r="A254" s="198"/>
      <c r="B254" s="198"/>
      <c r="C254" s="622" t="s">
        <v>395</v>
      </c>
      <c r="D254" s="623" t="s">
        <v>147</v>
      </c>
      <c r="E254" s="624" t="s">
        <v>39</v>
      </c>
      <c r="F254" s="625" t="s">
        <v>396</v>
      </c>
      <c r="G254" s="623" t="s">
        <v>56</v>
      </c>
      <c r="H254" s="198"/>
      <c r="I254" s="283"/>
      <c r="J254" s="283"/>
      <c r="K254" s="283"/>
      <c r="L254" s="283"/>
      <c r="M254" s="283"/>
      <c r="N254" s="283"/>
      <c r="O254" s="283"/>
      <c r="P254" s="283"/>
    </row>
    <row r="255" spans="1:16" ht="15" customHeight="1" x14ac:dyDescent="0.35">
      <c r="A255" s="198"/>
      <c r="B255" s="198"/>
      <c r="C255" s="198"/>
      <c r="D255" s="199"/>
      <c r="E255" s="200"/>
      <c r="F255" s="201"/>
      <c r="G255" s="199"/>
      <c r="H255" s="198"/>
      <c r="I255" s="283"/>
      <c r="J255" s="283"/>
      <c r="K255" s="283"/>
      <c r="L255" s="283"/>
      <c r="M255" s="283"/>
      <c r="N255" s="283"/>
      <c r="O255" s="283"/>
      <c r="P255" s="283"/>
    </row>
    <row r="256" spans="1:16" ht="15" customHeight="1" x14ac:dyDescent="0.35">
      <c r="A256" s="198"/>
      <c r="B256" s="283"/>
      <c r="C256" s="665" t="s">
        <v>754</v>
      </c>
      <c r="D256" s="209"/>
      <c r="E256" s="210"/>
      <c r="F256" s="211"/>
      <c r="G256" s="209"/>
      <c r="H256" s="198"/>
      <c r="I256" s="283"/>
      <c r="J256" s="283"/>
      <c r="K256" s="283"/>
      <c r="L256" s="283"/>
      <c r="M256" s="283"/>
      <c r="N256" s="283"/>
      <c r="O256" s="283"/>
      <c r="P256" s="283"/>
    </row>
    <row r="257" spans="1:16" ht="15" customHeight="1" x14ac:dyDescent="0.35">
      <c r="A257" s="198"/>
      <c r="B257" s="198"/>
      <c r="C257" s="626" t="s">
        <v>180</v>
      </c>
      <c r="D257" s="627" t="s">
        <v>158</v>
      </c>
      <c r="E257" s="647">
        <v>0.1</v>
      </c>
      <c r="F257" s="629"/>
      <c r="G257" s="208" t="s">
        <v>755</v>
      </c>
      <c r="H257" s="198"/>
      <c r="I257" s="283"/>
      <c r="J257" s="283"/>
      <c r="K257" s="283"/>
      <c r="L257" s="283"/>
      <c r="M257" s="283"/>
      <c r="N257" s="283"/>
      <c r="O257" s="283"/>
      <c r="P257" s="283"/>
    </row>
    <row r="258" spans="1:16" ht="15" customHeight="1" x14ac:dyDescent="0.35">
      <c r="A258" s="198"/>
      <c r="B258" s="198"/>
      <c r="C258" s="626" t="s">
        <v>182</v>
      </c>
      <c r="D258" s="627" t="s">
        <v>158</v>
      </c>
      <c r="E258" s="647">
        <v>0.15</v>
      </c>
      <c r="F258" s="629"/>
      <c r="G258" s="208" t="s">
        <v>756</v>
      </c>
      <c r="H258" s="198"/>
      <c r="I258" s="283"/>
      <c r="J258" s="283"/>
      <c r="K258" s="283"/>
      <c r="L258" s="283"/>
      <c r="M258" s="283"/>
      <c r="N258" s="283"/>
      <c r="O258" s="283"/>
      <c r="P258" s="283"/>
    </row>
    <row r="259" spans="1:16" ht="15" customHeight="1" x14ac:dyDescent="0.35">
      <c r="A259" s="198"/>
      <c r="B259" s="198"/>
      <c r="C259" s="626" t="s">
        <v>184</v>
      </c>
      <c r="D259" s="627" t="s">
        <v>158</v>
      </c>
      <c r="E259" s="647">
        <v>0.08</v>
      </c>
      <c r="F259" s="629"/>
      <c r="G259" s="208" t="s">
        <v>757</v>
      </c>
      <c r="H259" s="198"/>
      <c r="I259" s="283"/>
      <c r="J259" s="283"/>
      <c r="K259" s="283"/>
      <c r="L259" s="283"/>
      <c r="M259" s="283"/>
      <c r="N259" s="283"/>
      <c r="O259" s="283"/>
      <c r="P259" s="283"/>
    </row>
    <row r="260" spans="1:16" ht="15" customHeight="1" x14ac:dyDescent="0.35">
      <c r="A260" s="198"/>
      <c r="B260" s="198"/>
      <c r="C260" s="626" t="s">
        <v>186</v>
      </c>
      <c r="D260" s="627" t="s">
        <v>158</v>
      </c>
      <c r="E260" s="647">
        <v>0.3</v>
      </c>
      <c r="F260" s="629"/>
      <c r="G260" s="208" t="s">
        <v>758</v>
      </c>
      <c r="H260" s="198"/>
      <c r="I260" s="283"/>
      <c r="J260" s="283"/>
      <c r="K260" s="283"/>
      <c r="L260" s="283"/>
      <c r="M260" s="283"/>
      <c r="N260" s="283"/>
      <c r="O260" s="283"/>
      <c r="P260" s="283"/>
    </row>
    <row r="261" spans="1:16" ht="15" customHeight="1" x14ac:dyDescent="0.35">
      <c r="A261" s="198"/>
      <c r="B261" s="198"/>
      <c r="C261" s="626" t="s">
        <v>192</v>
      </c>
      <c r="D261" s="627" t="s">
        <v>208</v>
      </c>
      <c r="E261" s="647">
        <v>8</v>
      </c>
      <c r="F261" s="629"/>
      <c r="G261" s="208" t="s">
        <v>759</v>
      </c>
      <c r="H261" s="198"/>
      <c r="I261" s="283"/>
      <c r="J261" s="283"/>
      <c r="K261" s="283"/>
      <c r="L261" s="283"/>
      <c r="M261" s="283"/>
      <c r="N261" s="283"/>
      <c r="O261" s="283"/>
      <c r="P261" s="283"/>
    </row>
    <row r="262" spans="1:16" ht="15" customHeight="1" x14ac:dyDescent="0.35">
      <c r="A262" s="198"/>
      <c r="B262" s="198"/>
      <c r="C262" s="626" t="s">
        <v>190</v>
      </c>
      <c r="D262" s="627" t="s">
        <v>760</v>
      </c>
      <c r="E262" s="666" t="s">
        <v>761</v>
      </c>
      <c r="F262" s="629"/>
      <c r="G262" s="208" t="s">
        <v>762</v>
      </c>
      <c r="H262" s="198"/>
      <c r="I262" s="283"/>
      <c r="J262" s="283"/>
      <c r="K262" s="283"/>
      <c r="L262" s="283"/>
      <c r="M262" s="283"/>
      <c r="N262" s="283"/>
      <c r="O262" s="283"/>
      <c r="P262" s="283"/>
    </row>
    <row r="263" spans="1:16" ht="15" customHeight="1" x14ac:dyDescent="0.35">
      <c r="A263" s="198"/>
      <c r="B263" s="198"/>
      <c r="C263" s="626" t="s">
        <v>763</v>
      </c>
      <c r="D263" s="627" t="s">
        <v>764</v>
      </c>
      <c r="E263" s="666" t="s">
        <v>765</v>
      </c>
      <c r="F263" s="629"/>
      <c r="G263" s="208" t="s">
        <v>766</v>
      </c>
      <c r="H263" s="198"/>
      <c r="I263" s="283"/>
      <c r="J263" s="283"/>
      <c r="K263" s="283"/>
      <c r="L263" s="283"/>
      <c r="M263" s="283"/>
      <c r="N263" s="283"/>
      <c r="O263" s="283"/>
      <c r="P263" s="283"/>
    </row>
    <row r="264" spans="1:16" ht="15" customHeight="1" x14ac:dyDescent="0.35">
      <c r="A264" s="198"/>
      <c r="B264" s="198"/>
      <c r="C264" s="626" t="s">
        <v>767</v>
      </c>
      <c r="D264" s="627" t="s">
        <v>158</v>
      </c>
      <c r="E264" s="647">
        <v>0.8</v>
      </c>
      <c r="F264" s="629"/>
      <c r="G264" s="208" t="s">
        <v>768</v>
      </c>
      <c r="H264" s="198"/>
      <c r="I264" s="283"/>
      <c r="J264" s="283"/>
      <c r="K264" s="283"/>
      <c r="L264" s="283"/>
      <c r="M264" s="283"/>
      <c r="N264" s="283"/>
      <c r="O264" s="283"/>
      <c r="P264" s="283"/>
    </row>
    <row r="265" spans="1:16" ht="15" customHeight="1" x14ac:dyDescent="0.35">
      <c r="A265" s="198"/>
      <c r="B265" s="198"/>
      <c r="C265" s="626" t="s">
        <v>769</v>
      </c>
      <c r="D265" s="627" t="s">
        <v>158</v>
      </c>
      <c r="E265" s="647">
        <v>0.03</v>
      </c>
      <c r="F265" s="629"/>
      <c r="G265" s="208" t="s">
        <v>770</v>
      </c>
      <c r="H265" s="198"/>
      <c r="I265" s="283"/>
      <c r="J265" s="283"/>
      <c r="K265" s="283"/>
      <c r="L265" s="283"/>
      <c r="M265" s="283"/>
      <c r="N265" s="283"/>
      <c r="O265" s="283"/>
      <c r="P265" s="283"/>
    </row>
    <row r="266" spans="1:16" ht="15" customHeight="1" x14ac:dyDescent="0.35">
      <c r="A266" s="198"/>
      <c r="B266" s="198"/>
      <c r="C266" s="626" t="s">
        <v>188</v>
      </c>
      <c r="D266" s="627" t="s">
        <v>15</v>
      </c>
      <c r="E266" s="634" t="s">
        <v>35</v>
      </c>
      <c r="F266" s="629"/>
      <c r="G266" s="208"/>
      <c r="H266" s="198"/>
      <c r="I266" s="283"/>
      <c r="J266" s="283"/>
      <c r="K266" s="283"/>
      <c r="L266" s="283"/>
      <c r="M266" s="283"/>
      <c r="N266" s="283"/>
      <c r="O266" s="283"/>
      <c r="P266" s="283"/>
    </row>
    <row r="267" spans="1:16" ht="20.149999999999999" customHeight="1" x14ac:dyDescent="0.35">
      <c r="A267" s="198"/>
      <c r="B267" s="198"/>
      <c r="C267" s="198" t="s">
        <v>218</v>
      </c>
      <c r="D267" s="199" t="s">
        <v>158</v>
      </c>
      <c r="E267" s="667">
        <v>0.04</v>
      </c>
      <c r="F267" s="201"/>
      <c r="G267" s="199" t="s">
        <v>771</v>
      </c>
      <c r="H267" s="198"/>
      <c r="I267" s="283"/>
      <c r="J267" s="283"/>
      <c r="K267" s="283"/>
      <c r="L267" s="283"/>
      <c r="M267" s="329"/>
      <c r="N267" s="329"/>
      <c r="O267" s="329"/>
      <c r="P267" s="329"/>
    </row>
    <row r="268" spans="1:16" ht="20.149999999999999" customHeight="1" x14ac:dyDescent="0.35">
      <c r="A268" s="198"/>
      <c r="B268" s="731" t="s">
        <v>772</v>
      </c>
      <c r="C268" s="704"/>
      <c r="D268" s="704"/>
      <c r="E268" s="704"/>
      <c r="F268" s="704"/>
      <c r="G268" s="704"/>
      <c r="H268" s="198"/>
      <c r="I268" s="283"/>
      <c r="J268" s="283"/>
      <c r="K268" s="283"/>
      <c r="L268" s="283"/>
      <c r="M268" s="329"/>
      <c r="N268" s="329"/>
      <c r="O268" s="329"/>
      <c r="P268" s="329"/>
    </row>
    <row r="269" spans="1:16" x14ac:dyDescent="0.35">
      <c r="A269" s="198"/>
      <c r="B269" s="198"/>
      <c r="C269" s="198" t="s">
        <v>222</v>
      </c>
      <c r="D269" s="199" t="s">
        <v>208</v>
      </c>
      <c r="E269" s="668">
        <v>0.8</v>
      </c>
      <c r="F269" s="201"/>
      <c r="G269" s="199" t="s">
        <v>773</v>
      </c>
      <c r="H269" s="198"/>
      <c r="I269" s="283"/>
      <c r="J269" s="283"/>
      <c r="K269" s="283"/>
      <c r="L269" s="283"/>
      <c r="M269" s="329"/>
      <c r="N269" s="329"/>
      <c r="O269" s="329"/>
      <c r="P269" s="329"/>
    </row>
    <row r="270" spans="1:16" x14ac:dyDescent="0.35">
      <c r="A270" s="198"/>
      <c r="B270" s="198"/>
      <c r="C270" s="198" t="s">
        <v>11</v>
      </c>
      <c r="D270" s="199" t="s">
        <v>760</v>
      </c>
      <c r="E270" s="669" t="str">
        <f>Scenarios!B4</f>
        <v>Base</v>
      </c>
      <c r="F270" s="201"/>
      <c r="G270" s="199" t="s">
        <v>774</v>
      </c>
      <c r="H270" s="198"/>
      <c r="I270" s="283"/>
      <c r="J270" s="283"/>
      <c r="K270" s="283"/>
      <c r="L270" s="283"/>
      <c r="M270" s="329"/>
      <c r="N270" s="329"/>
      <c r="O270" s="329"/>
      <c r="P270" s="329"/>
    </row>
    <row r="271" spans="1:16" x14ac:dyDescent="0.35">
      <c r="A271" s="198"/>
      <c r="B271" s="283"/>
      <c r="C271" s="665" t="s">
        <v>775</v>
      </c>
      <c r="D271" s="209"/>
      <c r="E271" s="210"/>
      <c r="F271" s="211"/>
      <c r="G271" s="209"/>
      <c r="H271" s="198"/>
      <c r="I271" s="283"/>
      <c r="J271" s="283"/>
      <c r="K271" s="283"/>
      <c r="L271" s="283"/>
      <c r="M271" s="329"/>
      <c r="N271" s="329"/>
      <c r="O271" s="329"/>
      <c r="P271" s="329"/>
    </row>
    <row r="272" spans="1:16" x14ac:dyDescent="0.35">
      <c r="A272" s="198"/>
      <c r="B272" s="198"/>
      <c r="C272" s="626" t="s">
        <v>338</v>
      </c>
      <c r="D272" s="627" t="s">
        <v>208</v>
      </c>
      <c r="E272" s="634">
        <f>IFERROR(VLOOKUP(E270,Scenarios!$D$6:$L$13,2,FALSE),1)</f>
        <v>1</v>
      </c>
      <c r="F272" s="629"/>
      <c r="G272" s="208" t="s">
        <v>776</v>
      </c>
      <c r="H272" s="198"/>
      <c r="I272" s="283"/>
      <c r="J272" s="283"/>
      <c r="K272" s="283"/>
      <c r="L272" s="283"/>
      <c r="M272" s="329"/>
      <c r="N272" s="329"/>
      <c r="O272" s="329"/>
      <c r="P272" s="329"/>
    </row>
    <row r="273" spans="1:16" x14ac:dyDescent="0.35">
      <c r="A273" s="198"/>
      <c r="B273" s="198"/>
      <c r="C273" s="626" t="s">
        <v>339</v>
      </c>
      <c r="D273" s="627" t="s">
        <v>208</v>
      </c>
      <c r="E273" s="634">
        <f>IFERROR(VLOOKUP(E270,Scenarios!$D$6:$L$13,3,FALSE),1)</f>
        <v>1</v>
      </c>
      <c r="F273" s="629"/>
      <c r="G273" s="208" t="s">
        <v>776</v>
      </c>
      <c r="H273" s="198"/>
      <c r="I273" s="283"/>
      <c r="J273" s="283"/>
      <c r="K273" s="283"/>
      <c r="L273" s="283"/>
      <c r="M273" s="329"/>
      <c r="N273" s="329"/>
      <c r="O273" s="329"/>
      <c r="P273" s="329"/>
    </row>
    <row r="274" spans="1:16" x14ac:dyDescent="0.35">
      <c r="A274" s="329"/>
      <c r="B274" s="198"/>
      <c r="C274" s="626" t="s">
        <v>345</v>
      </c>
      <c r="D274" s="627" t="s">
        <v>208</v>
      </c>
      <c r="E274" s="634">
        <f>IFERROR(VLOOKUP(E270,Scenarios!$D$6:$L$13,6,FALSE),1)</f>
        <v>1</v>
      </c>
      <c r="F274" s="629"/>
      <c r="G274" s="208" t="s">
        <v>776</v>
      </c>
      <c r="H274" s="329"/>
      <c r="I274" s="329"/>
      <c r="J274" s="329"/>
      <c r="K274" s="329"/>
      <c r="L274" s="329"/>
      <c r="M274" s="329"/>
      <c r="N274" s="329"/>
      <c r="O274" s="329"/>
      <c r="P274" s="329"/>
    </row>
    <row r="275" spans="1:16" ht="15" customHeight="1" x14ac:dyDescent="0.35">
      <c r="A275" s="329"/>
      <c r="B275" s="198"/>
      <c r="C275" s="626" t="s">
        <v>347</v>
      </c>
      <c r="D275" s="627" t="s">
        <v>208</v>
      </c>
      <c r="E275" s="634">
        <f>IFERROR(VLOOKUP(E270,Scenarios!$D$6:$L$13,7,FALSE),1)</f>
        <v>1</v>
      </c>
      <c r="F275" s="629"/>
      <c r="G275" s="208" t="s">
        <v>776</v>
      </c>
      <c r="H275" s="329"/>
      <c r="I275" s="329"/>
      <c r="J275" s="329"/>
      <c r="K275" s="329"/>
      <c r="L275" s="329"/>
      <c r="M275" s="329"/>
      <c r="N275" s="329"/>
      <c r="O275" s="329"/>
      <c r="P275" s="329"/>
    </row>
    <row r="276" spans="1:16" x14ac:dyDescent="0.35">
      <c r="B276" s="198"/>
      <c r="C276" s="626" t="s">
        <v>349</v>
      </c>
      <c r="D276" s="627" t="s">
        <v>208</v>
      </c>
      <c r="E276" s="634">
        <f>IFERROR(VLOOKUP(E270,Scenarios!$D$6:$L$13,8,FALSE),1)</f>
        <v>1</v>
      </c>
      <c r="F276" s="629"/>
      <c r="G276" s="208" t="s">
        <v>776</v>
      </c>
    </row>
    <row r="277" spans="1:16" x14ac:dyDescent="0.35">
      <c r="B277" s="198"/>
      <c r="C277" s="626" t="s">
        <v>777</v>
      </c>
      <c r="D277" s="627" t="s">
        <v>778</v>
      </c>
      <c r="E277" s="634">
        <f>IFERROR(VLOOKUP(E270,Scenarios!$D$6:$L$13,4,FALSE),0)</f>
        <v>0</v>
      </c>
      <c r="F277" s="629"/>
      <c r="G277" s="208" t="s">
        <v>779</v>
      </c>
    </row>
    <row r="278" spans="1:16" x14ac:dyDescent="0.35">
      <c r="B278" s="198"/>
      <c r="C278" s="626" t="s">
        <v>780</v>
      </c>
      <c r="D278" s="627" t="s">
        <v>781</v>
      </c>
      <c r="E278" s="634">
        <f>IFERROR(VLOOKUP(E270,Scenarios!$D$6:$L$13,5,FALSE),0)</f>
        <v>0</v>
      </c>
      <c r="F278" s="629"/>
      <c r="G278" s="208" t="s">
        <v>782</v>
      </c>
    </row>
    <row r="279" spans="1:16" x14ac:dyDescent="0.35">
      <c r="B279" s="198"/>
      <c r="C279" s="198"/>
      <c r="D279" s="199"/>
      <c r="E279" s="200"/>
      <c r="F279" s="201"/>
      <c r="G279" s="199"/>
    </row>
    <row r="280" spans="1:16" x14ac:dyDescent="0.35">
      <c r="B280" s="198"/>
      <c r="C280" s="198"/>
      <c r="D280" s="199"/>
      <c r="E280" s="200"/>
      <c r="F280" s="201"/>
      <c r="G280" s="199"/>
    </row>
    <row r="281" spans="1:16" x14ac:dyDescent="0.35">
      <c r="B281" s="283"/>
      <c r="C281" s="665" t="s">
        <v>783</v>
      </c>
      <c r="D281" s="209"/>
      <c r="E281" s="210"/>
      <c r="F281" s="211"/>
      <c r="G281" s="209"/>
    </row>
    <row r="282" spans="1:16" x14ac:dyDescent="0.35">
      <c r="B282" s="198"/>
      <c r="C282" s="626" t="s">
        <v>379</v>
      </c>
      <c r="D282" s="627" t="s">
        <v>208</v>
      </c>
      <c r="E282" s="634">
        <v>1</v>
      </c>
      <c r="F282" s="629"/>
      <c r="G282" s="208" t="s">
        <v>784</v>
      </c>
    </row>
    <row r="283" spans="1:16" x14ac:dyDescent="0.35">
      <c r="B283" s="198"/>
      <c r="C283" s="626" t="s">
        <v>380</v>
      </c>
      <c r="D283" s="627" t="s">
        <v>208</v>
      </c>
      <c r="E283" s="634">
        <v>1</v>
      </c>
      <c r="F283" s="629"/>
      <c r="G283" s="208" t="s">
        <v>785</v>
      </c>
    </row>
    <row r="284" spans="1:16" x14ac:dyDescent="0.35">
      <c r="B284" s="198"/>
      <c r="C284" s="626" t="s">
        <v>381</v>
      </c>
      <c r="D284" s="627" t="s">
        <v>208</v>
      </c>
      <c r="E284" s="634">
        <v>1</v>
      </c>
      <c r="F284" s="629"/>
      <c r="G284" s="208" t="s">
        <v>786</v>
      </c>
    </row>
    <row r="285" spans="1:16" x14ac:dyDescent="0.35">
      <c r="B285" s="198"/>
      <c r="C285" s="626" t="s">
        <v>383</v>
      </c>
      <c r="D285" s="627" t="s">
        <v>208</v>
      </c>
      <c r="E285" s="634">
        <v>1</v>
      </c>
      <c r="F285" s="629"/>
      <c r="G285" s="208" t="s">
        <v>787</v>
      </c>
    </row>
    <row r="286" spans="1:16" x14ac:dyDescent="0.35">
      <c r="B286" s="198"/>
      <c r="C286" s="626" t="s">
        <v>384</v>
      </c>
      <c r="D286" s="627" t="s">
        <v>208</v>
      </c>
      <c r="E286" s="634">
        <v>1</v>
      </c>
      <c r="F286" s="629"/>
      <c r="G286" s="208" t="s">
        <v>788</v>
      </c>
    </row>
    <row r="287" spans="1:16" x14ac:dyDescent="0.35">
      <c r="B287" s="198"/>
      <c r="C287" s="626" t="s">
        <v>385</v>
      </c>
      <c r="D287" s="627" t="s">
        <v>208</v>
      </c>
      <c r="E287" s="634">
        <v>1</v>
      </c>
      <c r="F287" s="629"/>
      <c r="G287" s="208" t="s">
        <v>789</v>
      </c>
    </row>
    <row r="288" spans="1:16" x14ac:dyDescent="0.35">
      <c r="B288" s="166"/>
      <c r="C288" s="166"/>
      <c r="D288" s="166"/>
      <c r="E288" s="166"/>
      <c r="F288" s="166"/>
      <c r="G288" s="166"/>
    </row>
    <row r="289" spans="2:7" x14ac:dyDescent="0.35">
      <c r="B289" s="166"/>
      <c r="C289" s="212" t="s">
        <v>790</v>
      </c>
      <c r="D289" s="209"/>
      <c r="E289" s="210"/>
      <c r="F289" s="211"/>
      <c r="G289" s="209"/>
    </row>
    <row r="290" spans="2:7" ht="20.149999999999999" customHeight="1" x14ac:dyDescent="0.35">
      <c r="B290" s="166"/>
      <c r="C290" s="198"/>
      <c r="D290" s="658" t="s">
        <v>147</v>
      </c>
      <c r="E290" s="659" t="s">
        <v>39</v>
      </c>
      <c r="F290" s="304" t="s">
        <v>396</v>
      </c>
      <c r="G290" s="199" t="s">
        <v>791</v>
      </c>
    </row>
    <row r="291" spans="2:7" ht="15" customHeight="1" x14ac:dyDescent="0.35">
      <c r="B291" s="166"/>
      <c r="C291" s="626" t="s">
        <v>792</v>
      </c>
      <c r="D291" s="627" t="s">
        <v>158</v>
      </c>
      <c r="E291" s="647">
        <f>E120</f>
        <v>0.08</v>
      </c>
      <c r="F291" s="629"/>
      <c r="G291" s="208" t="s">
        <v>793</v>
      </c>
    </row>
    <row r="292" spans="2:7" x14ac:dyDescent="0.35">
      <c r="B292" s="166"/>
      <c r="C292" s="626" t="s">
        <v>794</v>
      </c>
      <c r="D292" s="627" t="s">
        <v>795</v>
      </c>
      <c r="E292" s="634">
        <v>20</v>
      </c>
      <c r="F292" s="629"/>
      <c r="G292" s="208" t="s">
        <v>796</v>
      </c>
    </row>
    <row r="293" spans="2:7" x14ac:dyDescent="0.35">
      <c r="B293" s="166"/>
      <c r="C293" s="626" t="s">
        <v>562</v>
      </c>
      <c r="D293" s="627" t="s">
        <v>158</v>
      </c>
      <c r="E293" s="647">
        <f>E246</f>
        <v>0.02</v>
      </c>
      <c r="F293" s="629"/>
      <c r="G293" s="208" t="s">
        <v>797</v>
      </c>
    </row>
    <row r="294" spans="2:7" x14ac:dyDescent="0.35">
      <c r="B294" s="166"/>
      <c r="C294" s="626" t="s">
        <v>798</v>
      </c>
      <c r="D294" s="627" t="s">
        <v>739</v>
      </c>
      <c r="E294" s="647">
        <v>0.02</v>
      </c>
      <c r="F294" s="629"/>
      <c r="G294" s="208" t="s">
        <v>799</v>
      </c>
    </row>
    <row r="295" spans="2:7" x14ac:dyDescent="0.35">
      <c r="B295" s="166"/>
      <c r="C295" s="626" t="s">
        <v>800</v>
      </c>
      <c r="D295" s="627" t="s">
        <v>15</v>
      </c>
      <c r="E295" s="634" t="s">
        <v>29</v>
      </c>
      <c r="F295" s="629"/>
      <c r="G295" s="208" t="s">
        <v>801</v>
      </c>
    </row>
    <row r="296" spans="2:7" x14ac:dyDescent="0.35">
      <c r="B296" s="166"/>
      <c r="C296" s="283"/>
      <c r="D296" s="658"/>
      <c r="E296" s="659"/>
      <c r="F296" s="304"/>
      <c r="G296" s="658"/>
    </row>
    <row r="297" spans="2:7" x14ac:dyDescent="0.35">
      <c r="B297" s="166"/>
      <c r="C297" s="283"/>
      <c r="D297" s="658"/>
      <c r="E297" s="659"/>
      <c r="F297" s="304"/>
      <c r="G297" s="658"/>
    </row>
    <row r="298" spans="2:7" x14ac:dyDescent="0.35">
      <c r="B298" s="166"/>
      <c r="C298" s="670" t="s">
        <v>802</v>
      </c>
      <c r="D298" s="209"/>
      <c r="E298" s="210"/>
      <c r="F298" s="211"/>
      <c r="G298" s="209"/>
    </row>
    <row r="299" spans="2:7" x14ac:dyDescent="0.35">
      <c r="B299" s="166"/>
      <c r="C299" s="198"/>
      <c r="D299" s="658" t="s">
        <v>147</v>
      </c>
      <c r="E299" s="659" t="s">
        <v>39</v>
      </c>
      <c r="F299" s="304" t="s">
        <v>396</v>
      </c>
      <c r="G299" s="199"/>
    </row>
    <row r="300" spans="2:7" x14ac:dyDescent="0.35">
      <c r="B300" s="166"/>
      <c r="C300" s="626" t="s">
        <v>803</v>
      </c>
      <c r="D300" s="627" t="s">
        <v>150</v>
      </c>
      <c r="E300" s="634">
        <v>30</v>
      </c>
      <c r="F300" s="629"/>
      <c r="G300" s="208" t="s">
        <v>804</v>
      </c>
    </row>
    <row r="301" spans="2:7" x14ac:dyDescent="0.35">
      <c r="B301" s="166"/>
      <c r="C301" s="626" t="s">
        <v>805</v>
      </c>
      <c r="D301" s="627" t="s">
        <v>150</v>
      </c>
      <c r="E301" s="634">
        <v>45</v>
      </c>
      <c r="F301" s="629"/>
      <c r="G301" s="208" t="s">
        <v>806</v>
      </c>
    </row>
    <row r="302" spans="2:7" x14ac:dyDescent="0.35">
      <c r="B302" s="166"/>
      <c r="C302" s="626" t="s">
        <v>807</v>
      </c>
      <c r="D302" s="627" t="s">
        <v>150</v>
      </c>
      <c r="E302" s="634">
        <v>15</v>
      </c>
      <c r="F302" s="629"/>
      <c r="G302" s="208" t="s">
        <v>808</v>
      </c>
    </row>
    <row r="303" spans="2:7" x14ac:dyDescent="0.35">
      <c r="B303" s="166"/>
      <c r="C303" s="626" t="s">
        <v>809</v>
      </c>
      <c r="D303" s="627" t="s">
        <v>150</v>
      </c>
      <c r="E303" s="634">
        <v>45</v>
      </c>
      <c r="F303" s="629"/>
      <c r="G303" s="208" t="s">
        <v>810</v>
      </c>
    </row>
    <row r="304" spans="2:7" x14ac:dyDescent="0.35">
      <c r="B304" s="166"/>
      <c r="C304" s="626" t="s">
        <v>811</v>
      </c>
      <c r="D304" s="627" t="s">
        <v>173</v>
      </c>
      <c r="E304" s="639">
        <v>100000</v>
      </c>
      <c r="F304" s="629"/>
      <c r="G304" s="208" t="s">
        <v>812</v>
      </c>
    </row>
    <row r="305" spans="2:7" x14ac:dyDescent="0.35">
      <c r="B305" s="166"/>
      <c r="C305" s="198"/>
      <c r="D305" s="199"/>
      <c r="E305" s="200"/>
      <c r="F305" s="201"/>
      <c r="G305" s="199"/>
    </row>
    <row r="306" spans="2:7" x14ac:dyDescent="0.35">
      <c r="B306" s="166"/>
      <c r="C306" s="665" t="s">
        <v>813</v>
      </c>
      <c r="D306" s="209" t="s">
        <v>778</v>
      </c>
      <c r="E306" s="210">
        <f>E57</f>
        <v>18</v>
      </c>
      <c r="F306" s="211"/>
      <c r="G306" s="209"/>
    </row>
    <row r="307" spans="2:7" x14ac:dyDescent="0.35">
      <c r="B307" s="166"/>
      <c r="C307" s="671"/>
      <c r="D307" s="658" t="s">
        <v>147</v>
      </c>
      <c r="E307" s="659" t="s">
        <v>39</v>
      </c>
      <c r="F307" s="304" t="s">
        <v>396</v>
      </c>
      <c r="G307" s="672"/>
    </row>
    <row r="308" spans="2:7" ht="20.149999999999999" customHeight="1" x14ac:dyDescent="0.35">
      <c r="B308" s="166"/>
      <c r="C308" s="626" t="s">
        <v>814</v>
      </c>
      <c r="D308" s="627" t="s">
        <v>158</v>
      </c>
      <c r="E308" s="647">
        <v>0.03</v>
      </c>
      <c r="F308" s="629"/>
      <c r="G308" s="208" t="s">
        <v>815</v>
      </c>
    </row>
    <row r="309" spans="2:7" x14ac:dyDescent="0.35">
      <c r="B309" s="166"/>
      <c r="C309" s="626" t="s">
        <v>699</v>
      </c>
      <c r="D309" s="627" t="s">
        <v>158</v>
      </c>
      <c r="E309" s="647">
        <f>E219</f>
        <v>3.1E-2</v>
      </c>
      <c r="F309" s="629"/>
      <c r="G309" s="208" t="s">
        <v>816</v>
      </c>
    </row>
    <row r="310" spans="2:7" x14ac:dyDescent="0.35">
      <c r="B310" s="166"/>
      <c r="C310" s="626" t="s">
        <v>817</v>
      </c>
      <c r="D310" s="627" t="s">
        <v>158</v>
      </c>
      <c r="E310" s="647">
        <f>E308</f>
        <v>0.03</v>
      </c>
      <c r="F310" s="629"/>
      <c r="G310" s="208" t="s">
        <v>714</v>
      </c>
    </row>
    <row r="311" spans="2:7" ht="16" customHeight="1" x14ac:dyDescent="0.35">
      <c r="B311" s="166"/>
      <c r="C311" s="626" t="s">
        <v>818</v>
      </c>
      <c r="D311" s="627" t="s">
        <v>158</v>
      </c>
      <c r="E311" s="647">
        <v>0.05</v>
      </c>
      <c r="F311" s="629"/>
      <c r="G311" s="208" t="s">
        <v>819</v>
      </c>
    </row>
    <row r="312" spans="2:7" x14ac:dyDescent="0.35">
      <c r="B312" s="166"/>
      <c r="C312" s="626" t="s">
        <v>455</v>
      </c>
      <c r="D312" s="627" t="s">
        <v>158</v>
      </c>
      <c r="E312" s="647">
        <f>E35</f>
        <v>3.5000000000000003E-2</v>
      </c>
      <c r="F312" s="629"/>
      <c r="G312" s="208" t="s">
        <v>820</v>
      </c>
    </row>
    <row r="313" spans="2:7" ht="16" customHeight="1" x14ac:dyDescent="0.35">
      <c r="B313" s="166"/>
      <c r="C313" s="626" t="s">
        <v>612</v>
      </c>
      <c r="D313" s="627" t="s">
        <v>158</v>
      </c>
      <c r="E313" s="647">
        <f>E152</f>
        <v>0.03</v>
      </c>
      <c r="F313" s="629"/>
      <c r="G313" s="208" t="s">
        <v>821</v>
      </c>
    </row>
    <row r="314" spans="2:7" ht="16" customHeight="1" x14ac:dyDescent="0.35">
      <c r="B314" s="166"/>
      <c r="C314" s="626" t="s">
        <v>632</v>
      </c>
      <c r="D314" s="627" t="s">
        <v>158</v>
      </c>
      <c r="E314" s="647">
        <f>E165</f>
        <v>0.03</v>
      </c>
      <c r="F314" s="629"/>
      <c r="G314" s="208" t="s">
        <v>822</v>
      </c>
    </row>
    <row r="315" spans="2:7" ht="16" customHeight="1" x14ac:dyDescent="0.35">
      <c r="B315" s="166"/>
      <c r="C315" s="626" t="s">
        <v>658</v>
      </c>
      <c r="D315" s="627" t="s">
        <v>158</v>
      </c>
      <c r="E315" s="647">
        <f>E181</f>
        <v>2.5000000000000001E-2</v>
      </c>
      <c r="F315" s="629"/>
      <c r="G315" s="208" t="s">
        <v>657</v>
      </c>
    </row>
    <row r="316" spans="2:7" x14ac:dyDescent="0.35">
      <c r="B316" s="166"/>
      <c r="C316" s="329"/>
      <c r="D316" s="329"/>
      <c r="E316" s="329"/>
      <c r="F316" s="329"/>
      <c r="G316" s="329"/>
    </row>
    <row r="317" spans="2:7" x14ac:dyDescent="0.35">
      <c r="B317" s="166"/>
      <c r="C317" s="329"/>
      <c r="D317" s="329"/>
      <c r="E317" s="329"/>
      <c r="F317" s="329"/>
      <c r="G317" s="329"/>
    </row>
    <row r="318" spans="2:7" x14ac:dyDescent="0.35">
      <c r="B318" s="166"/>
      <c r="C318" s="670" t="s">
        <v>823</v>
      </c>
      <c r="D318" s="209"/>
      <c r="E318" s="210"/>
      <c r="F318" s="211"/>
      <c r="G318" s="209"/>
    </row>
    <row r="319" spans="2:7" x14ac:dyDescent="0.35">
      <c r="B319" s="166"/>
      <c r="C319" s="283"/>
      <c r="D319" s="658" t="s">
        <v>147</v>
      </c>
      <c r="E319" s="659" t="s">
        <v>39</v>
      </c>
      <c r="F319" s="304" t="s">
        <v>396</v>
      </c>
      <c r="G319" s="658"/>
    </row>
    <row r="320" spans="2:7" ht="16" customHeight="1" x14ac:dyDescent="0.35">
      <c r="B320" s="166"/>
      <c r="C320" s="626" t="s">
        <v>824</v>
      </c>
      <c r="D320" s="627" t="s">
        <v>158</v>
      </c>
      <c r="E320" s="647">
        <v>0.8</v>
      </c>
      <c r="F320" s="629"/>
      <c r="G320" s="208" t="s">
        <v>825</v>
      </c>
    </row>
    <row r="321" spans="2:7" ht="16" customHeight="1" x14ac:dyDescent="0.35">
      <c r="B321" s="166"/>
      <c r="C321" s="626" t="s">
        <v>826</v>
      </c>
      <c r="D321" s="627" t="s">
        <v>158</v>
      </c>
      <c r="E321" s="647">
        <v>0.1</v>
      </c>
      <c r="F321" s="629"/>
      <c r="G321" s="208" t="s">
        <v>827</v>
      </c>
    </row>
    <row r="322" spans="2:7" ht="16" customHeight="1" x14ac:dyDescent="0.35">
      <c r="B322" s="166"/>
      <c r="C322" s="626" t="s">
        <v>828</v>
      </c>
      <c r="D322" s="627" t="s">
        <v>158</v>
      </c>
      <c r="E322" s="647">
        <v>0.15</v>
      </c>
      <c r="F322" s="629"/>
      <c r="G322" s="208" t="s">
        <v>829</v>
      </c>
    </row>
    <row r="323" spans="2:7" ht="16" customHeight="1" x14ac:dyDescent="0.35">
      <c r="B323" s="166"/>
      <c r="C323" s="626" t="s">
        <v>830</v>
      </c>
      <c r="D323" s="627" t="s">
        <v>795</v>
      </c>
      <c r="E323" s="634">
        <v>5</v>
      </c>
      <c r="F323" s="629"/>
      <c r="G323" s="208" t="s">
        <v>831</v>
      </c>
    </row>
    <row r="324" spans="2:7" ht="16" customHeight="1" x14ac:dyDescent="0.35">
      <c r="B324" s="166"/>
      <c r="C324" s="626" t="s">
        <v>832</v>
      </c>
      <c r="D324" s="627" t="s">
        <v>795</v>
      </c>
      <c r="E324" s="634">
        <v>3</v>
      </c>
      <c r="F324" s="629"/>
      <c r="G324" s="208" t="s">
        <v>833</v>
      </c>
    </row>
    <row r="325" spans="2:7" ht="16" customHeight="1" x14ac:dyDescent="0.35">
      <c r="B325" s="166"/>
      <c r="C325" s="329"/>
      <c r="D325" s="329"/>
      <c r="E325" s="329"/>
      <c r="F325" s="329"/>
      <c r="G325" s="329"/>
    </row>
    <row r="326" spans="2:7" ht="16" customHeight="1" x14ac:dyDescent="0.35">
      <c r="B326" s="166"/>
      <c r="C326" s="329"/>
      <c r="D326" s="329"/>
      <c r="E326" s="329"/>
      <c r="F326" s="329"/>
      <c r="G326" s="329"/>
    </row>
    <row r="327" spans="2:7" x14ac:dyDescent="0.35">
      <c r="B327" s="166"/>
      <c r="C327" s="670" t="s">
        <v>834</v>
      </c>
      <c r="D327" s="209"/>
      <c r="E327" s="210"/>
      <c r="F327" s="211"/>
      <c r="G327" s="209"/>
    </row>
    <row r="328" spans="2:7" x14ac:dyDescent="0.35">
      <c r="B328" s="166"/>
      <c r="C328" s="283"/>
      <c r="D328" s="658" t="s">
        <v>147</v>
      </c>
      <c r="E328" s="659" t="s">
        <v>39</v>
      </c>
      <c r="F328" s="304" t="s">
        <v>396</v>
      </c>
      <c r="G328" s="658"/>
    </row>
    <row r="329" spans="2:7" ht="16" customHeight="1" x14ac:dyDescent="0.35">
      <c r="B329" s="166"/>
      <c r="C329" s="626" t="s">
        <v>835</v>
      </c>
      <c r="D329" s="627" t="s">
        <v>173</v>
      </c>
      <c r="E329" s="639">
        <v>20000000</v>
      </c>
      <c r="F329" s="629"/>
      <c r="G329" s="208" t="s">
        <v>836</v>
      </c>
    </row>
    <row r="330" spans="2:7" ht="16" customHeight="1" x14ac:dyDescent="0.35">
      <c r="B330" s="166"/>
      <c r="C330" s="626" t="s">
        <v>837</v>
      </c>
      <c r="D330" s="627" t="s">
        <v>173</v>
      </c>
      <c r="E330" s="639">
        <v>25000000</v>
      </c>
      <c r="F330" s="629"/>
      <c r="G330" s="208" t="s">
        <v>838</v>
      </c>
    </row>
    <row r="331" spans="2:7" ht="16" customHeight="1" x14ac:dyDescent="0.35">
      <c r="B331" s="166"/>
      <c r="C331" s="626" t="s">
        <v>839</v>
      </c>
      <c r="D331" s="627" t="s">
        <v>778</v>
      </c>
      <c r="E331" s="634">
        <v>12</v>
      </c>
      <c r="F331" s="629"/>
      <c r="G331" s="208" t="s">
        <v>840</v>
      </c>
    </row>
    <row r="332" spans="2:7" ht="16" customHeight="1" x14ac:dyDescent="0.35">
      <c r="B332" s="166"/>
      <c r="C332" s="626" t="s">
        <v>841</v>
      </c>
      <c r="D332" s="627" t="s">
        <v>173</v>
      </c>
      <c r="E332" s="639">
        <v>50000</v>
      </c>
      <c r="F332" s="629"/>
      <c r="G332" s="208" t="s">
        <v>842</v>
      </c>
    </row>
    <row r="333" spans="2:7" x14ac:dyDescent="0.35">
      <c r="B333" s="166"/>
      <c r="C333" s="626" t="s">
        <v>843</v>
      </c>
      <c r="D333" s="627" t="s">
        <v>173</v>
      </c>
      <c r="E333" s="639">
        <v>5000000</v>
      </c>
      <c r="F333" s="629"/>
      <c r="G333" s="208" t="s">
        <v>844</v>
      </c>
    </row>
    <row r="334" spans="2:7" x14ac:dyDescent="0.35">
      <c r="B334" s="166"/>
      <c r="C334" s="166"/>
      <c r="D334" s="166"/>
      <c r="E334" s="166"/>
      <c r="F334" s="166"/>
      <c r="G334" s="166"/>
    </row>
    <row r="335" spans="2:7" x14ac:dyDescent="0.35">
      <c r="B335" s="166"/>
      <c r="C335" s="166"/>
      <c r="D335" s="166"/>
      <c r="E335" s="166"/>
      <c r="F335" s="166"/>
      <c r="G335" s="166"/>
    </row>
    <row r="336" spans="2:7" x14ac:dyDescent="0.35">
      <c r="B336" s="166"/>
      <c r="C336" s="670" t="s">
        <v>845</v>
      </c>
      <c r="D336" s="209"/>
      <c r="E336" s="210"/>
      <c r="F336" s="211"/>
      <c r="G336" s="209"/>
    </row>
    <row r="337" spans="2:7" x14ac:dyDescent="0.35">
      <c r="B337" s="166"/>
      <c r="C337" s="671"/>
      <c r="D337" s="658" t="s">
        <v>147</v>
      </c>
      <c r="E337" s="659" t="s">
        <v>39</v>
      </c>
      <c r="F337" s="304" t="s">
        <v>396</v>
      </c>
      <c r="G337" s="672"/>
    </row>
    <row r="338" spans="2:7" x14ac:dyDescent="0.35">
      <c r="B338" s="166"/>
      <c r="C338" s="626" t="s">
        <v>846</v>
      </c>
      <c r="D338" s="627" t="s">
        <v>173</v>
      </c>
      <c r="E338" s="639">
        <v>15000</v>
      </c>
      <c r="F338" s="629"/>
      <c r="G338" s="208" t="s">
        <v>847</v>
      </c>
    </row>
    <row r="339" spans="2:7" x14ac:dyDescent="0.35">
      <c r="B339" s="166"/>
      <c r="C339" s="626" t="s">
        <v>848</v>
      </c>
      <c r="D339" s="627" t="s">
        <v>173</v>
      </c>
      <c r="E339" s="639">
        <v>10000</v>
      </c>
      <c r="F339" s="629"/>
      <c r="G339" s="208" t="s">
        <v>849</v>
      </c>
    </row>
    <row r="340" spans="2:7" ht="20.149999999999999" customHeight="1" x14ac:dyDescent="0.35">
      <c r="B340" s="166"/>
      <c r="C340" s="626" t="s">
        <v>850</v>
      </c>
      <c r="D340" s="627" t="s">
        <v>173</v>
      </c>
      <c r="E340" s="639">
        <v>8000</v>
      </c>
      <c r="F340" s="629"/>
      <c r="G340" s="208" t="s">
        <v>851</v>
      </c>
    </row>
    <row r="341" spans="2:7" x14ac:dyDescent="0.35">
      <c r="B341" s="166"/>
      <c r="C341" s="626" t="s">
        <v>852</v>
      </c>
      <c r="D341" s="627" t="s">
        <v>173</v>
      </c>
      <c r="E341" s="639">
        <v>50000</v>
      </c>
      <c r="F341" s="629"/>
      <c r="G341" s="208" t="s">
        <v>853</v>
      </c>
    </row>
    <row r="342" spans="2:7" x14ac:dyDescent="0.35">
      <c r="B342" s="166"/>
      <c r="C342" s="626" t="s">
        <v>854</v>
      </c>
      <c r="D342" s="627" t="s">
        <v>173</v>
      </c>
      <c r="E342" s="639">
        <v>5000</v>
      </c>
      <c r="F342" s="629"/>
      <c r="G342" s="208" t="s">
        <v>855</v>
      </c>
    </row>
    <row r="343" spans="2:7" x14ac:dyDescent="0.35">
      <c r="B343" s="166"/>
      <c r="C343" s="329"/>
      <c r="D343" s="329"/>
      <c r="E343" s="329"/>
      <c r="F343" s="329"/>
      <c r="G343" s="329"/>
    </row>
    <row r="344" spans="2:7" x14ac:dyDescent="0.35">
      <c r="B344" s="166"/>
      <c r="C344" s="329"/>
      <c r="D344" s="329"/>
      <c r="E344" s="329"/>
      <c r="F344" s="329"/>
      <c r="G344" s="329"/>
    </row>
    <row r="345" spans="2:7" x14ac:dyDescent="0.35">
      <c r="B345" s="166"/>
      <c r="C345" s="670" t="s">
        <v>856</v>
      </c>
      <c r="D345" s="209"/>
      <c r="E345" s="210"/>
      <c r="F345" s="211"/>
      <c r="G345" s="209"/>
    </row>
    <row r="346" spans="2:7" x14ac:dyDescent="0.35">
      <c r="B346" s="166"/>
      <c r="C346" s="671"/>
      <c r="D346" s="658" t="s">
        <v>147</v>
      </c>
      <c r="E346" s="659" t="s">
        <v>39</v>
      </c>
      <c r="F346" s="304" t="s">
        <v>396</v>
      </c>
      <c r="G346" s="672"/>
    </row>
    <row r="347" spans="2:7" x14ac:dyDescent="0.35">
      <c r="B347" s="166"/>
      <c r="C347" s="626" t="s">
        <v>857</v>
      </c>
      <c r="D347" s="627" t="s">
        <v>858</v>
      </c>
      <c r="E347" s="634">
        <f>E41</f>
        <v>5</v>
      </c>
      <c r="F347" s="629"/>
      <c r="G347" s="208" t="s">
        <v>859</v>
      </c>
    </row>
    <row r="348" spans="2:7" x14ac:dyDescent="0.35">
      <c r="B348" s="166"/>
      <c r="C348" s="626" t="s">
        <v>466</v>
      </c>
      <c r="D348" s="627" t="s">
        <v>778</v>
      </c>
      <c r="E348" s="634">
        <f>E42</f>
        <v>6</v>
      </c>
      <c r="F348" s="629"/>
      <c r="G348" s="208" t="s">
        <v>860</v>
      </c>
    </row>
    <row r="349" spans="2:7" x14ac:dyDescent="0.35">
      <c r="B349" s="166"/>
      <c r="C349" s="626" t="s">
        <v>861</v>
      </c>
      <c r="D349" s="627" t="s">
        <v>862</v>
      </c>
      <c r="E349" s="634">
        <v>6</v>
      </c>
      <c r="F349" s="629"/>
      <c r="G349" s="208" t="s">
        <v>863</v>
      </c>
    </row>
    <row r="350" spans="2:7" x14ac:dyDescent="0.35">
      <c r="B350" s="166"/>
      <c r="C350" s="626" t="s">
        <v>864</v>
      </c>
      <c r="D350" s="627" t="s">
        <v>865</v>
      </c>
      <c r="E350" s="634">
        <v>2</v>
      </c>
      <c r="F350" s="629"/>
      <c r="G350" s="208" t="s">
        <v>866</v>
      </c>
    </row>
    <row r="351" spans="2:7" x14ac:dyDescent="0.35">
      <c r="B351" s="166"/>
      <c r="C351" s="626" t="s">
        <v>867</v>
      </c>
      <c r="D351" s="627" t="s">
        <v>868</v>
      </c>
      <c r="E351" s="634" t="s">
        <v>869</v>
      </c>
      <c r="F351" s="629"/>
      <c r="G351" s="208" t="s">
        <v>870</v>
      </c>
    </row>
    <row r="352" spans="2:7" x14ac:dyDescent="0.35">
      <c r="B352" s="166"/>
      <c r="C352" s="626" t="s">
        <v>871</v>
      </c>
      <c r="D352" s="627" t="s">
        <v>158</v>
      </c>
      <c r="E352" s="647">
        <v>0.02</v>
      </c>
      <c r="F352" s="629"/>
      <c r="G352" s="208" t="s">
        <v>872</v>
      </c>
    </row>
    <row r="353" spans="2:7" x14ac:dyDescent="0.35">
      <c r="B353" s="166"/>
      <c r="C353" s="671"/>
      <c r="D353" s="672"/>
      <c r="E353" s="673"/>
      <c r="F353" s="674"/>
      <c r="G353" s="672"/>
    </row>
    <row r="354" spans="2:7" x14ac:dyDescent="0.35">
      <c r="B354" s="166"/>
      <c r="C354" s="671"/>
      <c r="D354" s="672"/>
      <c r="E354" s="673"/>
      <c r="F354" s="674"/>
      <c r="G354" s="672"/>
    </row>
    <row r="355" spans="2:7" x14ac:dyDescent="0.35">
      <c r="B355" s="166"/>
      <c r="C355" s="670" t="s">
        <v>873</v>
      </c>
      <c r="D355" s="209"/>
      <c r="E355" s="210"/>
      <c r="F355" s="211"/>
      <c r="G355" s="209"/>
    </row>
    <row r="356" spans="2:7" x14ac:dyDescent="0.35">
      <c r="B356" s="166"/>
      <c r="C356" s="671"/>
      <c r="D356" s="658" t="s">
        <v>147</v>
      </c>
      <c r="E356" s="659" t="s">
        <v>39</v>
      </c>
      <c r="F356" s="304" t="s">
        <v>396</v>
      </c>
      <c r="G356" s="672"/>
    </row>
    <row r="357" spans="2:7" x14ac:dyDescent="0.35">
      <c r="B357" s="166"/>
      <c r="C357" s="626" t="s">
        <v>874</v>
      </c>
      <c r="D357" s="627" t="s">
        <v>158</v>
      </c>
      <c r="E357" s="647">
        <v>0.7</v>
      </c>
      <c r="F357" s="629"/>
      <c r="G357" s="208" t="s">
        <v>875</v>
      </c>
    </row>
    <row r="358" spans="2:7" x14ac:dyDescent="0.35">
      <c r="B358" s="166"/>
      <c r="C358" s="626" t="s">
        <v>876</v>
      </c>
      <c r="D358" s="627" t="s">
        <v>158</v>
      </c>
      <c r="E358" s="647">
        <v>0.8</v>
      </c>
      <c r="F358" s="629"/>
      <c r="G358" s="208" t="s">
        <v>877</v>
      </c>
    </row>
    <row r="359" spans="2:7" x14ac:dyDescent="0.35">
      <c r="B359" s="166"/>
      <c r="C359" s="626" t="s">
        <v>878</v>
      </c>
      <c r="D359" s="627" t="s">
        <v>158</v>
      </c>
      <c r="E359" s="647">
        <v>1</v>
      </c>
      <c r="F359" s="629"/>
      <c r="G359" s="208" t="s">
        <v>879</v>
      </c>
    </row>
    <row r="360" spans="2:7" x14ac:dyDescent="0.35">
      <c r="B360" s="166"/>
      <c r="C360" s="626" t="s">
        <v>880</v>
      </c>
      <c r="D360" s="627" t="s">
        <v>158</v>
      </c>
      <c r="E360" s="647">
        <v>0.05</v>
      </c>
      <c r="F360" s="629"/>
      <c r="G360" s="208" t="s">
        <v>881</v>
      </c>
    </row>
    <row r="361" spans="2:7" x14ac:dyDescent="0.35">
      <c r="B361" s="166"/>
      <c r="C361" s="626" t="s">
        <v>882</v>
      </c>
      <c r="D361" s="627" t="s">
        <v>158</v>
      </c>
      <c r="E361" s="647">
        <v>0.08</v>
      </c>
      <c r="F361" s="629"/>
      <c r="G361" s="208" t="s">
        <v>883</v>
      </c>
    </row>
    <row r="362" spans="2:7" x14ac:dyDescent="0.35">
      <c r="B362" s="166"/>
      <c r="C362" s="626"/>
      <c r="D362" s="627"/>
      <c r="E362" s="675"/>
      <c r="F362" s="629"/>
      <c r="G362" s="208"/>
    </row>
    <row r="363" spans="2:7" x14ac:dyDescent="0.35">
      <c r="B363" s="166"/>
      <c r="C363" s="671"/>
      <c r="D363" s="672"/>
      <c r="E363" s="673"/>
      <c r="F363" s="674"/>
      <c r="G363" s="672"/>
    </row>
    <row r="364" spans="2:7" x14ac:dyDescent="0.35">
      <c r="B364" s="166"/>
      <c r="C364" s="671"/>
      <c r="D364" s="672"/>
      <c r="E364" s="673"/>
      <c r="F364" s="674"/>
      <c r="G364" s="672"/>
    </row>
    <row r="365" spans="2:7" x14ac:dyDescent="0.35">
      <c r="B365" s="166"/>
      <c r="C365" s="670" t="s">
        <v>884</v>
      </c>
      <c r="D365" s="209"/>
      <c r="E365" s="210"/>
      <c r="F365" s="211"/>
      <c r="G365" s="209"/>
    </row>
    <row r="366" spans="2:7" x14ac:dyDescent="0.35">
      <c r="B366" s="166"/>
      <c r="C366" s="283"/>
      <c r="D366" s="658" t="s">
        <v>147</v>
      </c>
      <c r="E366" s="659" t="s">
        <v>39</v>
      </c>
      <c r="F366" s="304" t="s">
        <v>396</v>
      </c>
      <c r="G366" s="658"/>
    </row>
    <row r="367" spans="2:7" x14ac:dyDescent="0.35">
      <c r="B367" s="166"/>
      <c r="C367" s="626" t="s">
        <v>885</v>
      </c>
      <c r="D367" s="627" t="s">
        <v>158</v>
      </c>
      <c r="E367" s="647">
        <v>0.2</v>
      </c>
      <c r="F367" s="629"/>
      <c r="G367" s="208" t="s">
        <v>886</v>
      </c>
    </row>
    <row r="368" spans="2:7" x14ac:dyDescent="0.35">
      <c r="B368" s="166"/>
      <c r="C368" s="626" t="s">
        <v>887</v>
      </c>
      <c r="D368" s="627" t="s">
        <v>158</v>
      </c>
      <c r="E368" s="647">
        <v>0</v>
      </c>
      <c r="F368" s="629"/>
      <c r="G368" s="208" t="s">
        <v>888</v>
      </c>
    </row>
    <row r="369" spans="2:7" x14ac:dyDescent="0.35">
      <c r="B369" s="166"/>
      <c r="C369" s="626" t="s">
        <v>889</v>
      </c>
      <c r="D369" s="627" t="s">
        <v>158</v>
      </c>
      <c r="E369" s="647">
        <v>-0.15</v>
      </c>
      <c r="F369" s="629"/>
      <c r="G369" s="208" t="s">
        <v>890</v>
      </c>
    </row>
    <row r="370" spans="2:7" x14ac:dyDescent="0.35">
      <c r="B370" s="166"/>
      <c r="C370" s="626" t="s">
        <v>891</v>
      </c>
      <c r="D370" s="627" t="s">
        <v>158</v>
      </c>
      <c r="E370" s="647">
        <v>-0.05</v>
      </c>
      <c r="F370" s="629"/>
      <c r="G370" s="208" t="s">
        <v>892</v>
      </c>
    </row>
    <row r="371" spans="2:7" x14ac:dyDescent="0.35">
      <c r="B371" s="166"/>
      <c r="C371" s="283"/>
      <c r="D371" s="658"/>
      <c r="E371" s="659"/>
      <c r="F371" s="304"/>
      <c r="G371" s="208"/>
    </row>
    <row r="372" spans="2:7" x14ac:dyDescent="0.35">
      <c r="B372" s="166"/>
      <c r="C372" s="283"/>
      <c r="D372" s="658"/>
      <c r="E372" s="659"/>
      <c r="F372" s="304"/>
      <c r="G372" s="208"/>
    </row>
    <row r="373" spans="2:7" x14ac:dyDescent="0.35">
      <c r="B373" s="166"/>
      <c r="C373" s="283"/>
      <c r="D373" s="658"/>
      <c r="E373" s="659"/>
      <c r="F373" s="304"/>
      <c r="G373" s="658"/>
    </row>
    <row r="374" spans="2:7" x14ac:dyDescent="0.35">
      <c r="B374" s="166"/>
      <c r="C374" s="670" t="s">
        <v>893</v>
      </c>
      <c r="D374" s="209"/>
      <c r="E374" s="210"/>
      <c r="F374" s="211"/>
      <c r="G374" s="209"/>
    </row>
    <row r="375" spans="2:7" x14ac:dyDescent="0.35">
      <c r="B375" s="166"/>
      <c r="C375" s="329"/>
      <c r="D375" s="329"/>
      <c r="E375" s="329"/>
      <c r="F375" s="329"/>
      <c r="G375" s="329"/>
    </row>
    <row r="376" spans="2:7" x14ac:dyDescent="0.35">
      <c r="B376" s="166"/>
      <c r="C376" s="283" t="s">
        <v>395</v>
      </c>
      <c r="D376" s="658" t="s">
        <v>147</v>
      </c>
      <c r="E376" s="659" t="s">
        <v>39</v>
      </c>
      <c r="F376" s="304" t="s">
        <v>396</v>
      </c>
      <c r="G376" s="658" t="s">
        <v>56</v>
      </c>
    </row>
    <row r="377" spans="2:7" x14ac:dyDescent="0.35">
      <c r="B377" s="166"/>
      <c r="C377" s="626" t="s">
        <v>894</v>
      </c>
      <c r="D377" s="627" t="s">
        <v>208</v>
      </c>
      <c r="E377" s="676">
        <f>E95</f>
        <v>1.2</v>
      </c>
      <c r="F377" s="629"/>
      <c r="G377" s="208" t="s">
        <v>895</v>
      </c>
    </row>
    <row r="378" spans="2:7" x14ac:dyDescent="0.35">
      <c r="B378" s="166"/>
      <c r="C378" s="626" t="s">
        <v>896</v>
      </c>
      <c r="D378" s="627" t="s">
        <v>208</v>
      </c>
      <c r="E378" s="676">
        <v>2.5</v>
      </c>
      <c r="F378" s="629"/>
      <c r="G378" s="208" t="s">
        <v>897</v>
      </c>
    </row>
    <row r="379" spans="2:7" x14ac:dyDescent="0.35">
      <c r="B379" s="166"/>
      <c r="C379" s="626" t="s">
        <v>536</v>
      </c>
      <c r="D379" s="627" t="s">
        <v>208</v>
      </c>
      <c r="E379" s="676">
        <f>E97</f>
        <v>4.5</v>
      </c>
      <c r="F379" s="629"/>
      <c r="G379" s="208" t="s">
        <v>898</v>
      </c>
    </row>
    <row r="380" spans="2:7" x14ac:dyDescent="0.35">
      <c r="B380" s="166"/>
      <c r="C380" s="329"/>
      <c r="D380" s="329"/>
      <c r="E380" s="329"/>
      <c r="F380" s="329"/>
      <c r="G380" s="329"/>
    </row>
    <row r="381" spans="2:7" x14ac:dyDescent="0.35">
      <c r="B381" s="166"/>
      <c r="C381" s="329"/>
      <c r="D381" s="329"/>
      <c r="E381" s="329"/>
      <c r="F381" s="329"/>
      <c r="G381" s="329"/>
    </row>
    <row r="382" spans="2:7" x14ac:dyDescent="0.35">
      <c r="B382" s="166"/>
      <c r="C382" s="329"/>
      <c r="D382" s="329"/>
      <c r="E382" s="329"/>
      <c r="F382" s="329"/>
      <c r="G382" s="329"/>
    </row>
    <row r="383" spans="2:7" x14ac:dyDescent="0.35">
      <c r="B383" s="166"/>
      <c r="C383" s="670" t="s">
        <v>899</v>
      </c>
      <c r="D383" s="209"/>
      <c r="E383" s="210"/>
      <c r="F383" s="211"/>
      <c r="G383" s="209"/>
    </row>
    <row r="384" spans="2:7" x14ac:dyDescent="0.35">
      <c r="B384" s="166"/>
      <c r="C384" s="166"/>
      <c r="D384" s="166"/>
      <c r="E384" s="166"/>
      <c r="F384" s="166"/>
      <c r="G384" s="166"/>
    </row>
    <row r="385" spans="2:7" x14ac:dyDescent="0.35">
      <c r="B385" s="166"/>
      <c r="C385" s="283" t="s">
        <v>129</v>
      </c>
      <c r="D385" s="658" t="s">
        <v>900</v>
      </c>
      <c r="E385" s="659" t="s">
        <v>901</v>
      </c>
      <c r="F385" s="304" t="s">
        <v>396</v>
      </c>
      <c r="G385" s="658" t="s">
        <v>56</v>
      </c>
    </row>
    <row r="386" spans="2:7" x14ac:dyDescent="0.35">
      <c r="B386" s="166"/>
      <c r="C386" s="283"/>
      <c r="D386" s="658"/>
      <c r="E386" s="659"/>
      <c r="F386" s="304"/>
      <c r="G386" s="658"/>
    </row>
    <row r="387" spans="2:7" x14ac:dyDescent="0.35">
      <c r="B387" s="166"/>
      <c r="C387" s="626" t="s">
        <v>91</v>
      </c>
      <c r="D387" s="627">
        <v>15</v>
      </c>
      <c r="E387" s="634">
        <v>19</v>
      </c>
      <c r="F387" s="629"/>
      <c r="G387" s="208" t="s">
        <v>902</v>
      </c>
    </row>
    <row r="388" spans="2:7" x14ac:dyDescent="0.35">
      <c r="B388" s="166"/>
      <c r="C388" s="626" t="s">
        <v>93</v>
      </c>
      <c r="D388" s="627">
        <v>15</v>
      </c>
      <c r="E388" s="634">
        <v>18</v>
      </c>
      <c r="F388" s="629"/>
      <c r="G388" s="208" t="s">
        <v>903</v>
      </c>
    </row>
    <row r="389" spans="2:7" x14ac:dyDescent="0.35">
      <c r="B389" s="166"/>
      <c r="C389" s="626" t="s">
        <v>95</v>
      </c>
      <c r="D389" s="627">
        <v>15</v>
      </c>
      <c r="E389" s="634">
        <v>15</v>
      </c>
      <c r="F389" s="629"/>
      <c r="G389" s="208" t="s">
        <v>904</v>
      </c>
    </row>
    <row r="390" spans="2:7" x14ac:dyDescent="0.35">
      <c r="B390" s="166"/>
      <c r="C390" s="626" t="s">
        <v>134</v>
      </c>
      <c r="D390" s="627">
        <v>12</v>
      </c>
      <c r="E390" s="634">
        <v>18</v>
      </c>
      <c r="F390" s="629"/>
      <c r="G390" s="208" t="s">
        <v>905</v>
      </c>
    </row>
    <row r="391" spans="2:7" x14ac:dyDescent="0.35">
      <c r="B391" s="166"/>
      <c r="C391" s="626" t="s">
        <v>585</v>
      </c>
      <c r="D391" s="627">
        <v>15</v>
      </c>
      <c r="E391" s="634">
        <v>15</v>
      </c>
      <c r="F391" s="629"/>
      <c r="G391" s="208" t="s">
        <v>906</v>
      </c>
    </row>
    <row r="392" spans="2:7" x14ac:dyDescent="0.35">
      <c r="B392" s="166"/>
      <c r="C392" s="626" t="s">
        <v>587</v>
      </c>
      <c r="D392" s="627">
        <v>12</v>
      </c>
      <c r="E392" s="634">
        <v>15</v>
      </c>
      <c r="F392" s="629"/>
      <c r="G392" s="208" t="s">
        <v>588</v>
      </c>
    </row>
    <row r="393" spans="2:7" x14ac:dyDescent="0.35">
      <c r="B393" s="166"/>
      <c r="C393" s="626" t="s">
        <v>140</v>
      </c>
      <c r="D393" s="627">
        <v>3</v>
      </c>
      <c r="E393" s="634">
        <v>3</v>
      </c>
      <c r="F393" s="629"/>
      <c r="G393" s="208" t="s">
        <v>589</v>
      </c>
    </row>
    <row r="394" spans="2:7" x14ac:dyDescent="0.35">
      <c r="B394" s="166"/>
      <c r="C394" s="626" t="s">
        <v>142</v>
      </c>
      <c r="D394" s="627">
        <v>26</v>
      </c>
      <c r="E394" s="634">
        <v>29</v>
      </c>
      <c r="F394" s="629"/>
      <c r="G394" s="208" t="s">
        <v>907</v>
      </c>
    </row>
    <row r="395" spans="2:7" x14ac:dyDescent="0.35">
      <c r="B395" s="166"/>
      <c r="C395" s="626" t="s">
        <v>102</v>
      </c>
      <c r="D395" s="627">
        <v>12</v>
      </c>
      <c r="E395" s="634">
        <v>12</v>
      </c>
      <c r="F395" s="629"/>
      <c r="G395" s="208" t="s">
        <v>591</v>
      </c>
    </row>
    <row r="396" spans="2:7" x14ac:dyDescent="0.35">
      <c r="B396" s="166"/>
      <c r="C396" s="626" t="s">
        <v>144</v>
      </c>
      <c r="D396" s="627">
        <v>10</v>
      </c>
      <c r="E396" s="634">
        <v>10</v>
      </c>
      <c r="F396" s="629"/>
      <c r="G396" s="208" t="s">
        <v>908</v>
      </c>
    </row>
    <row r="397" spans="2:7" x14ac:dyDescent="0.35">
      <c r="B397" s="166"/>
      <c r="C397" s="626" t="s">
        <v>593</v>
      </c>
      <c r="D397" s="627">
        <v>26</v>
      </c>
      <c r="E397" s="634">
        <v>26</v>
      </c>
      <c r="F397" s="629"/>
      <c r="G397" s="208" t="s">
        <v>909</v>
      </c>
    </row>
    <row r="398" spans="2:7" x14ac:dyDescent="0.35">
      <c r="B398" s="166"/>
      <c r="C398" s="626" t="s">
        <v>910</v>
      </c>
      <c r="D398" s="627" t="s">
        <v>173</v>
      </c>
      <c r="E398" s="634">
        <v>0</v>
      </c>
      <c r="F398" s="629"/>
      <c r="G398" s="208" t="s">
        <v>911</v>
      </c>
    </row>
    <row r="399" spans="2:7" x14ac:dyDescent="0.35">
      <c r="B399" s="166"/>
      <c r="C399" s="166"/>
      <c r="D399" s="166"/>
      <c r="E399" s="166"/>
      <c r="F399" s="166"/>
      <c r="G399" s="166"/>
    </row>
    <row r="400" spans="2:7" x14ac:dyDescent="0.35">
      <c r="B400" s="166"/>
      <c r="C400" s="283" t="s">
        <v>912</v>
      </c>
      <c r="D400" s="658"/>
      <c r="E400" s="659">
        <f>SUM(E387:E398)</f>
        <v>180</v>
      </c>
      <c r="F400" s="304"/>
      <c r="G400" s="658"/>
    </row>
    <row r="401" spans="2:7" x14ac:dyDescent="0.35">
      <c r="B401" s="166"/>
      <c r="C401" s="283"/>
      <c r="D401" s="658"/>
      <c r="E401" s="659"/>
      <c r="F401" s="304"/>
      <c r="G401" s="658"/>
    </row>
    <row r="402" spans="2:7" x14ac:dyDescent="0.35">
      <c r="B402" s="166"/>
      <c r="C402" s="283"/>
      <c r="D402" s="658"/>
      <c r="E402" s="659"/>
      <c r="F402" s="304"/>
      <c r="G402" s="658"/>
    </row>
    <row r="403" spans="2:7" x14ac:dyDescent="0.35">
      <c r="B403" s="166"/>
      <c r="C403" s="670" t="s">
        <v>913</v>
      </c>
      <c r="D403" s="209"/>
      <c r="E403" s="210"/>
      <c r="F403" s="211"/>
      <c r="G403" s="209"/>
    </row>
    <row r="404" spans="2:7" x14ac:dyDescent="0.35">
      <c r="B404" s="166"/>
      <c r="C404" s="677" t="s">
        <v>129</v>
      </c>
      <c r="D404" s="678" t="s">
        <v>147</v>
      </c>
      <c r="E404" s="679" t="s">
        <v>90</v>
      </c>
      <c r="F404" s="680" t="s">
        <v>396</v>
      </c>
      <c r="G404" s="678" t="s">
        <v>56</v>
      </c>
    </row>
    <row r="405" spans="2:7" x14ac:dyDescent="0.35">
      <c r="B405" s="166"/>
      <c r="C405" s="626" t="s">
        <v>91</v>
      </c>
      <c r="D405" s="627" t="s">
        <v>914</v>
      </c>
      <c r="E405" s="639">
        <f t="shared" ref="E405:E415" si="0">E127</f>
        <v>5000</v>
      </c>
      <c r="F405" s="629" t="s">
        <v>915</v>
      </c>
      <c r="G405" s="208" t="s">
        <v>916</v>
      </c>
    </row>
    <row r="406" spans="2:7" x14ac:dyDescent="0.35">
      <c r="B406" s="166"/>
      <c r="C406" s="626" t="s">
        <v>93</v>
      </c>
      <c r="D406" s="627" t="s">
        <v>914</v>
      </c>
      <c r="E406" s="639">
        <f t="shared" si="0"/>
        <v>3000</v>
      </c>
      <c r="F406" s="629" t="s">
        <v>915</v>
      </c>
      <c r="G406" s="208" t="s">
        <v>917</v>
      </c>
    </row>
    <row r="407" spans="2:7" x14ac:dyDescent="0.35">
      <c r="B407" s="166"/>
      <c r="C407" s="626" t="s">
        <v>95</v>
      </c>
      <c r="D407" s="627" t="s">
        <v>914</v>
      </c>
      <c r="E407" s="639">
        <f t="shared" si="0"/>
        <v>1500</v>
      </c>
      <c r="F407" s="629" t="s">
        <v>915</v>
      </c>
      <c r="G407" s="208" t="s">
        <v>918</v>
      </c>
    </row>
    <row r="408" spans="2:7" x14ac:dyDescent="0.35">
      <c r="B408" s="166"/>
      <c r="C408" s="626" t="s">
        <v>134</v>
      </c>
      <c r="D408" s="627" t="s">
        <v>914</v>
      </c>
      <c r="E408" s="639">
        <f t="shared" si="0"/>
        <v>3500</v>
      </c>
      <c r="F408" s="629" t="s">
        <v>915</v>
      </c>
      <c r="G408" s="208" t="s">
        <v>919</v>
      </c>
    </row>
    <row r="409" spans="2:7" x14ac:dyDescent="0.35">
      <c r="B409" s="166"/>
      <c r="C409" s="626" t="s">
        <v>585</v>
      </c>
      <c r="D409" s="627" t="s">
        <v>914</v>
      </c>
      <c r="E409" s="639">
        <f t="shared" si="0"/>
        <v>3500</v>
      </c>
      <c r="F409" s="629" t="s">
        <v>915</v>
      </c>
      <c r="G409" s="208" t="s">
        <v>920</v>
      </c>
    </row>
    <row r="410" spans="2:7" x14ac:dyDescent="0.35">
      <c r="B410" s="166"/>
      <c r="C410" s="626" t="s">
        <v>587</v>
      </c>
      <c r="D410" s="627" t="s">
        <v>914</v>
      </c>
      <c r="E410" s="639">
        <f t="shared" si="0"/>
        <v>3500</v>
      </c>
      <c r="F410" s="629" t="s">
        <v>915</v>
      </c>
      <c r="G410" s="208" t="s">
        <v>921</v>
      </c>
    </row>
    <row r="411" spans="2:7" x14ac:dyDescent="0.35">
      <c r="B411" s="166"/>
      <c r="C411" s="626" t="s">
        <v>140</v>
      </c>
      <c r="D411" s="627" t="s">
        <v>914</v>
      </c>
      <c r="E411" s="639">
        <f t="shared" si="0"/>
        <v>3500</v>
      </c>
      <c r="F411" s="629" t="s">
        <v>915</v>
      </c>
      <c r="G411" s="208" t="s">
        <v>922</v>
      </c>
    </row>
    <row r="412" spans="2:7" x14ac:dyDescent="0.35">
      <c r="B412" s="166"/>
      <c r="C412" s="626" t="s">
        <v>142</v>
      </c>
      <c r="D412" s="627" t="s">
        <v>914</v>
      </c>
      <c r="E412" s="639">
        <f t="shared" si="0"/>
        <v>3500</v>
      </c>
      <c r="F412" s="629" t="s">
        <v>915</v>
      </c>
      <c r="G412" s="208" t="s">
        <v>923</v>
      </c>
    </row>
    <row r="413" spans="2:7" x14ac:dyDescent="0.35">
      <c r="B413" s="166"/>
      <c r="C413" s="626" t="s">
        <v>102</v>
      </c>
      <c r="D413" s="627" t="s">
        <v>914</v>
      </c>
      <c r="E413" s="639">
        <f t="shared" si="0"/>
        <v>2000</v>
      </c>
      <c r="F413" s="629" t="s">
        <v>915</v>
      </c>
      <c r="G413" s="208" t="s">
        <v>591</v>
      </c>
    </row>
    <row r="414" spans="2:7" x14ac:dyDescent="0.35">
      <c r="B414" s="166"/>
      <c r="C414" s="626" t="s">
        <v>144</v>
      </c>
      <c r="D414" s="627" t="s">
        <v>914</v>
      </c>
      <c r="E414" s="639">
        <f t="shared" si="0"/>
        <v>2000</v>
      </c>
      <c r="F414" s="629" t="s">
        <v>915</v>
      </c>
      <c r="G414" s="208" t="s">
        <v>924</v>
      </c>
    </row>
    <row r="415" spans="2:7" x14ac:dyDescent="0.35">
      <c r="B415" s="166"/>
      <c r="C415" s="626" t="s">
        <v>593</v>
      </c>
      <c r="D415" s="627" t="s">
        <v>914</v>
      </c>
      <c r="E415" s="639">
        <f t="shared" si="0"/>
        <v>4000</v>
      </c>
      <c r="F415" s="629" t="s">
        <v>915</v>
      </c>
      <c r="G415" s="208" t="s">
        <v>925</v>
      </c>
    </row>
    <row r="416" spans="2:7" x14ac:dyDescent="0.35">
      <c r="B416" s="166"/>
      <c r="C416" s="166"/>
      <c r="D416" s="166"/>
      <c r="E416" s="166"/>
      <c r="F416" s="166"/>
      <c r="G416" s="166"/>
    </row>
    <row r="417" spans="2:7" x14ac:dyDescent="0.35">
      <c r="B417" s="166"/>
      <c r="C417" s="166"/>
      <c r="D417" s="166"/>
      <c r="E417" s="166"/>
      <c r="F417" s="166"/>
      <c r="G417" s="166"/>
    </row>
    <row r="418" spans="2:7" x14ac:dyDescent="0.35">
      <c r="B418" s="166"/>
      <c r="C418" s="670" t="s">
        <v>926</v>
      </c>
      <c r="D418" s="209"/>
      <c r="E418" s="210"/>
      <c r="F418" s="211"/>
      <c r="G418" s="209"/>
    </row>
    <row r="419" spans="2:7" x14ac:dyDescent="0.35">
      <c r="B419" s="166"/>
      <c r="C419" s="677" t="s">
        <v>129</v>
      </c>
      <c r="D419" s="678" t="s">
        <v>147</v>
      </c>
      <c r="E419" s="679" t="s">
        <v>927</v>
      </c>
      <c r="F419" s="680" t="s">
        <v>928</v>
      </c>
      <c r="G419" s="678" t="s">
        <v>56</v>
      </c>
    </row>
    <row r="420" spans="2:7" x14ac:dyDescent="0.35">
      <c r="B420" s="166"/>
      <c r="C420" s="626" t="s">
        <v>91</v>
      </c>
      <c r="D420" s="627" t="s">
        <v>130</v>
      </c>
      <c r="E420" s="634">
        <v>4</v>
      </c>
      <c r="F420" s="629">
        <v>19</v>
      </c>
      <c r="G420" s="208" t="s">
        <v>929</v>
      </c>
    </row>
    <row r="421" spans="2:7" x14ac:dyDescent="0.35">
      <c r="B421" s="166"/>
      <c r="C421" s="626" t="s">
        <v>93</v>
      </c>
      <c r="D421" s="627" t="s">
        <v>130</v>
      </c>
      <c r="E421" s="634">
        <v>4</v>
      </c>
      <c r="F421" s="629">
        <v>18</v>
      </c>
      <c r="G421" s="208" t="s">
        <v>930</v>
      </c>
    </row>
    <row r="422" spans="2:7" x14ac:dyDescent="0.35">
      <c r="B422" s="166"/>
      <c r="C422" s="626" t="s">
        <v>95</v>
      </c>
      <c r="D422" s="627" t="s">
        <v>130</v>
      </c>
      <c r="E422" s="634">
        <v>0</v>
      </c>
      <c r="F422" s="629">
        <v>15</v>
      </c>
      <c r="G422" s="208" t="s">
        <v>931</v>
      </c>
    </row>
    <row r="423" spans="2:7" x14ac:dyDescent="0.35">
      <c r="B423" s="166"/>
      <c r="C423" s="626" t="s">
        <v>134</v>
      </c>
      <c r="D423" s="627" t="s">
        <v>130</v>
      </c>
      <c r="E423" s="634">
        <v>12</v>
      </c>
      <c r="F423" s="629">
        <v>18</v>
      </c>
      <c r="G423" s="208" t="s">
        <v>932</v>
      </c>
    </row>
    <row r="424" spans="2:7" x14ac:dyDescent="0.35">
      <c r="B424" s="166"/>
      <c r="C424" s="626" t="s">
        <v>585</v>
      </c>
      <c r="D424" s="627" t="s">
        <v>130</v>
      </c>
      <c r="E424" s="634">
        <v>4</v>
      </c>
      <c r="F424" s="629">
        <v>15</v>
      </c>
      <c r="G424" s="208" t="s">
        <v>933</v>
      </c>
    </row>
    <row r="425" spans="2:7" x14ac:dyDescent="0.35">
      <c r="B425" s="166"/>
      <c r="C425" s="626" t="s">
        <v>587</v>
      </c>
      <c r="D425" s="627" t="s">
        <v>130</v>
      </c>
      <c r="E425" s="634">
        <v>0</v>
      </c>
      <c r="F425" s="629">
        <v>15</v>
      </c>
      <c r="G425" s="208" t="s">
        <v>934</v>
      </c>
    </row>
    <row r="426" spans="2:7" x14ac:dyDescent="0.35">
      <c r="B426" s="166"/>
      <c r="C426" s="626" t="s">
        <v>140</v>
      </c>
      <c r="D426" s="627" t="s">
        <v>130</v>
      </c>
      <c r="E426" s="634">
        <v>3</v>
      </c>
      <c r="F426" s="629">
        <v>3</v>
      </c>
      <c r="G426" s="208" t="s">
        <v>935</v>
      </c>
    </row>
    <row r="427" spans="2:7" x14ac:dyDescent="0.35">
      <c r="B427" s="166"/>
      <c r="C427" s="626" t="s">
        <v>142</v>
      </c>
      <c r="D427" s="627" t="s">
        <v>130</v>
      </c>
      <c r="E427" s="634">
        <v>26</v>
      </c>
      <c r="F427" s="629">
        <v>29</v>
      </c>
      <c r="G427" s="208" t="s">
        <v>936</v>
      </c>
    </row>
    <row r="428" spans="2:7" x14ac:dyDescent="0.35">
      <c r="B428" s="166"/>
      <c r="C428" s="626" t="s">
        <v>102</v>
      </c>
      <c r="D428" s="627" t="s">
        <v>130</v>
      </c>
      <c r="E428" s="634">
        <v>0</v>
      </c>
      <c r="F428" s="629">
        <v>12</v>
      </c>
      <c r="G428" s="208" t="s">
        <v>937</v>
      </c>
    </row>
    <row r="429" spans="2:7" x14ac:dyDescent="0.35">
      <c r="B429" s="166"/>
      <c r="C429" s="626" t="s">
        <v>144</v>
      </c>
      <c r="D429" s="627" t="s">
        <v>130</v>
      </c>
      <c r="E429" s="634">
        <v>5</v>
      </c>
      <c r="F429" s="629">
        <v>10</v>
      </c>
      <c r="G429" s="208" t="s">
        <v>938</v>
      </c>
    </row>
    <row r="430" spans="2:7" x14ac:dyDescent="0.35">
      <c r="B430" s="166"/>
      <c r="C430" s="626" t="s">
        <v>593</v>
      </c>
      <c r="D430" s="627" t="s">
        <v>130</v>
      </c>
      <c r="E430" s="634">
        <v>0</v>
      </c>
      <c r="F430" s="629">
        <v>26</v>
      </c>
      <c r="G430" s="208" t="s">
        <v>939</v>
      </c>
    </row>
    <row r="431" spans="2:7" x14ac:dyDescent="0.35">
      <c r="B431" s="166"/>
      <c r="C431" s="166"/>
      <c r="D431" s="166"/>
      <c r="E431" s="166"/>
      <c r="F431" s="166"/>
      <c r="G431" s="166"/>
    </row>
    <row r="432" spans="2:7" x14ac:dyDescent="0.35">
      <c r="B432" s="166"/>
      <c r="C432" s="166"/>
      <c r="D432" s="166"/>
      <c r="E432" s="166"/>
      <c r="F432" s="166"/>
      <c r="G432" s="166"/>
    </row>
    <row r="433" spans="2:9" x14ac:dyDescent="0.35">
      <c r="B433" s="166"/>
      <c r="C433" s="670" t="s">
        <v>940</v>
      </c>
      <c r="D433" s="209"/>
      <c r="E433" s="210"/>
      <c r="F433" s="211"/>
      <c r="G433" s="209"/>
      <c r="H433" s="329"/>
      <c r="I433" s="329"/>
    </row>
    <row r="434" spans="2:9" x14ac:dyDescent="0.35">
      <c r="B434" s="166"/>
      <c r="C434" s="677" t="s">
        <v>129</v>
      </c>
      <c r="D434" s="678" t="s">
        <v>147</v>
      </c>
      <c r="E434" s="679" t="s">
        <v>941</v>
      </c>
      <c r="F434" s="680" t="s">
        <v>396</v>
      </c>
      <c r="G434" s="208" t="s">
        <v>56</v>
      </c>
      <c r="H434" s="329"/>
      <c r="I434" s="329"/>
    </row>
    <row r="435" spans="2:9" x14ac:dyDescent="0.35">
      <c r="B435" s="166"/>
      <c r="C435" s="626" t="s">
        <v>91</v>
      </c>
      <c r="D435" s="627" t="s">
        <v>158</v>
      </c>
      <c r="E435" s="647">
        <v>0.8</v>
      </c>
      <c r="F435" s="629" t="s">
        <v>915</v>
      </c>
      <c r="G435" s="208" t="s">
        <v>942</v>
      </c>
      <c r="H435" s="329"/>
      <c r="I435" s="329"/>
    </row>
    <row r="436" spans="2:9" x14ac:dyDescent="0.35">
      <c r="B436" s="166"/>
      <c r="C436" s="626" t="s">
        <v>93</v>
      </c>
      <c r="D436" s="627" t="s">
        <v>158</v>
      </c>
      <c r="E436" s="647">
        <v>0.8</v>
      </c>
      <c r="F436" s="629" t="s">
        <v>915</v>
      </c>
      <c r="G436" s="208" t="s">
        <v>942</v>
      </c>
      <c r="H436" s="329"/>
      <c r="I436" s="329"/>
    </row>
    <row r="437" spans="2:9" x14ac:dyDescent="0.35">
      <c r="B437" s="166"/>
      <c r="C437" s="626" t="s">
        <v>95</v>
      </c>
      <c r="D437" s="627" t="s">
        <v>158</v>
      </c>
      <c r="E437" s="647">
        <v>0.9</v>
      </c>
      <c r="F437" s="629" t="s">
        <v>915</v>
      </c>
      <c r="G437" s="208" t="s">
        <v>943</v>
      </c>
      <c r="H437" s="329"/>
      <c r="I437" s="329"/>
    </row>
    <row r="438" spans="2:9" x14ac:dyDescent="0.35">
      <c r="B438" s="166"/>
      <c r="C438" s="626" t="s">
        <v>134</v>
      </c>
      <c r="D438" s="627" t="s">
        <v>158</v>
      </c>
      <c r="E438" s="647">
        <v>0.9</v>
      </c>
      <c r="F438" s="629" t="s">
        <v>915</v>
      </c>
      <c r="G438" s="208" t="s">
        <v>943</v>
      </c>
      <c r="H438" s="329"/>
      <c r="I438" s="329"/>
    </row>
    <row r="439" spans="2:9" x14ac:dyDescent="0.35">
      <c r="B439" s="166"/>
      <c r="C439" s="626" t="s">
        <v>585</v>
      </c>
      <c r="D439" s="627" t="s">
        <v>158</v>
      </c>
      <c r="E439" s="647">
        <v>0.9</v>
      </c>
      <c r="F439" s="629" t="s">
        <v>915</v>
      </c>
      <c r="G439" s="208" t="s">
        <v>943</v>
      </c>
      <c r="H439" s="283"/>
      <c r="I439" s="304"/>
    </row>
    <row r="440" spans="2:9" x14ac:dyDescent="0.35">
      <c r="B440" s="166"/>
      <c r="C440" s="626" t="s">
        <v>587</v>
      </c>
      <c r="D440" s="627" t="s">
        <v>158</v>
      </c>
      <c r="E440" s="647">
        <v>0.9</v>
      </c>
      <c r="F440" s="629" t="s">
        <v>915</v>
      </c>
      <c r="G440" s="208" t="s">
        <v>943</v>
      </c>
      <c r="H440" s="283"/>
      <c r="I440" s="304"/>
    </row>
    <row r="441" spans="2:9" x14ac:dyDescent="0.35">
      <c r="B441" s="166"/>
      <c r="C441" s="626" t="s">
        <v>140</v>
      </c>
      <c r="D441" s="627" t="s">
        <v>158</v>
      </c>
      <c r="E441" s="647">
        <v>0.8</v>
      </c>
      <c r="F441" s="629" t="s">
        <v>915</v>
      </c>
      <c r="G441" s="208" t="s">
        <v>942</v>
      </c>
      <c r="H441" s="283"/>
      <c r="I441" s="304"/>
    </row>
    <row r="442" spans="2:9" x14ac:dyDescent="0.35">
      <c r="B442" s="166"/>
      <c r="C442" s="626" t="s">
        <v>142</v>
      </c>
      <c r="D442" s="627" t="s">
        <v>158</v>
      </c>
      <c r="E442" s="647">
        <v>0.7</v>
      </c>
      <c r="F442" s="629" t="s">
        <v>915</v>
      </c>
      <c r="G442" s="208" t="s">
        <v>944</v>
      </c>
      <c r="H442" s="283"/>
      <c r="I442" s="304" t="s">
        <v>13</v>
      </c>
    </row>
    <row r="443" spans="2:9" x14ac:dyDescent="0.35">
      <c r="B443" s="166"/>
      <c r="C443" s="626" t="s">
        <v>102</v>
      </c>
      <c r="D443" s="627" t="s">
        <v>158</v>
      </c>
      <c r="E443" s="647">
        <v>1</v>
      </c>
      <c r="F443" s="629" t="s">
        <v>915</v>
      </c>
      <c r="G443" s="208" t="s">
        <v>945</v>
      </c>
      <c r="H443" s="283"/>
      <c r="I443" s="304"/>
    </row>
    <row r="444" spans="2:9" x14ac:dyDescent="0.35">
      <c r="B444" s="166"/>
      <c r="C444" s="626" t="s">
        <v>144</v>
      </c>
      <c r="D444" s="627" t="s">
        <v>158</v>
      </c>
      <c r="E444" s="647">
        <v>1</v>
      </c>
      <c r="F444" s="629" t="s">
        <v>915</v>
      </c>
      <c r="G444" s="208" t="s">
        <v>945</v>
      </c>
      <c r="H444" s="283"/>
      <c r="I444" s="304"/>
    </row>
    <row r="445" spans="2:9" x14ac:dyDescent="0.35">
      <c r="B445" s="166"/>
      <c r="C445" s="626" t="s">
        <v>593</v>
      </c>
      <c r="D445" s="627" t="s">
        <v>158</v>
      </c>
      <c r="E445" s="647">
        <v>1</v>
      </c>
      <c r="F445" s="629" t="s">
        <v>915</v>
      </c>
      <c r="G445" s="208" t="s">
        <v>945</v>
      </c>
      <c r="H445" s="283"/>
      <c r="I445" s="304"/>
    </row>
    <row r="446" spans="2:9" x14ac:dyDescent="0.35">
      <c r="B446" s="166"/>
      <c r="C446" s="166"/>
      <c r="D446" s="166"/>
      <c r="E446" s="166"/>
      <c r="F446" s="166"/>
      <c r="G446" s="166"/>
    </row>
    <row r="447" spans="2:9" x14ac:dyDescent="0.35">
      <c r="B447" s="166"/>
      <c r="C447" s="166"/>
      <c r="D447" s="166"/>
      <c r="E447" s="166"/>
      <c r="F447" s="166"/>
      <c r="G447" s="166"/>
    </row>
    <row r="448" spans="2:9" x14ac:dyDescent="0.35">
      <c r="B448" s="166"/>
      <c r="C448" s="670" t="s">
        <v>946</v>
      </c>
      <c r="D448" s="209"/>
      <c r="E448" s="210"/>
      <c r="F448" s="211"/>
      <c r="G448" s="209"/>
    </row>
    <row r="449" spans="2:7" x14ac:dyDescent="0.35">
      <c r="B449" s="166"/>
      <c r="C449" s="677" t="s">
        <v>129</v>
      </c>
      <c r="D449" s="678" t="s">
        <v>947</v>
      </c>
      <c r="E449" s="679" t="s">
        <v>948</v>
      </c>
      <c r="F449" s="680" t="s">
        <v>396</v>
      </c>
      <c r="G449" s="678" t="s">
        <v>56</v>
      </c>
    </row>
    <row r="450" spans="2:7" x14ac:dyDescent="0.35">
      <c r="B450" s="166"/>
      <c r="C450" s="626" t="s">
        <v>91</v>
      </c>
      <c r="D450" s="627">
        <v>80</v>
      </c>
      <c r="E450" s="646">
        <v>0.75</v>
      </c>
      <c r="F450" s="629" t="s">
        <v>915</v>
      </c>
      <c r="G450" s="208" t="s">
        <v>949</v>
      </c>
    </row>
    <row r="451" spans="2:7" x14ac:dyDescent="0.35">
      <c r="B451" s="166"/>
      <c r="C451" s="626" t="s">
        <v>93</v>
      </c>
      <c r="D451" s="627">
        <v>80</v>
      </c>
      <c r="E451" s="646">
        <v>0.75</v>
      </c>
      <c r="F451" s="629" t="s">
        <v>915</v>
      </c>
      <c r="G451" s="208" t="s">
        <v>949</v>
      </c>
    </row>
    <row r="452" spans="2:7" x14ac:dyDescent="0.35">
      <c r="B452" s="166"/>
      <c r="C452" s="626" t="s">
        <v>95</v>
      </c>
      <c r="D452" s="627">
        <v>80</v>
      </c>
      <c r="E452" s="646">
        <v>0.75</v>
      </c>
      <c r="F452" s="629" t="s">
        <v>915</v>
      </c>
      <c r="G452" s="208" t="s">
        <v>949</v>
      </c>
    </row>
    <row r="453" spans="2:7" x14ac:dyDescent="0.35">
      <c r="B453" s="166"/>
      <c r="C453" s="626" t="s">
        <v>134</v>
      </c>
      <c r="D453" s="627">
        <v>80</v>
      </c>
      <c r="E453" s="646">
        <v>0.75</v>
      </c>
      <c r="F453" s="629" t="s">
        <v>915</v>
      </c>
      <c r="G453" s="208" t="s">
        <v>949</v>
      </c>
    </row>
    <row r="454" spans="2:7" x14ac:dyDescent="0.35">
      <c r="B454" s="166"/>
      <c r="C454" s="626" t="s">
        <v>585</v>
      </c>
      <c r="D454" s="627">
        <v>80</v>
      </c>
      <c r="E454" s="646">
        <v>0.75</v>
      </c>
      <c r="F454" s="629" t="s">
        <v>915</v>
      </c>
      <c r="G454" s="208" t="s">
        <v>949</v>
      </c>
    </row>
    <row r="455" spans="2:7" x14ac:dyDescent="0.35">
      <c r="B455" s="166"/>
      <c r="C455" s="626" t="s">
        <v>587</v>
      </c>
      <c r="D455" s="627">
        <v>80</v>
      </c>
      <c r="E455" s="646">
        <v>0.75</v>
      </c>
      <c r="F455" s="629" t="s">
        <v>915</v>
      </c>
      <c r="G455" s="208" t="s">
        <v>949</v>
      </c>
    </row>
    <row r="456" spans="2:7" x14ac:dyDescent="0.35">
      <c r="B456" s="166"/>
      <c r="C456" s="626" t="s">
        <v>140</v>
      </c>
      <c r="D456" s="627">
        <v>80</v>
      </c>
      <c r="E456" s="646">
        <v>0.75</v>
      </c>
      <c r="F456" s="629" t="s">
        <v>915</v>
      </c>
      <c r="G456" s="208" t="s">
        <v>949</v>
      </c>
    </row>
    <row r="457" spans="2:7" x14ac:dyDescent="0.35">
      <c r="B457" s="166"/>
      <c r="C457" s="626" t="s">
        <v>142</v>
      </c>
      <c r="D457" s="627">
        <v>0</v>
      </c>
      <c r="E457" s="646">
        <v>0.7</v>
      </c>
      <c r="F457" s="629" t="s">
        <v>915</v>
      </c>
      <c r="G457" s="208" t="s">
        <v>950</v>
      </c>
    </row>
    <row r="458" spans="2:7" x14ac:dyDescent="0.35">
      <c r="B458" s="166"/>
      <c r="C458" s="626" t="s">
        <v>102</v>
      </c>
      <c r="D458" s="627">
        <v>0</v>
      </c>
      <c r="E458" s="646">
        <v>1</v>
      </c>
      <c r="F458" s="629" t="s">
        <v>915</v>
      </c>
      <c r="G458" s="208" t="s">
        <v>951</v>
      </c>
    </row>
    <row r="459" spans="2:7" x14ac:dyDescent="0.35">
      <c r="B459" s="166"/>
      <c r="C459" s="626" t="s">
        <v>144</v>
      </c>
      <c r="D459" s="627">
        <v>0</v>
      </c>
      <c r="E459" s="646">
        <v>1</v>
      </c>
      <c r="F459" s="629" t="s">
        <v>915</v>
      </c>
      <c r="G459" s="208" t="s">
        <v>952</v>
      </c>
    </row>
    <row r="460" spans="2:7" x14ac:dyDescent="0.35">
      <c r="B460" s="166"/>
      <c r="C460" s="626" t="s">
        <v>593</v>
      </c>
      <c r="D460" s="627">
        <v>0</v>
      </c>
      <c r="E460" s="646">
        <v>1</v>
      </c>
      <c r="F460" s="629" t="s">
        <v>915</v>
      </c>
      <c r="G460" s="208" t="s">
        <v>953</v>
      </c>
    </row>
    <row r="461" spans="2:7" x14ac:dyDescent="0.35">
      <c r="B461" s="166"/>
      <c r="C461" s="329"/>
      <c r="D461" s="329"/>
      <c r="E461" s="329"/>
      <c r="F461" s="329"/>
      <c r="G461" s="329"/>
    </row>
    <row r="462" spans="2:7" x14ac:dyDescent="0.35">
      <c r="B462" s="166"/>
      <c r="C462" s="329"/>
      <c r="D462" s="329"/>
      <c r="E462" s="329"/>
      <c r="F462" s="329"/>
      <c r="G462" s="329"/>
    </row>
    <row r="463" spans="2:7" x14ac:dyDescent="0.35">
      <c r="B463" s="166"/>
      <c r="C463" s="670" t="s">
        <v>954</v>
      </c>
      <c r="D463" s="209"/>
      <c r="E463" s="210"/>
      <c r="F463" s="211"/>
      <c r="G463" s="209"/>
    </row>
    <row r="464" spans="2:7" x14ac:dyDescent="0.35">
      <c r="B464" s="166"/>
      <c r="C464" s="677" t="s">
        <v>129</v>
      </c>
      <c r="D464" s="678" t="s">
        <v>147</v>
      </c>
      <c r="E464" s="679" t="s">
        <v>955</v>
      </c>
      <c r="F464" s="680" t="s">
        <v>396</v>
      </c>
      <c r="G464" s="678" t="s">
        <v>56</v>
      </c>
    </row>
    <row r="465" spans="2:16" x14ac:dyDescent="0.35">
      <c r="B465" s="166"/>
      <c r="C465" s="626" t="s">
        <v>91</v>
      </c>
      <c r="D465" s="627" t="s">
        <v>158</v>
      </c>
      <c r="E465" s="647">
        <v>1</v>
      </c>
      <c r="F465" s="629" t="s">
        <v>915</v>
      </c>
      <c r="G465" s="208" t="s">
        <v>956</v>
      </c>
    </row>
    <row r="466" spans="2:16" x14ac:dyDescent="0.35">
      <c r="B466" s="166"/>
      <c r="C466" s="626" t="s">
        <v>93</v>
      </c>
      <c r="D466" s="627" t="s">
        <v>158</v>
      </c>
      <c r="E466" s="647">
        <v>0.8</v>
      </c>
      <c r="F466" s="629" t="s">
        <v>915</v>
      </c>
      <c r="G466" s="208" t="s">
        <v>957</v>
      </c>
    </row>
    <row r="467" spans="2:16" x14ac:dyDescent="0.35">
      <c r="B467" s="166"/>
      <c r="C467" s="626" t="s">
        <v>95</v>
      </c>
      <c r="D467" s="627" t="s">
        <v>158</v>
      </c>
      <c r="E467" s="647">
        <v>0.9</v>
      </c>
      <c r="F467" s="629" t="s">
        <v>915</v>
      </c>
      <c r="G467" s="208" t="s">
        <v>958</v>
      </c>
    </row>
    <row r="468" spans="2:16" x14ac:dyDescent="0.35">
      <c r="B468" s="166"/>
      <c r="C468" s="626" t="s">
        <v>134</v>
      </c>
      <c r="D468" s="627" t="s">
        <v>158</v>
      </c>
      <c r="E468" s="647">
        <v>1</v>
      </c>
      <c r="F468" s="629" t="s">
        <v>915</v>
      </c>
      <c r="G468" s="208" t="s">
        <v>956</v>
      </c>
    </row>
    <row r="469" spans="2:16" x14ac:dyDescent="0.35">
      <c r="B469" s="166"/>
      <c r="C469" s="626" t="s">
        <v>585</v>
      </c>
      <c r="D469" s="627" t="s">
        <v>158</v>
      </c>
      <c r="E469" s="647">
        <v>0.8</v>
      </c>
      <c r="F469" s="629" t="s">
        <v>915</v>
      </c>
      <c r="G469" s="208" t="s">
        <v>957</v>
      </c>
    </row>
    <row r="470" spans="2:16" x14ac:dyDescent="0.35">
      <c r="B470" s="166"/>
      <c r="C470" s="626" t="s">
        <v>587</v>
      </c>
      <c r="D470" s="627" t="s">
        <v>158</v>
      </c>
      <c r="E470" s="647">
        <v>0.6</v>
      </c>
      <c r="F470" s="629" t="s">
        <v>915</v>
      </c>
      <c r="G470" s="208" t="s">
        <v>959</v>
      </c>
    </row>
    <row r="471" spans="2:16" x14ac:dyDescent="0.35">
      <c r="B471" s="166"/>
      <c r="C471" s="626" t="s">
        <v>140</v>
      </c>
      <c r="D471" s="627" t="s">
        <v>158</v>
      </c>
      <c r="E471" s="647">
        <v>0.8</v>
      </c>
      <c r="F471" s="629" t="s">
        <v>915</v>
      </c>
      <c r="G471" s="208" t="s">
        <v>957</v>
      </c>
    </row>
    <row r="472" spans="2:16" x14ac:dyDescent="0.35">
      <c r="B472" s="166"/>
      <c r="C472" s="626" t="s">
        <v>142</v>
      </c>
      <c r="D472" s="627" t="s">
        <v>158</v>
      </c>
      <c r="E472" s="647">
        <v>0.5</v>
      </c>
      <c r="F472" s="629" t="s">
        <v>915</v>
      </c>
      <c r="G472" s="208" t="s">
        <v>960</v>
      </c>
    </row>
    <row r="473" spans="2:16" x14ac:dyDescent="0.35">
      <c r="B473" s="166"/>
      <c r="C473" s="626" t="s">
        <v>102</v>
      </c>
      <c r="D473" s="627" t="s">
        <v>158</v>
      </c>
      <c r="E473" s="647">
        <v>0</v>
      </c>
      <c r="F473" s="629" t="s">
        <v>915</v>
      </c>
      <c r="G473" s="208" t="s">
        <v>961</v>
      </c>
    </row>
    <row r="474" spans="2:16" x14ac:dyDescent="0.35">
      <c r="B474" s="166"/>
      <c r="C474" s="626" t="s">
        <v>144</v>
      </c>
      <c r="D474" s="627" t="s">
        <v>158</v>
      </c>
      <c r="E474" s="647">
        <v>1</v>
      </c>
      <c r="F474" s="629" t="s">
        <v>915</v>
      </c>
      <c r="G474" s="208" t="s">
        <v>956</v>
      </c>
    </row>
    <row r="475" spans="2:16" x14ac:dyDescent="0.35">
      <c r="B475" s="166"/>
      <c r="C475" s="283"/>
      <c r="D475" s="658"/>
      <c r="E475" s="659"/>
      <c r="F475" s="304"/>
      <c r="G475" s="658"/>
    </row>
    <row r="476" spans="2:16" x14ac:dyDescent="0.35">
      <c r="B476" s="166"/>
      <c r="C476" s="283"/>
      <c r="D476" s="658"/>
      <c r="E476" s="659"/>
      <c r="F476" s="304"/>
      <c r="G476" s="658"/>
    </row>
    <row r="477" spans="2:16" x14ac:dyDescent="0.35">
      <c r="B477" s="166"/>
      <c r="C477" s="670" t="s">
        <v>962</v>
      </c>
      <c r="D477" s="209"/>
      <c r="E477" s="210"/>
      <c r="F477" s="211"/>
      <c r="G477" s="209"/>
    </row>
    <row r="478" spans="2:16" x14ac:dyDescent="0.35">
      <c r="B478" s="166"/>
      <c r="C478" s="681" t="s">
        <v>963</v>
      </c>
      <c r="D478" s="658"/>
      <c r="E478" s="659"/>
      <c r="F478" s="304"/>
      <c r="G478" s="658"/>
    </row>
    <row r="479" spans="2:16" x14ac:dyDescent="0.35">
      <c r="B479" s="166"/>
      <c r="C479" s="166"/>
      <c r="D479" s="166"/>
      <c r="E479" s="166"/>
      <c r="F479" s="166"/>
      <c r="G479" s="166"/>
    </row>
    <row r="480" spans="2:16" x14ac:dyDescent="0.35">
      <c r="B480" s="166"/>
      <c r="C480" s="677" t="s">
        <v>395</v>
      </c>
      <c r="D480" s="678" t="s">
        <v>147</v>
      </c>
      <c r="E480" s="679" t="s">
        <v>39</v>
      </c>
      <c r="F480" s="680" t="s">
        <v>396</v>
      </c>
      <c r="G480" s="678" t="s">
        <v>56</v>
      </c>
      <c r="H480" s="329"/>
      <c r="I480" s="329"/>
      <c r="J480" s="329"/>
      <c r="K480" s="329"/>
      <c r="L480" s="329"/>
      <c r="M480" s="329"/>
      <c r="N480" s="329"/>
      <c r="O480" s="329"/>
      <c r="P480" s="329"/>
    </row>
    <row r="481" spans="2:16" x14ac:dyDescent="0.35">
      <c r="B481" s="166"/>
      <c r="C481" s="283"/>
      <c r="D481" s="658"/>
      <c r="E481" s="659"/>
      <c r="F481" s="304"/>
      <c r="G481" s="658"/>
      <c r="H481" s="329"/>
      <c r="I481" s="329"/>
      <c r="J481" s="329"/>
      <c r="K481" s="329"/>
      <c r="L481" s="329"/>
      <c r="M481" s="329"/>
      <c r="N481" s="329"/>
      <c r="O481" s="329"/>
      <c r="P481" s="329"/>
    </row>
    <row r="482" spans="2:16" x14ac:dyDescent="0.35">
      <c r="B482" s="166"/>
      <c r="C482" s="626" t="s">
        <v>964</v>
      </c>
      <c r="D482" s="627" t="s">
        <v>965</v>
      </c>
      <c r="E482" s="647">
        <v>0.25</v>
      </c>
      <c r="F482" s="629" t="s">
        <v>966</v>
      </c>
      <c r="G482" s="208" t="s">
        <v>967</v>
      </c>
      <c r="H482" s="329"/>
      <c r="I482" s="329"/>
      <c r="J482" s="329"/>
      <c r="K482" s="329"/>
      <c r="L482" s="329"/>
      <c r="M482" s="329"/>
      <c r="N482" s="329"/>
      <c r="O482" s="329"/>
      <c r="P482" s="329"/>
    </row>
    <row r="483" spans="2:16" x14ac:dyDescent="0.35">
      <c r="B483" s="166"/>
      <c r="C483" s="283"/>
      <c r="D483" s="658"/>
      <c r="E483" s="659"/>
      <c r="F483" s="304"/>
      <c r="G483" s="658"/>
      <c r="H483" s="329"/>
      <c r="I483" s="329"/>
      <c r="J483" s="329"/>
      <c r="K483" s="329"/>
      <c r="L483" s="329"/>
      <c r="M483" s="329"/>
      <c r="N483" s="329"/>
      <c r="O483" s="329"/>
      <c r="P483" s="329"/>
    </row>
    <row r="484" spans="2:16" x14ac:dyDescent="0.35">
      <c r="B484" s="166"/>
      <c r="C484" s="283"/>
      <c r="D484" s="658"/>
      <c r="E484" s="659"/>
      <c r="F484" s="304"/>
      <c r="G484" s="658"/>
      <c r="H484" s="329"/>
      <c r="I484" s="329"/>
      <c r="J484" s="329"/>
      <c r="K484" s="329"/>
      <c r="L484" s="329"/>
      <c r="M484" s="329"/>
      <c r="N484" s="329"/>
      <c r="O484" s="329"/>
      <c r="P484" s="329"/>
    </row>
    <row r="485" spans="2:16" x14ac:dyDescent="0.35">
      <c r="B485" s="166"/>
      <c r="C485" s="670" t="s">
        <v>968</v>
      </c>
      <c r="D485" s="209"/>
      <c r="E485" s="210"/>
      <c r="F485" s="211"/>
      <c r="G485" s="209"/>
      <c r="H485" s="329"/>
      <c r="I485" s="329"/>
      <c r="J485" s="329"/>
      <c r="K485" s="329"/>
      <c r="L485" s="329"/>
      <c r="M485" s="329"/>
      <c r="N485" s="329"/>
      <c r="O485" s="329"/>
      <c r="P485" s="329"/>
    </row>
    <row r="486" spans="2:16" x14ac:dyDescent="0.35">
      <c r="B486" s="166"/>
      <c r="C486" s="283" t="s">
        <v>969</v>
      </c>
      <c r="D486" s="658"/>
      <c r="E486" s="659"/>
      <c r="F486" s="304"/>
      <c r="G486" s="658"/>
      <c r="H486" s="329"/>
      <c r="I486" s="329"/>
      <c r="J486" s="329"/>
      <c r="K486" s="329"/>
      <c r="L486" s="329"/>
      <c r="M486" s="329"/>
      <c r="N486" s="329"/>
      <c r="O486" s="329"/>
      <c r="P486" s="329"/>
    </row>
    <row r="487" spans="2:16" x14ac:dyDescent="0.35">
      <c r="B487" s="166"/>
      <c r="C487" s="329"/>
      <c r="D487" s="329"/>
      <c r="E487" s="329"/>
      <c r="F487" s="329"/>
      <c r="G487" s="329"/>
      <c r="H487" s="329"/>
      <c r="I487" s="329"/>
      <c r="J487" s="329"/>
      <c r="K487" s="329"/>
      <c r="L487" s="329"/>
      <c r="M487" s="329"/>
      <c r="N487" s="329"/>
      <c r="O487" s="329"/>
      <c r="P487" s="329"/>
    </row>
    <row r="488" spans="2:16" x14ac:dyDescent="0.35">
      <c r="B488" s="166"/>
      <c r="C488" s="39" t="s">
        <v>395</v>
      </c>
      <c r="D488" s="682" t="s">
        <v>147</v>
      </c>
      <c r="E488" s="683" t="s">
        <v>39</v>
      </c>
      <c r="F488" s="684" t="s">
        <v>396</v>
      </c>
      <c r="G488" s="682" t="s">
        <v>56</v>
      </c>
      <c r="H488" s="329"/>
      <c r="I488" s="329"/>
      <c r="J488" s="329"/>
      <c r="K488" s="329"/>
      <c r="L488" s="329"/>
    </row>
    <row r="489" spans="2:16" x14ac:dyDescent="0.35">
      <c r="B489" s="166"/>
      <c r="C489" s="671"/>
      <c r="D489" s="672"/>
      <c r="E489" s="673"/>
      <c r="F489" s="674"/>
      <c r="G489" s="672"/>
      <c r="H489" s="329"/>
      <c r="I489" s="329"/>
      <c r="J489" s="329"/>
      <c r="K489" s="329"/>
      <c r="L489" s="329"/>
    </row>
    <row r="490" spans="2:16" x14ac:dyDescent="0.35">
      <c r="B490" s="166"/>
      <c r="C490" s="626" t="s">
        <v>970</v>
      </c>
      <c r="D490" s="627" t="s">
        <v>173</v>
      </c>
      <c r="E490" s="685">
        <v>160000</v>
      </c>
      <c r="F490" s="629" t="s">
        <v>966</v>
      </c>
      <c r="G490" s="208" t="s">
        <v>971</v>
      </c>
      <c r="H490" s="329"/>
      <c r="I490" s="329"/>
      <c r="J490" s="329"/>
      <c r="K490" s="329"/>
      <c r="L490" s="329"/>
    </row>
    <row r="491" spans="2:16" x14ac:dyDescent="0.35">
      <c r="B491" s="166"/>
      <c r="C491" s="626" t="s">
        <v>972</v>
      </c>
      <c r="D491" s="627" t="s">
        <v>158</v>
      </c>
      <c r="E491" s="654">
        <v>0.2</v>
      </c>
      <c r="F491" s="629" t="s">
        <v>966</v>
      </c>
      <c r="G491" s="208" t="s">
        <v>973</v>
      </c>
      <c r="H491" s="329"/>
      <c r="I491" s="329"/>
      <c r="J491" s="329"/>
      <c r="K491" s="329"/>
      <c r="L491" s="329"/>
    </row>
    <row r="492" spans="2:16" x14ac:dyDescent="0.35">
      <c r="B492" s="166"/>
      <c r="C492" s="626" t="s">
        <v>974</v>
      </c>
      <c r="D492" s="627" t="s">
        <v>158</v>
      </c>
      <c r="E492" s="654">
        <v>0.25</v>
      </c>
      <c r="F492" s="629" t="s">
        <v>966</v>
      </c>
      <c r="G492" s="208" t="s">
        <v>975</v>
      </c>
      <c r="H492" s="329"/>
      <c r="I492" s="329"/>
      <c r="J492" s="329"/>
      <c r="K492" s="329"/>
      <c r="L492" s="329"/>
    </row>
    <row r="493" spans="2:16" x14ac:dyDescent="0.35">
      <c r="B493" s="166"/>
      <c r="C493" s="626" t="s">
        <v>976</v>
      </c>
      <c r="D493" s="627" t="s">
        <v>977</v>
      </c>
      <c r="E493" s="686">
        <v>3.5</v>
      </c>
      <c r="F493" s="629" t="s">
        <v>978</v>
      </c>
      <c r="G493" s="208" t="s">
        <v>979</v>
      </c>
      <c r="H493" s="329"/>
      <c r="I493" s="329"/>
      <c r="J493" s="329"/>
      <c r="K493" s="329"/>
      <c r="L493" s="329"/>
    </row>
    <row r="494" spans="2:16" x14ac:dyDescent="0.35">
      <c r="B494" s="166"/>
      <c r="C494" s="626" t="s">
        <v>980</v>
      </c>
      <c r="D494" s="627" t="s">
        <v>981</v>
      </c>
      <c r="E494" s="687">
        <v>6</v>
      </c>
      <c r="F494" s="629" t="s">
        <v>978</v>
      </c>
      <c r="G494" s="208" t="s">
        <v>982</v>
      </c>
      <c r="H494" s="329"/>
      <c r="I494" s="329"/>
      <c r="J494" s="329"/>
      <c r="K494" s="329"/>
      <c r="L494" s="329"/>
    </row>
    <row r="495" spans="2:16" x14ac:dyDescent="0.35">
      <c r="B495" s="166"/>
      <c r="C495" s="626" t="s">
        <v>983</v>
      </c>
      <c r="D495" s="627" t="s">
        <v>173</v>
      </c>
      <c r="E495" s="688"/>
      <c r="F495" s="629"/>
      <c r="G495" s="208" t="s">
        <v>984</v>
      </c>
      <c r="H495" s="329"/>
      <c r="I495" s="329"/>
      <c r="J495" s="329"/>
      <c r="K495" s="329"/>
      <c r="L495" s="329"/>
    </row>
    <row r="496" spans="2:16" x14ac:dyDescent="0.35">
      <c r="B496" s="166"/>
      <c r="C496" s="671"/>
      <c r="D496" s="672"/>
      <c r="E496" s="673"/>
      <c r="F496" s="674"/>
      <c r="G496" s="672"/>
      <c r="H496" s="329"/>
      <c r="I496" s="329"/>
      <c r="J496" s="329"/>
      <c r="K496" s="329"/>
      <c r="L496" s="329"/>
    </row>
    <row r="497" spans="1:24" x14ac:dyDescent="0.35">
      <c r="B497" s="166"/>
      <c r="C497" s="689" t="s">
        <v>985</v>
      </c>
      <c r="D497" s="672"/>
      <c r="E497" s="673"/>
      <c r="F497" s="674"/>
      <c r="G497" s="672"/>
      <c r="H497" s="329"/>
      <c r="I497" s="329"/>
      <c r="J497" s="329"/>
      <c r="K497" s="329"/>
      <c r="L497" s="329"/>
    </row>
    <row r="498" spans="1:24" x14ac:dyDescent="0.35">
      <c r="B498" s="166"/>
      <c r="C498" s="690" t="s">
        <v>986</v>
      </c>
      <c r="D498" s="672"/>
      <c r="E498" s="673"/>
      <c r="F498" s="674"/>
      <c r="G498" s="672"/>
      <c r="H498" s="329"/>
      <c r="I498" s="329"/>
      <c r="J498" s="329"/>
      <c r="K498" s="329"/>
      <c r="L498" s="329"/>
    </row>
    <row r="499" spans="1:24" x14ac:dyDescent="0.35">
      <c r="B499" s="166"/>
      <c r="C499" s="690" t="s">
        <v>987</v>
      </c>
      <c r="D499" s="672"/>
      <c r="E499" s="673"/>
      <c r="F499" s="674"/>
      <c r="G499" s="672"/>
      <c r="H499" s="329"/>
      <c r="I499" s="329"/>
      <c r="J499" s="329"/>
      <c r="K499" s="329"/>
      <c r="L499" s="329"/>
    </row>
    <row r="500" spans="1:24" x14ac:dyDescent="0.35">
      <c r="B500" s="166"/>
      <c r="C500" s="671"/>
      <c r="D500" s="672"/>
      <c r="E500" s="673"/>
      <c r="F500" s="674"/>
      <c r="G500" s="672"/>
      <c r="H500" s="329"/>
      <c r="I500" s="329"/>
      <c r="J500" s="329"/>
      <c r="K500" s="329"/>
      <c r="L500" s="329"/>
    </row>
    <row r="501" spans="1:24" x14ac:dyDescent="0.35">
      <c r="C501" s="212" t="s">
        <v>988</v>
      </c>
      <c r="D501" s="209"/>
      <c r="E501" s="210"/>
      <c r="F501" s="211"/>
      <c r="G501" s="209"/>
      <c r="H501" s="209"/>
      <c r="I501" s="209"/>
      <c r="J501" s="209"/>
      <c r="K501" s="209"/>
      <c r="L501" s="209"/>
      <c r="M501" s="209"/>
      <c r="N501" s="209"/>
      <c r="O501" s="209"/>
      <c r="P501" s="209"/>
    </row>
    <row r="502" spans="1:24" x14ac:dyDescent="0.35">
      <c r="C502" s="329"/>
      <c r="D502" s="329"/>
      <c r="E502" s="329"/>
      <c r="F502" s="329"/>
      <c r="G502" s="329"/>
      <c r="H502" s="329"/>
      <c r="I502" s="329"/>
      <c r="J502" s="329"/>
      <c r="K502" s="329"/>
      <c r="L502" s="329"/>
    </row>
    <row r="503" spans="1:24" x14ac:dyDescent="0.35">
      <c r="A503" s="554"/>
      <c r="B503" s="554"/>
      <c r="C503" s="554"/>
      <c r="D503" s="565"/>
      <c r="E503" s="554"/>
      <c r="F503" s="554"/>
      <c r="G503" s="586"/>
      <c r="H503" s="554"/>
      <c r="I503" s="554"/>
      <c r="J503" s="554"/>
      <c r="K503" s="554"/>
      <c r="L503" s="554"/>
      <c r="M503" s="554"/>
      <c r="N503" s="554"/>
      <c r="O503" s="554"/>
      <c r="P503" s="554"/>
      <c r="Q503" s="554"/>
      <c r="R503" s="554"/>
      <c r="S503" s="554"/>
      <c r="T503" s="554"/>
      <c r="U503" s="554"/>
      <c r="V503" s="554"/>
      <c r="W503" s="554"/>
      <c r="X503" s="554"/>
    </row>
    <row r="504" spans="1:24" x14ac:dyDescent="0.35">
      <c r="A504" s="554"/>
      <c r="B504" s="554"/>
      <c r="C504" s="569" t="s">
        <v>38</v>
      </c>
      <c r="D504" s="583" t="s">
        <v>147</v>
      </c>
      <c r="E504" s="571" t="s">
        <v>24</v>
      </c>
      <c r="F504" s="572" t="s">
        <v>25</v>
      </c>
      <c r="G504" s="572" t="s">
        <v>26</v>
      </c>
      <c r="H504" s="572" t="s">
        <v>27</v>
      </c>
      <c r="I504" s="572" t="s">
        <v>28</v>
      </c>
      <c r="J504" s="572" t="s">
        <v>29</v>
      </c>
      <c r="K504" s="572" t="s">
        <v>30</v>
      </c>
      <c r="L504" s="572" t="s">
        <v>31</v>
      </c>
      <c r="M504" s="572" t="s">
        <v>32</v>
      </c>
      <c r="N504" s="572" t="s">
        <v>33</v>
      </c>
      <c r="O504" s="572" t="s">
        <v>34</v>
      </c>
      <c r="P504" s="572" t="s">
        <v>35</v>
      </c>
      <c r="Q504" s="554"/>
      <c r="R504" s="554"/>
      <c r="S504" s="554"/>
      <c r="T504" s="554"/>
      <c r="U504" s="554"/>
      <c r="V504" s="554"/>
      <c r="W504" s="554"/>
      <c r="X504" s="554"/>
    </row>
    <row r="505" spans="1:24" x14ac:dyDescent="0.35">
      <c r="A505" s="554"/>
      <c r="B505" s="554"/>
      <c r="C505" s="555"/>
      <c r="D505" s="566"/>
      <c r="E505" s="556"/>
      <c r="F505" s="557"/>
      <c r="G505" s="557"/>
      <c r="H505" s="557"/>
      <c r="I505" s="557"/>
      <c r="J505" s="557"/>
      <c r="K505" s="557"/>
      <c r="L505" s="557"/>
      <c r="M505" s="557"/>
      <c r="N505" s="557"/>
      <c r="O505" s="557"/>
      <c r="P505" s="557"/>
      <c r="Q505" s="554"/>
      <c r="R505" s="554"/>
      <c r="S505" s="554"/>
      <c r="T505" s="554"/>
      <c r="U505" s="554"/>
      <c r="V505" s="554"/>
      <c r="W505" s="554"/>
      <c r="X505" s="554"/>
    </row>
    <row r="506" spans="1:24" x14ac:dyDescent="0.35">
      <c r="A506" s="554"/>
      <c r="B506" s="554"/>
      <c r="C506" s="555" t="s">
        <v>989</v>
      </c>
      <c r="D506" s="566" t="s">
        <v>173</v>
      </c>
      <c r="E506" s="575">
        <f>'P&amp;L'!H14</f>
        <v>0</v>
      </c>
      <c r="F506" s="581">
        <f>'P&amp;L'!I14</f>
        <v>0</v>
      </c>
      <c r="G506" s="581">
        <f>'P&amp;L'!J14</f>
        <v>0</v>
      </c>
      <c r="H506" s="581">
        <f>'P&amp;L'!K14</f>
        <v>5428852.4531500004</v>
      </c>
      <c r="I506" s="581">
        <f>'P&amp;L'!L14</f>
        <v>5879207.4587852508</v>
      </c>
      <c r="J506" s="581">
        <f>'P&amp;L'!M14</f>
        <v>6281388.4373175018</v>
      </c>
      <c r="K506" s="581">
        <f>'P&amp;L'!N14</f>
        <v>6469770.1904370254</v>
      </c>
      <c r="L506" s="581">
        <f>'P&amp;L'!O14</f>
        <v>6663803.3661501352</v>
      </c>
      <c r="M506" s="581">
        <f>'P&amp;L'!P14</f>
        <v>6863657.5071346397</v>
      </c>
      <c r="N506" s="581">
        <f>'P&amp;L'!Q14</f>
        <v>7069507.2423486803</v>
      </c>
      <c r="O506" s="581">
        <f>'P&amp;L'!R14</f>
        <v>7281532.4396191388</v>
      </c>
      <c r="P506" s="581">
        <f>'P&amp;L'!S14</f>
        <v>7499918.3628077153</v>
      </c>
      <c r="Q506" s="554"/>
      <c r="R506" s="554"/>
      <c r="S506" s="554"/>
      <c r="T506" s="554"/>
      <c r="U506" s="554"/>
      <c r="V506" s="554"/>
      <c r="W506" s="554"/>
      <c r="X506" s="554"/>
    </row>
    <row r="507" spans="1:24" x14ac:dyDescent="0.35">
      <c r="A507" s="554"/>
      <c r="B507" s="554"/>
      <c r="C507" s="555" t="s">
        <v>990</v>
      </c>
      <c r="D507" s="566" t="s">
        <v>150</v>
      </c>
      <c r="E507" s="576">
        <f>0</f>
        <v>0</v>
      </c>
      <c r="F507" s="582">
        <f>0</f>
        <v>0</v>
      </c>
      <c r="G507" s="582">
        <f>0</f>
        <v>0</v>
      </c>
      <c r="H507" s="582">
        <f>'Calendar Assumptions'!F16</f>
        <v>161.1</v>
      </c>
      <c r="I507" s="582">
        <f>'Calendar Assumptions'!G16</f>
        <v>164.52000000000004</v>
      </c>
      <c r="J507" s="582">
        <f>'Calendar Assumptions'!H16</f>
        <v>167.94000000000005</v>
      </c>
      <c r="K507" s="582">
        <f>'Calendar Assumptions'!I16</f>
        <v>180</v>
      </c>
      <c r="L507" s="582">
        <f>'Calendar Assumptions'!J16</f>
        <v>180</v>
      </c>
      <c r="M507" s="582">
        <f>'Calendar Assumptions'!K16</f>
        <v>180</v>
      </c>
      <c r="N507" s="582">
        <f>'Calendar Assumptions'!L16</f>
        <v>180</v>
      </c>
      <c r="O507" s="582">
        <f>'Calendar Assumptions'!M16</f>
        <v>180</v>
      </c>
      <c r="P507" s="582">
        <f>'Calendar Assumptions'!N16</f>
        <v>180</v>
      </c>
      <c r="Q507" s="554"/>
      <c r="R507" s="554"/>
      <c r="S507" s="554"/>
      <c r="T507" s="554"/>
      <c r="U507" s="554"/>
      <c r="V507" s="554"/>
      <c r="W507" s="554"/>
      <c r="X507" s="554"/>
    </row>
    <row r="508" spans="1:24" x14ac:dyDescent="0.35">
      <c r="A508" s="554"/>
      <c r="B508" s="554"/>
      <c r="C508" s="555" t="s">
        <v>991</v>
      </c>
      <c r="D508" s="566" t="s">
        <v>173</v>
      </c>
      <c r="E508" s="575">
        <f t="shared" ref="E508:L508" si="1">IF(E507=0,0,E506/E507)</f>
        <v>0</v>
      </c>
      <c r="F508" s="581">
        <f t="shared" si="1"/>
        <v>0</v>
      </c>
      <c r="G508" s="581">
        <f t="shared" si="1"/>
        <v>0</v>
      </c>
      <c r="H508" s="581">
        <f t="shared" si="1"/>
        <v>33698.649616076975</v>
      </c>
      <c r="I508" s="581">
        <f t="shared" si="1"/>
        <v>35735.518227481458</v>
      </c>
      <c r="J508" s="581">
        <f t="shared" si="1"/>
        <v>37402.574951277238</v>
      </c>
      <c r="K508" s="581">
        <f t="shared" si="1"/>
        <v>35943.167724650142</v>
      </c>
      <c r="L508" s="581">
        <f t="shared" si="1"/>
        <v>37021.129811945197</v>
      </c>
      <c r="M508" s="581">
        <f>IF(M507=0,0,M506/M507)</f>
        <v>38131.43059519244</v>
      </c>
      <c r="N508" s="581">
        <f>IF(N507=0,0,N506/N507)</f>
        <v>39275.040235270448</v>
      </c>
      <c r="O508" s="581">
        <f>IF(O507=0,0,O506/O507)</f>
        <v>40452.957997884107</v>
      </c>
      <c r="P508" s="581">
        <f>IF(P507=0,0,P506/P507)</f>
        <v>41666.213126709532</v>
      </c>
      <c r="Q508" s="554"/>
      <c r="R508" s="554"/>
      <c r="S508" s="554"/>
      <c r="T508" s="554"/>
      <c r="U508" s="554"/>
      <c r="V508" s="554"/>
      <c r="W508" s="554"/>
      <c r="X508" s="554"/>
    </row>
    <row r="509" spans="1:24" x14ac:dyDescent="0.35">
      <c r="A509" s="554"/>
      <c r="B509" s="554"/>
      <c r="C509" s="555" t="s">
        <v>992</v>
      </c>
      <c r="D509" s="566" t="s">
        <v>977</v>
      </c>
      <c r="E509" s="576">
        <f>0</f>
        <v>0</v>
      </c>
      <c r="F509" s="582">
        <f>0</f>
        <v>0</v>
      </c>
      <c r="G509" s="582">
        <f>0</f>
        <v>0</v>
      </c>
      <c r="H509" s="582">
        <f>$E$494</f>
        <v>6</v>
      </c>
      <c r="I509" s="582">
        <f>$E$494*2</f>
        <v>12</v>
      </c>
      <c r="J509" s="582">
        <f>$E$494*3</f>
        <v>18</v>
      </c>
      <c r="K509" s="582">
        <f>$E$494*4</f>
        <v>24</v>
      </c>
      <c r="L509" s="582">
        <f>$E$494*5</f>
        <v>30</v>
      </c>
      <c r="M509" s="582">
        <f>$E$494*6</f>
        <v>36</v>
      </c>
      <c r="N509" s="582">
        <f>$E$494*7</f>
        <v>42</v>
      </c>
      <c r="O509" s="582">
        <f>$E$494*8</f>
        <v>48</v>
      </c>
      <c r="P509" s="582">
        <f>$E$494*9</f>
        <v>54</v>
      </c>
      <c r="Q509" s="554"/>
      <c r="R509" s="554"/>
      <c r="S509" s="554"/>
      <c r="T509" s="554"/>
      <c r="U509" s="554"/>
      <c r="V509" s="554"/>
      <c r="W509" s="554"/>
      <c r="X509" s="554"/>
    </row>
    <row r="510" spans="1:24" x14ac:dyDescent="0.35">
      <c r="A510" s="554"/>
      <c r="B510" s="554"/>
      <c r="C510" s="555" t="s">
        <v>993</v>
      </c>
      <c r="D510" s="566" t="s">
        <v>173</v>
      </c>
      <c r="E510" s="575">
        <f t="shared" ref="E510:L510" si="2">E509*E508</f>
        <v>0</v>
      </c>
      <c r="F510" s="581">
        <f t="shared" si="2"/>
        <v>0</v>
      </c>
      <c r="G510" s="581">
        <f t="shared" si="2"/>
        <v>0</v>
      </c>
      <c r="H510" s="581">
        <f t="shared" si="2"/>
        <v>202191.89769646185</v>
      </c>
      <c r="I510" s="581">
        <f t="shared" si="2"/>
        <v>428826.21872977749</v>
      </c>
      <c r="J510" s="581">
        <f t="shared" si="2"/>
        <v>673246.34912299027</v>
      </c>
      <c r="K510" s="581">
        <f t="shared" si="2"/>
        <v>862636.02539160335</v>
      </c>
      <c r="L510" s="581">
        <f t="shared" si="2"/>
        <v>1110633.894358356</v>
      </c>
      <c r="M510" s="581">
        <f>M509*M508</f>
        <v>1372731.5014269277</v>
      </c>
      <c r="N510" s="581">
        <f>N509*N508</f>
        <v>1649551.6898813588</v>
      </c>
      <c r="O510" s="581">
        <f>O509*O508</f>
        <v>1941741.9838984371</v>
      </c>
      <c r="P510" s="581">
        <f>P509*P508</f>
        <v>2249975.5088423146</v>
      </c>
      <c r="Q510" s="554"/>
      <c r="R510" s="554"/>
      <c r="S510" s="554"/>
      <c r="T510" s="554"/>
      <c r="U510" s="554"/>
      <c r="V510" s="554"/>
      <c r="W510" s="554"/>
      <c r="X510" s="554"/>
    </row>
    <row r="511" spans="1:24" x14ac:dyDescent="0.35">
      <c r="A511" s="554"/>
      <c r="B511" s="554"/>
      <c r="C511" s="555" t="s">
        <v>995</v>
      </c>
      <c r="D511" s="566" t="s">
        <v>173</v>
      </c>
      <c r="E511" s="575">
        <f t="shared" ref="E511:L511" si="3">IF(E510&gt;$E$490,$E$491*MIN(E510,$E$490),0)</f>
        <v>0</v>
      </c>
      <c r="F511" s="581">
        <f t="shared" si="3"/>
        <v>0</v>
      </c>
      <c r="G511" s="581">
        <f t="shared" si="3"/>
        <v>0</v>
      </c>
      <c r="H511" s="581">
        <f t="shared" si="3"/>
        <v>32000</v>
      </c>
      <c r="I511" s="581">
        <f t="shared" si="3"/>
        <v>32000</v>
      </c>
      <c r="J511" s="581">
        <f t="shared" si="3"/>
        <v>32000</v>
      </c>
      <c r="K511" s="581">
        <f t="shared" si="3"/>
        <v>32000</v>
      </c>
      <c r="L511" s="581">
        <f t="shared" si="3"/>
        <v>32000</v>
      </c>
      <c r="M511" s="581">
        <f>IF(M510&gt;$E$490,$E$491*MIN(M510,$E$490),0)</f>
        <v>32000</v>
      </c>
      <c r="N511" s="581">
        <f>IF(N510&gt;$E$490,$E$491*MIN(N510,$E$490),0)</f>
        <v>32000</v>
      </c>
      <c r="O511" s="581">
        <f>IF(O510&gt;$E$490,$E$491*MIN(O510,$E$490),0)</f>
        <v>32000</v>
      </c>
      <c r="P511" s="581">
        <f>IF(P510&gt;$E$490,$E$491*MIN(P510,$E$490),0)</f>
        <v>32000</v>
      </c>
      <c r="Q511" s="554"/>
      <c r="R511" s="554"/>
      <c r="S511" s="554"/>
      <c r="T511" s="554"/>
      <c r="U511" s="554"/>
      <c r="V511" s="554"/>
      <c r="W511" s="554"/>
      <c r="X511" s="554"/>
    </row>
    <row r="512" spans="1:24" x14ac:dyDescent="0.35">
      <c r="A512" s="554"/>
      <c r="B512" s="554"/>
      <c r="C512" s="555" t="s">
        <v>996</v>
      </c>
      <c r="D512" s="566" t="s">
        <v>173</v>
      </c>
      <c r="E512" s="575">
        <f t="shared" ref="E512:L512" si="4">$E$492*MAX(E510-$E$490,0)</f>
        <v>0</v>
      </c>
      <c r="F512" s="581">
        <f t="shared" si="4"/>
        <v>0</v>
      </c>
      <c r="G512" s="581">
        <f t="shared" si="4"/>
        <v>0</v>
      </c>
      <c r="H512" s="581">
        <f t="shared" si="4"/>
        <v>10547.974424115462</v>
      </c>
      <c r="I512" s="581">
        <f t="shared" si="4"/>
        <v>67206.554682444374</v>
      </c>
      <c r="J512" s="581">
        <f t="shared" si="4"/>
        <v>128311.58728074757</v>
      </c>
      <c r="K512" s="581">
        <f t="shared" si="4"/>
        <v>175659.00634790084</v>
      </c>
      <c r="L512" s="581">
        <f t="shared" si="4"/>
        <v>237658.473589589</v>
      </c>
      <c r="M512" s="581">
        <f>$E$492*MAX(M510-$E$490,0)</f>
        <v>303182.87535673194</v>
      </c>
      <c r="N512" s="581">
        <f>$E$492*MAX(N510-$E$490,0)</f>
        <v>372387.92247033969</v>
      </c>
      <c r="O512" s="581">
        <f>$E$492*MAX(O510-$E$490,0)</f>
        <v>445435.49597460928</v>
      </c>
      <c r="P512" s="581">
        <f>$E$492*MAX(P510-$E$490,0)</f>
        <v>522493.87721057865</v>
      </c>
      <c r="Q512" s="554"/>
      <c r="R512" s="554"/>
      <c r="S512" s="554"/>
      <c r="T512" s="554"/>
      <c r="U512" s="554"/>
      <c r="V512" s="554"/>
      <c r="W512" s="554"/>
      <c r="X512" s="554"/>
    </row>
    <row r="513" spans="1:24" x14ac:dyDescent="0.35">
      <c r="A513" s="554"/>
      <c r="B513" s="554"/>
      <c r="C513" s="555" t="s">
        <v>998</v>
      </c>
      <c r="D513" s="566" t="s">
        <v>173</v>
      </c>
      <c r="E513" s="575">
        <f t="shared" ref="E513:L513" si="5">E511+E512</f>
        <v>0</v>
      </c>
      <c r="F513" s="581">
        <f t="shared" si="5"/>
        <v>0</v>
      </c>
      <c r="G513" s="581">
        <f t="shared" si="5"/>
        <v>0</v>
      </c>
      <c r="H513" s="581">
        <f t="shared" si="5"/>
        <v>42547.974424115462</v>
      </c>
      <c r="I513" s="581">
        <f t="shared" si="5"/>
        <v>99206.554682444374</v>
      </c>
      <c r="J513" s="581">
        <f t="shared" si="5"/>
        <v>160311.58728074757</v>
      </c>
      <c r="K513" s="581">
        <f t="shared" si="5"/>
        <v>207659.00634790084</v>
      </c>
      <c r="L513" s="581">
        <f t="shared" si="5"/>
        <v>269658.473589589</v>
      </c>
      <c r="M513" s="581">
        <f>M511+M512</f>
        <v>335182.87535673194</v>
      </c>
      <c r="N513" s="581">
        <f>N511+N512</f>
        <v>404387.92247033969</v>
      </c>
      <c r="O513" s="581">
        <f>O511+O512</f>
        <v>477435.49597460928</v>
      </c>
      <c r="P513" s="581">
        <f>P511+P512</f>
        <v>554493.87721057865</v>
      </c>
      <c r="Q513" s="554"/>
      <c r="R513" s="554"/>
      <c r="S513" s="554"/>
      <c r="T513" s="554"/>
      <c r="U513" s="554"/>
      <c r="V513" s="554"/>
      <c r="W513" s="554"/>
      <c r="X513" s="554"/>
    </row>
    <row r="514" spans="1:24" x14ac:dyDescent="0.35">
      <c r="A514" s="554"/>
      <c r="B514" s="554"/>
      <c r="C514" s="555" t="s">
        <v>999</v>
      </c>
      <c r="D514" s="566" t="s">
        <v>977</v>
      </c>
      <c r="E514" s="576">
        <f t="shared" ref="E514:L514" si="6">IF(E510&gt;$E$490,$E$493,0)</f>
        <v>0</v>
      </c>
      <c r="F514" s="582">
        <f t="shared" si="6"/>
        <v>0</v>
      </c>
      <c r="G514" s="582">
        <f t="shared" si="6"/>
        <v>0</v>
      </c>
      <c r="H514" s="582">
        <f t="shared" si="6"/>
        <v>3.5</v>
      </c>
      <c r="I514" s="582">
        <f t="shared" si="6"/>
        <v>3.5</v>
      </c>
      <c r="J514" s="582">
        <f t="shared" si="6"/>
        <v>3.5</v>
      </c>
      <c r="K514" s="582">
        <f t="shared" si="6"/>
        <v>3.5</v>
      </c>
      <c r="L514" s="582">
        <f t="shared" si="6"/>
        <v>3.5</v>
      </c>
      <c r="M514" s="582">
        <f>IF(M510&gt;$E$490,$E$493,0)</f>
        <v>3.5</v>
      </c>
      <c r="N514" s="582">
        <f>IF(N510&gt;$E$490,$E$493,0)</f>
        <v>3.5</v>
      </c>
      <c r="O514" s="582">
        <f>IF(O510&gt;$E$490,$E$493,0)</f>
        <v>3.5</v>
      </c>
      <c r="P514" s="582">
        <f>IF(P510&gt;$E$490,$E$493,0)</f>
        <v>3.5</v>
      </c>
      <c r="Q514" s="554"/>
      <c r="R514" s="554"/>
      <c r="S514" s="554"/>
      <c r="T514" s="554"/>
      <c r="U514" s="554"/>
      <c r="V514" s="554"/>
      <c r="W514" s="554"/>
      <c r="X514" s="554"/>
    </row>
    <row r="515" spans="1:24" x14ac:dyDescent="0.35">
      <c r="A515" s="554"/>
      <c r="B515" s="554"/>
      <c r="C515" s="555" t="s">
        <v>1001</v>
      </c>
      <c r="D515" s="566" t="s">
        <v>173</v>
      </c>
      <c r="E515" s="575">
        <f t="shared" ref="E515:L515" si="7">E513*E514</f>
        <v>0</v>
      </c>
      <c r="F515" s="581">
        <f t="shared" si="7"/>
        <v>0</v>
      </c>
      <c r="G515" s="581">
        <f t="shared" si="7"/>
        <v>0</v>
      </c>
      <c r="H515" s="581">
        <f t="shared" si="7"/>
        <v>148917.91048440413</v>
      </c>
      <c r="I515" s="581">
        <f t="shared" si="7"/>
        <v>347222.94138855534</v>
      </c>
      <c r="J515" s="581">
        <f t="shared" si="7"/>
        <v>561090.55548261653</v>
      </c>
      <c r="K515" s="581">
        <f t="shared" si="7"/>
        <v>726806.52221765299</v>
      </c>
      <c r="L515" s="581">
        <f t="shared" si="7"/>
        <v>943804.65756356157</v>
      </c>
      <c r="M515" s="581">
        <f>M513*M514</f>
        <v>1173140.0637485618</v>
      </c>
      <c r="N515" s="581">
        <f>N513*N514</f>
        <v>1415357.728646189</v>
      </c>
      <c r="O515" s="581">
        <f>O513*O514</f>
        <v>1671024.2359111325</v>
      </c>
      <c r="P515" s="581">
        <f>P513*P514</f>
        <v>1940728.5702370252</v>
      </c>
      <c r="Q515" s="554"/>
      <c r="R515" s="554"/>
      <c r="S515" s="554"/>
      <c r="T515" s="554"/>
      <c r="U515" s="554"/>
      <c r="V515" s="554"/>
      <c r="W515" s="554"/>
      <c r="X515" s="554"/>
    </row>
    <row r="516" spans="1:24" x14ac:dyDescent="0.35">
      <c r="A516" s="554"/>
      <c r="B516" s="596"/>
      <c r="C516" s="597" t="s">
        <v>1002</v>
      </c>
      <c r="D516" s="598" t="s">
        <v>173</v>
      </c>
      <c r="E516" s="599">
        <f>E515</f>
        <v>0</v>
      </c>
      <c r="F516" s="600">
        <f t="shared" ref="F516:L516" si="8">F515-E515</f>
        <v>0</v>
      </c>
      <c r="G516" s="600">
        <f t="shared" si="8"/>
        <v>0</v>
      </c>
      <c r="H516" s="600">
        <f t="shared" si="8"/>
        <v>148917.91048440413</v>
      </c>
      <c r="I516" s="600">
        <f t="shared" si="8"/>
        <v>198305.03090415121</v>
      </c>
      <c r="J516" s="600">
        <f t="shared" si="8"/>
        <v>213867.61409406119</v>
      </c>
      <c r="K516" s="600">
        <f t="shared" si="8"/>
        <v>165715.96673503646</v>
      </c>
      <c r="L516" s="600">
        <f t="shared" si="8"/>
        <v>216998.13534590858</v>
      </c>
      <c r="M516" s="600">
        <f>M515-L515</f>
        <v>229335.4061850002</v>
      </c>
      <c r="N516" s="600">
        <f>N515-M515</f>
        <v>242217.6648976272</v>
      </c>
      <c r="O516" s="600">
        <f>O515-N515</f>
        <v>255666.50726494356</v>
      </c>
      <c r="P516" s="600">
        <f>P515-O515</f>
        <v>269704.33432589262</v>
      </c>
      <c r="Q516" s="554"/>
      <c r="R516" s="554"/>
      <c r="S516" s="554"/>
      <c r="T516" s="554"/>
      <c r="U516" s="554"/>
      <c r="V516" s="554"/>
      <c r="W516" s="554"/>
      <c r="X516" s="554"/>
    </row>
    <row r="517" spans="1:24" x14ac:dyDescent="0.35">
      <c r="A517" s="554"/>
      <c r="B517" s="554"/>
      <c r="C517" s="555"/>
      <c r="D517" s="566"/>
      <c r="E517" s="558"/>
      <c r="F517" s="559"/>
      <c r="G517" s="588"/>
      <c r="H517" s="560"/>
      <c r="I517" s="559"/>
      <c r="J517" s="559"/>
      <c r="K517" s="560"/>
      <c r="L517" s="560"/>
      <c r="M517" s="560"/>
      <c r="N517" s="560"/>
      <c r="O517" s="560"/>
      <c r="P517" s="560"/>
      <c r="Q517" s="554"/>
      <c r="R517" s="554"/>
      <c r="S517" s="554"/>
      <c r="T517" s="554"/>
      <c r="U517" s="554"/>
      <c r="V517" s="554"/>
      <c r="W517" s="554"/>
      <c r="X517" s="554"/>
    </row>
    <row r="518" spans="1:24" x14ac:dyDescent="0.35">
      <c r="A518" s="554"/>
      <c r="B518" s="608"/>
      <c r="C518" s="609" t="s">
        <v>1004</v>
      </c>
      <c r="D518" s="607"/>
      <c r="E518" s="610"/>
      <c r="F518" s="611"/>
      <c r="G518" s="607"/>
      <c r="H518" s="555"/>
      <c r="I518" s="557"/>
      <c r="J518" s="557"/>
      <c r="K518" s="555"/>
      <c r="L518" s="555"/>
      <c r="M518" s="555"/>
      <c r="N518" s="555"/>
      <c r="O518" s="555"/>
      <c r="P518" s="555"/>
      <c r="Q518" s="554"/>
      <c r="R518" s="554"/>
      <c r="S518" s="554"/>
      <c r="T518" s="554"/>
      <c r="U518" s="554"/>
      <c r="V518" s="554"/>
      <c r="W518" s="554"/>
      <c r="X518" s="554"/>
    </row>
    <row r="519" spans="1:24" x14ac:dyDescent="0.35">
      <c r="A519" s="554"/>
      <c r="B519" s="554"/>
      <c r="C519" s="554"/>
      <c r="D519" s="565"/>
      <c r="E519" s="554"/>
      <c r="F519" s="554"/>
      <c r="G519" s="586"/>
      <c r="H519" s="554"/>
      <c r="I519" s="554"/>
      <c r="J519" s="554"/>
      <c r="K519" s="554"/>
      <c r="L519" s="554"/>
      <c r="M519" s="554"/>
      <c r="N519" s="554"/>
      <c r="O519" s="554"/>
      <c r="P519" s="554"/>
      <c r="Q519" s="554"/>
      <c r="R519" s="554"/>
      <c r="S519" s="554"/>
      <c r="T519" s="554"/>
      <c r="U519" s="554"/>
      <c r="V519" s="554"/>
      <c r="W519" s="554"/>
      <c r="X519" s="554"/>
    </row>
    <row r="520" spans="1:24" x14ac:dyDescent="0.35">
      <c r="A520" s="554"/>
      <c r="B520" s="554"/>
      <c r="C520" s="554"/>
      <c r="D520" s="565"/>
      <c r="E520" s="554"/>
      <c r="F520" s="554"/>
      <c r="G520" s="586"/>
      <c r="H520" s="554"/>
      <c r="I520" s="554"/>
      <c r="J520" s="554"/>
      <c r="K520" s="554"/>
      <c r="L520" s="554"/>
      <c r="M520" s="554"/>
      <c r="N520" s="554"/>
      <c r="O520" s="554"/>
      <c r="P520" s="554"/>
      <c r="Q520" s="554"/>
      <c r="R520" s="554"/>
      <c r="S520" s="554"/>
      <c r="T520" s="554"/>
      <c r="U520" s="554"/>
      <c r="V520" s="554"/>
      <c r="W520" s="554"/>
      <c r="X520" s="554"/>
    </row>
    <row r="521" spans="1:24" ht="20" customHeight="1" x14ac:dyDescent="0.35">
      <c r="A521" s="554"/>
      <c r="B521" s="298"/>
      <c r="C521" s="562" t="s">
        <v>1005</v>
      </c>
      <c r="D521" s="584"/>
      <c r="E521" s="563"/>
      <c r="F521" s="564"/>
      <c r="G521" s="589"/>
      <c r="H521" s="589"/>
      <c r="I521" s="589"/>
      <c r="J521" s="589"/>
      <c r="K521" s="589"/>
      <c r="L521" s="589"/>
      <c r="M521" s="589"/>
      <c r="N521" s="589"/>
      <c r="O521" s="589"/>
      <c r="P521" s="589"/>
      <c r="Q521" s="554"/>
      <c r="R521" s="554"/>
      <c r="S521" s="554"/>
      <c r="T521" s="554"/>
      <c r="U521" s="554"/>
      <c r="V521" s="554"/>
      <c r="W521" s="554"/>
      <c r="X521" s="554"/>
    </row>
    <row r="522" spans="1:24" x14ac:dyDescent="0.35">
      <c r="A522" s="554"/>
      <c r="B522" s="565"/>
      <c r="C522" s="561" t="s">
        <v>1006</v>
      </c>
      <c r="D522" s="566"/>
      <c r="E522" s="567"/>
      <c r="F522" s="568"/>
      <c r="G522" s="590"/>
      <c r="H522" s="590"/>
      <c r="I522" s="590"/>
      <c r="J522" s="590"/>
      <c r="K522" s="590"/>
      <c r="L522" s="590"/>
      <c r="M522" s="590"/>
      <c r="N522" s="555"/>
      <c r="O522" s="554"/>
      <c r="P522" s="554"/>
      <c r="Q522" s="554"/>
      <c r="R522" s="554"/>
      <c r="S522" s="554"/>
      <c r="T522" s="554"/>
      <c r="U522" s="554"/>
      <c r="V522" s="554"/>
      <c r="W522" s="554"/>
      <c r="X522" s="554"/>
    </row>
    <row r="523" spans="1:24" x14ac:dyDescent="0.35">
      <c r="A523" s="554"/>
      <c r="B523" s="554"/>
      <c r="C523" s="555"/>
      <c r="D523" s="566"/>
      <c r="E523" s="556"/>
      <c r="F523" s="557"/>
      <c r="G523" s="587"/>
      <c r="H523" s="587"/>
      <c r="I523" s="587"/>
      <c r="J523" s="587"/>
      <c r="K523" s="587"/>
      <c r="L523" s="587"/>
      <c r="M523" s="587"/>
      <c r="N523" s="555"/>
      <c r="O523" s="554"/>
      <c r="P523" s="554"/>
      <c r="Q523" s="554"/>
      <c r="R523" s="554"/>
      <c r="S523" s="554"/>
      <c r="T523" s="554"/>
      <c r="U523" s="554"/>
      <c r="V523" s="554"/>
      <c r="W523" s="554"/>
      <c r="X523" s="554"/>
    </row>
    <row r="524" spans="1:24" x14ac:dyDescent="0.35">
      <c r="A524" s="554"/>
      <c r="B524" s="554"/>
      <c r="C524" s="569" t="s">
        <v>395</v>
      </c>
      <c r="D524" s="583" t="s">
        <v>147</v>
      </c>
      <c r="E524" s="570" t="s">
        <v>27</v>
      </c>
      <c r="F524" s="570" t="s">
        <v>28</v>
      </c>
      <c r="G524" s="591" t="s">
        <v>29</v>
      </c>
      <c r="H524" s="591" t="s">
        <v>30</v>
      </c>
      <c r="I524" s="591" t="s">
        <v>31</v>
      </c>
      <c r="J524" s="591" t="s">
        <v>32</v>
      </c>
      <c r="K524" s="591" t="s">
        <v>33</v>
      </c>
      <c r="L524" s="591" t="s">
        <v>34</v>
      </c>
      <c r="M524" s="591" t="s">
        <v>35</v>
      </c>
      <c r="N524" s="555" t="s">
        <v>56</v>
      </c>
      <c r="O524" s="554"/>
      <c r="P524" s="554"/>
      <c r="Q524" s="554"/>
      <c r="R524" s="554"/>
      <c r="S524" s="554"/>
      <c r="T524" s="554"/>
      <c r="U524" s="554"/>
      <c r="V524" s="554"/>
      <c r="W524" s="554"/>
      <c r="X524" s="554"/>
    </row>
    <row r="525" spans="1:24" x14ac:dyDescent="0.35">
      <c r="A525" s="554"/>
      <c r="B525" s="554"/>
      <c r="C525" s="554"/>
      <c r="D525" s="565"/>
      <c r="E525" s="554"/>
      <c r="F525" s="554"/>
      <c r="G525" s="586"/>
      <c r="H525" s="586"/>
      <c r="I525" s="586"/>
      <c r="J525" s="586"/>
      <c r="K525" s="586"/>
      <c r="L525" s="586"/>
      <c r="M525" s="586"/>
      <c r="N525" s="555"/>
      <c r="O525" s="554"/>
      <c r="P525" s="554"/>
      <c r="Q525" s="554"/>
      <c r="R525" s="554"/>
      <c r="S525" s="554"/>
      <c r="T525" s="554"/>
      <c r="U525" s="554"/>
      <c r="V525" s="554"/>
      <c r="W525" s="554"/>
      <c r="X525" s="554"/>
    </row>
    <row r="526" spans="1:24" x14ac:dyDescent="0.35">
      <c r="A526" s="554"/>
      <c r="B526" s="554"/>
      <c r="C526" s="555" t="s">
        <v>1007</v>
      </c>
      <c r="D526" s="566" t="s">
        <v>158</v>
      </c>
      <c r="E526" s="577">
        <v>0.89500000000000002</v>
      </c>
      <c r="F526" s="577">
        <v>0.91400000000000003</v>
      </c>
      <c r="G526" s="592">
        <v>0.93300000000000005</v>
      </c>
      <c r="H526" s="592">
        <v>1</v>
      </c>
      <c r="I526" s="592">
        <v>1</v>
      </c>
      <c r="J526" s="592">
        <v>1</v>
      </c>
      <c r="K526" s="592">
        <v>1</v>
      </c>
      <c r="L526" s="592">
        <v>1</v>
      </c>
      <c r="M526" s="592">
        <v>1</v>
      </c>
      <c r="N526" s="555" t="s">
        <v>994</v>
      </c>
      <c r="O526" s="554"/>
      <c r="P526" s="554"/>
      <c r="Q526" s="554"/>
      <c r="R526" s="554"/>
      <c r="S526" s="554"/>
      <c r="T526" s="554"/>
      <c r="U526" s="554"/>
      <c r="V526" s="554"/>
      <c r="W526" s="554"/>
      <c r="X526" s="554"/>
    </row>
    <row r="527" spans="1:24" x14ac:dyDescent="0.35">
      <c r="A527" s="554"/>
      <c r="B527" s="554"/>
      <c r="C527" s="554"/>
      <c r="D527" s="565"/>
      <c r="E527" s="554"/>
      <c r="F527" s="554"/>
      <c r="G527" s="586"/>
      <c r="H527" s="586"/>
      <c r="I527" s="586"/>
      <c r="J527" s="586"/>
      <c r="K527" s="586"/>
      <c r="L527" s="586"/>
      <c r="M527" s="586"/>
      <c r="N527" s="554"/>
      <c r="O527" s="554"/>
      <c r="P527" s="554"/>
      <c r="Q527" s="554"/>
      <c r="R527" s="554"/>
      <c r="S527" s="554"/>
      <c r="T527" s="554"/>
      <c r="U527" s="554"/>
      <c r="V527" s="554"/>
      <c r="W527" s="554"/>
      <c r="X527" s="554"/>
    </row>
    <row r="528" spans="1:24" x14ac:dyDescent="0.35">
      <c r="A528" s="554"/>
      <c r="B528" s="555"/>
      <c r="C528" s="555" t="s">
        <v>1008</v>
      </c>
      <c r="D528" s="566" t="s">
        <v>130</v>
      </c>
      <c r="E528" s="578">
        <f>ROUND(E400*E526,0)</f>
        <v>161</v>
      </c>
      <c r="F528" s="578">
        <f>ROUND(E400*F526,0)</f>
        <v>165</v>
      </c>
      <c r="G528" s="593">
        <f>ROUND(E400*G526,0)</f>
        <v>168</v>
      </c>
      <c r="H528" s="593">
        <f>ROUND(E400*H526,0)</f>
        <v>180</v>
      </c>
      <c r="I528" s="593">
        <f>ROUND(E400*I526,0)</f>
        <v>180</v>
      </c>
      <c r="J528" s="593">
        <f>ROUND(E400*J526,0)</f>
        <v>180</v>
      </c>
      <c r="K528" s="593">
        <f>ROUND(E400*K526,0)</f>
        <v>180</v>
      </c>
      <c r="L528" s="593">
        <f>ROUND(E400*L526,0)</f>
        <v>180</v>
      </c>
      <c r="M528" s="593">
        <f>ROUND(E400*M526,0)</f>
        <v>180</v>
      </c>
      <c r="N528" s="555" t="s">
        <v>997</v>
      </c>
      <c r="O528" s="554"/>
      <c r="P528" s="554"/>
      <c r="Q528" s="554"/>
      <c r="R528" s="554"/>
      <c r="S528" s="554"/>
      <c r="T528" s="554"/>
      <c r="U528" s="554"/>
      <c r="V528" s="554"/>
      <c r="W528" s="554"/>
      <c r="X528" s="554"/>
    </row>
    <row r="529" spans="1:24" x14ac:dyDescent="0.35">
      <c r="A529" s="554"/>
      <c r="B529" s="555"/>
      <c r="C529" s="555"/>
      <c r="D529" s="566"/>
      <c r="E529" s="555"/>
      <c r="F529" s="555"/>
      <c r="G529" s="594"/>
      <c r="H529" s="594"/>
      <c r="I529" s="594"/>
      <c r="J529" s="594"/>
      <c r="K529" s="594"/>
      <c r="L529" s="594"/>
      <c r="M529" s="594"/>
      <c r="N529" s="555"/>
      <c r="O529" s="554"/>
      <c r="P529" s="554"/>
      <c r="Q529" s="554"/>
      <c r="R529" s="554"/>
      <c r="S529" s="554"/>
      <c r="T529" s="554"/>
      <c r="U529" s="554"/>
      <c r="V529" s="554"/>
      <c r="W529" s="554"/>
      <c r="X529" s="554"/>
    </row>
    <row r="530" spans="1:24" x14ac:dyDescent="0.35">
      <c r="A530" s="554"/>
      <c r="B530" s="555"/>
      <c r="C530" s="555" t="s">
        <v>1009</v>
      </c>
      <c r="D530" s="566" t="s">
        <v>130</v>
      </c>
      <c r="E530" s="578">
        <f>E400</f>
        <v>180</v>
      </c>
      <c r="F530" s="578"/>
      <c r="G530" s="593"/>
      <c r="H530" s="593"/>
      <c r="I530" s="593"/>
      <c r="J530" s="593"/>
      <c r="K530" s="593"/>
      <c r="L530" s="593"/>
      <c r="M530" s="593"/>
      <c r="N530" s="555" t="s">
        <v>1000</v>
      </c>
      <c r="O530" s="554"/>
      <c r="P530" s="554"/>
      <c r="Q530" s="554"/>
      <c r="R530" s="554"/>
      <c r="S530" s="554"/>
      <c r="T530" s="554"/>
      <c r="U530" s="554"/>
      <c r="V530" s="554"/>
      <c r="W530" s="554"/>
      <c r="X530" s="554"/>
    </row>
    <row r="531" spans="1:24" x14ac:dyDescent="0.35">
      <c r="A531" s="554"/>
      <c r="B531" s="555"/>
      <c r="C531" s="555"/>
      <c r="D531" s="566"/>
      <c r="E531" s="555"/>
      <c r="F531" s="555"/>
      <c r="G531" s="594"/>
      <c r="H531" s="594"/>
      <c r="I531" s="594"/>
      <c r="J531" s="594"/>
      <c r="K531" s="594"/>
      <c r="L531" s="594"/>
      <c r="M531" s="594"/>
      <c r="N531" s="555"/>
      <c r="O531" s="554"/>
      <c r="P531" s="554"/>
      <c r="Q531" s="554"/>
      <c r="R531" s="554"/>
      <c r="S531" s="554"/>
      <c r="T531" s="554"/>
      <c r="U531" s="554"/>
      <c r="V531" s="554"/>
      <c r="W531" s="554"/>
      <c r="X531" s="554"/>
    </row>
    <row r="532" spans="1:24" x14ac:dyDescent="0.35">
      <c r="A532" s="554"/>
      <c r="B532" s="597"/>
      <c r="C532" s="597" t="s">
        <v>1010</v>
      </c>
      <c r="D532" s="598" t="s">
        <v>208</v>
      </c>
      <c r="E532" s="601">
        <f>Scenarios!$B$12</f>
        <v>1</v>
      </c>
      <c r="F532" s="597"/>
      <c r="G532" s="602"/>
      <c r="H532" s="555"/>
      <c r="I532" s="555"/>
      <c r="J532" s="555"/>
      <c r="K532" s="555"/>
      <c r="L532" s="555"/>
      <c r="M532" s="555"/>
      <c r="N532" s="555" t="s">
        <v>1003</v>
      </c>
      <c r="O532" s="554"/>
      <c r="P532" s="554"/>
      <c r="Q532" s="554"/>
      <c r="R532" s="554"/>
      <c r="S532" s="554"/>
      <c r="T532" s="554"/>
      <c r="U532" s="554"/>
      <c r="V532" s="554"/>
      <c r="W532" s="554"/>
      <c r="X532" s="554"/>
    </row>
    <row r="533" spans="1:24" x14ac:dyDescent="0.35">
      <c r="A533" s="554"/>
      <c r="B533" s="555"/>
      <c r="C533" s="554"/>
      <c r="D533" s="565"/>
      <c r="E533" s="554"/>
      <c r="F533" s="554"/>
      <c r="G533" s="586"/>
      <c r="H533" s="554"/>
      <c r="I533" s="554"/>
      <c r="J533" s="554"/>
      <c r="K533" s="554"/>
      <c r="L533" s="554"/>
      <c r="M533" s="555"/>
      <c r="N533" s="555"/>
      <c r="O533" s="554"/>
      <c r="P533" s="554"/>
      <c r="Q533" s="554"/>
      <c r="R533" s="554"/>
      <c r="S533" s="554"/>
      <c r="T533" s="554"/>
      <c r="U533" s="554"/>
      <c r="V533" s="554"/>
      <c r="W533" s="554"/>
      <c r="X533" s="554"/>
    </row>
    <row r="534" spans="1:24" x14ac:dyDescent="0.35">
      <c r="A534" s="554"/>
      <c r="B534" s="555"/>
      <c r="C534" s="554"/>
      <c r="D534" s="565"/>
      <c r="E534" s="554"/>
      <c r="F534" s="554"/>
      <c r="G534" s="586"/>
      <c r="H534" s="554"/>
      <c r="I534" s="554"/>
      <c r="J534" s="554"/>
      <c r="K534" s="554"/>
      <c r="L534" s="554"/>
      <c r="M534" s="554"/>
      <c r="N534" s="554"/>
      <c r="O534" s="554"/>
      <c r="P534" s="554"/>
      <c r="Q534" s="554"/>
      <c r="R534" s="554"/>
      <c r="S534" s="554"/>
      <c r="T534" s="554"/>
      <c r="U534" s="554"/>
      <c r="V534" s="554"/>
      <c r="W534" s="554"/>
      <c r="X534" s="554"/>
    </row>
    <row r="535" spans="1:24" x14ac:dyDescent="0.35">
      <c r="A535" s="554"/>
      <c r="B535" s="555"/>
      <c r="C535" s="554"/>
      <c r="D535" s="565"/>
      <c r="E535" s="554"/>
      <c r="F535" s="554"/>
      <c r="G535" s="586"/>
      <c r="H535" s="554"/>
      <c r="I535" s="554"/>
      <c r="J535" s="554"/>
      <c r="K535" s="554"/>
      <c r="L535" s="554"/>
      <c r="M535" s="554"/>
      <c r="N535" s="554"/>
      <c r="O535" s="554"/>
      <c r="P535" s="554"/>
      <c r="Q535" s="554"/>
      <c r="R535" s="554"/>
      <c r="S535" s="554"/>
      <c r="T535" s="554"/>
      <c r="U535" s="554"/>
      <c r="V535" s="554"/>
      <c r="W535" s="554"/>
      <c r="X535" s="554"/>
    </row>
    <row r="536" spans="1:24" x14ac:dyDescent="0.35">
      <c r="A536" s="554"/>
      <c r="B536" s="555"/>
      <c r="C536" s="554"/>
      <c r="D536" s="565"/>
      <c r="E536" s="554"/>
      <c r="F536" s="554"/>
      <c r="G536" s="586"/>
      <c r="H536" s="554"/>
      <c r="I536" s="554"/>
      <c r="J536" s="554"/>
      <c r="K536" s="554"/>
      <c r="L536" s="554"/>
      <c r="M536" s="554"/>
      <c r="N536" s="554"/>
      <c r="O536" s="554"/>
      <c r="P536" s="554"/>
      <c r="Q536" s="554"/>
      <c r="R536" s="554"/>
      <c r="S536" s="554"/>
      <c r="T536" s="554"/>
      <c r="U536" s="554"/>
      <c r="V536" s="554"/>
      <c r="W536" s="554"/>
      <c r="X536" s="554"/>
    </row>
    <row r="537" spans="1:24" x14ac:dyDescent="0.35">
      <c r="A537" s="554"/>
      <c r="B537" s="554"/>
      <c r="C537" s="554"/>
      <c r="D537" s="565"/>
      <c r="E537" s="554"/>
      <c r="F537" s="554"/>
      <c r="G537" s="586"/>
      <c r="H537" s="554"/>
      <c r="I537" s="554"/>
      <c r="J537" s="554"/>
      <c r="K537" s="554"/>
      <c r="L537" s="554"/>
      <c r="M537" s="554"/>
      <c r="N537" s="554"/>
      <c r="O537" s="554"/>
      <c r="P537" s="554"/>
      <c r="Q537" s="554"/>
      <c r="R537" s="554"/>
      <c r="S537" s="554"/>
      <c r="T537" s="554"/>
      <c r="U537" s="554"/>
      <c r="V537" s="554"/>
      <c r="W537" s="554"/>
      <c r="X537" s="554"/>
    </row>
    <row r="538" spans="1:24" ht="20" customHeight="1" x14ac:dyDescent="0.35">
      <c r="A538" s="554"/>
      <c r="B538" s="732" t="s">
        <v>1011</v>
      </c>
      <c r="C538" s="732"/>
      <c r="D538" s="733"/>
      <c r="E538" s="732"/>
      <c r="F538" s="732"/>
      <c r="G538" s="734"/>
      <c r="H538" s="554"/>
      <c r="I538" s="554"/>
      <c r="J538" s="554"/>
      <c r="K538" s="554"/>
      <c r="L538" s="554"/>
      <c r="M538" s="554"/>
      <c r="N538" s="554"/>
      <c r="O538" s="554"/>
      <c r="P538" s="554"/>
      <c r="Q538" s="554"/>
      <c r="R538" s="554"/>
      <c r="S538" s="554"/>
      <c r="T538" s="554"/>
      <c r="U538" s="554"/>
      <c r="V538" s="554"/>
      <c r="W538" s="554"/>
      <c r="X538" s="554"/>
    </row>
    <row r="539" spans="1:24" x14ac:dyDescent="0.35">
      <c r="A539" s="554"/>
      <c r="B539" s="737" t="s">
        <v>1012</v>
      </c>
      <c r="C539" s="737"/>
      <c r="D539" s="737"/>
      <c r="E539" s="737"/>
      <c r="F539" s="737"/>
      <c r="G539" s="737"/>
      <c r="H539" s="554"/>
      <c r="I539" s="554"/>
      <c r="J539" s="554"/>
      <c r="K539" s="554"/>
      <c r="L539" s="554"/>
      <c r="M539" s="554"/>
      <c r="N539" s="554"/>
      <c r="O539" s="554"/>
      <c r="P539" s="554"/>
      <c r="Q539" s="554"/>
      <c r="R539" s="554"/>
      <c r="S539" s="554"/>
      <c r="T539" s="554"/>
      <c r="U539" s="554"/>
      <c r="V539" s="554"/>
      <c r="W539" s="554"/>
      <c r="X539" s="554"/>
    </row>
    <row r="540" spans="1:24" x14ac:dyDescent="0.35">
      <c r="A540" s="554"/>
      <c r="B540" s="554"/>
      <c r="C540" s="554"/>
      <c r="D540" s="565"/>
      <c r="E540" s="554"/>
      <c r="F540" s="554"/>
      <c r="G540" s="586"/>
      <c r="H540" s="554"/>
      <c r="I540" s="554"/>
      <c r="J540" s="554"/>
      <c r="K540" s="554"/>
      <c r="L540" s="554"/>
      <c r="M540" s="554"/>
      <c r="N540" s="554"/>
      <c r="O540" s="554"/>
      <c r="P540" s="554"/>
      <c r="Q540" s="554"/>
      <c r="R540" s="554"/>
      <c r="S540" s="554"/>
      <c r="T540" s="554"/>
      <c r="U540" s="554"/>
      <c r="V540" s="554"/>
      <c r="W540" s="554"/>
      <c r="X540" s="554"/>
    </row>
    <row r="541" spans="1:24" x14ac:dyDescent="0.35">
      <c r="A541" s="554"/>
      <c r="B541" s="554"/>
      <c r="C541" s="573" t="s">
        <v>395</v>
      </c>
      <c r="D541" s="585" t="s">
        <v>147</v>
      </c>
      <c r="E541" s="574" t="s">
        <v>39</v>
      </c>
      <c r="F541" s="574" t="s">
        <v>396</v>
      </c>
      <c r="G541" s="595" t="s">
        <v>56</v>
      </c>
      <c r="H541" s="554"/>
      <c r="I541" s="554"/>
      <c r="J541" s="554"/>
      <c r="K541" s="554"/>
      <c r="L541" s="554"/>
      <c r="M541" s="554"/>
      <c r="N541" s="554"/>
      <c r="O541" s="554"/>
      <c r="P541" s="554"/>
      <c r="Q541" s="554"/>
      <c r="R541" s="554"/>
      <c r="S541" s="554"/>
      <c r="T541" s="554"/>
      <c r="U541" s="554"/>
      <c r="V541" s="554"/>
      <c r="W541" s="554"/>
      <c r="X541" s="554"/>
    </row>
    <row r="542" spans="1:24" x14ac:dyDescent="0.35">
      <c r="A542" s="554"/>
      <c r="B542" s="554"/>
      <c r="C542" s="554"/>
      <c r="D542" s="565"/>
      <c r="E542" s="554"/>
      <c r="F542" s="554"/>
      <c r="G542" s="586"/>
      <c r="H542" s="554"/>
      <c r="I542" s="554"/>
      <c r="J542" s="554"/>
      <c r="K542" s="554"/>
      <c r="L542" s="554"/>
      <c r="M542" s="554"/>
      <c r="N542" s="554"/>
      <c r="O542" s="554"/>
      <c r="P542" s="554"/>
      <c r="Q542" s="554"/>
      <c r="R542" s="554"/>
      <c r="S542" s="554"/>
      <c r="T542" s="554"/>
      <c r="U542" s="554"/>
      <c r="V542" s="554"/>
      <c r="W542" s="554"/>
      <c r="X542" s="554"/>
    </row>
    <row r="543" spans="1:24" x14ac:dyDescent="0.35">
      <c r="A543" s="554"/>
      <c r="B543" s="554"/>
      <c r="C543" s="554" t="s">
        <v>1013</v>
      </c>
      <c r="D543" s="565" t="s">
        <v>173</v>
      </c>
      <c r="E543" s="579">
        <f>E75</f>
        <v>7610000</v>
      </c>
      <c r="F543" s="554" t="s">
        <v>452</v>
      </c>
      <c r="G543" s="586" t="s">
        <v>1014</v>
      </c>
      <c r="H543" s="554"/>
      <c r="I543" s="554"/>
      <c r="J543" s="554"/>
      <c r="K543" s="554"/>
      <c r="L543" s="554"/>
      <c r="M543" s="554"/>
      <c r="N543" s="554"/>
      <c r="O543" s="554"/>
      <c r="P543" s="554"/>
      <c r="Q543" s="554"/>
      <c r="R543" s="554"/>
      <c r="S543" s="554"/>
      <c r="T543" s="554"/>
      <c r="U543" s="554"/>
      <c r="V543" s="554"/>
      <c r="W543" s="554"/>
      <c r="X543" s="554"/>
    </row>
    <row r="544" spans="1:24" x14ac:dyDescent="0.35">
      <c r="A544" s="554"/>
      <c r="B544" s="554"/>
      <c r="C544" s="554" t="s">
        <v>40</v>
      </c>
      <c r="D544" s="565" t="s">
        <v>173</v>
      </c>
      <c r="E544" s="579">
        <f>E54</f>
        <v>10245000</v>
      </c>
      <c r="F544" s="554" t="s">
        <v>452</v>
      </c>
      <c r="G544" s="586" t="s">
        <v>1015</v>
      </c>
      <c r="H544" s="554"/>
      <c r="I544" s="554"/>
      <c r="J544" s="554"/>
      <c r="K544" s="554"/>
      <c r="L544" s="554"/>
      <c r="M544" s="554"/>
      <c r="N544" s="554"/>
      <c r="O544" s="554"/>
      <c r="P544" s="554"/>
      <c r="Q544" s="554"/>
      <c r="R544" s="554"/>
      <c r="S544" s="554"/>
      <c r="T544" s="554"/>
      <c r="U544" s="554"/>
      <c r="V544" s="554"/>
      <c r="W544" s="554"/>
      <c r="X544" s="554"/>
    </row>
    <row r="545" spans="1:24" x14ac:dyDescent="0.35">
      <c r="A545" s="554"/>
      <c r="B545" s="554"/>
      <c r="C545" s="554" t="s">
        <v>1016</v>
      </c>
      <c r="D545" s="565" t="s">
        <v>173</v>
      </c>
      <c r="E545" s="579">
        <f>E543+E544</f>
        <v>17855000</v>
      </c>
      <c r="F545" s="554" t="s">
        <v>452</v>
      </c>
      <c r="G545" s="586" t="s">
        <v>1017</v>
      </c>
      <c r="H545" s="554"/>
      <c r="I545" s="554"/>
      <c r="J545" s="554"/>
      <c r="K545" s="554"/>
      <c r="L545" s="554"/>
      <c r="M545" s="554"/>
      <c r="N545" s="554"/>
      <c r="O545" s="554"/>
      <c r="P545" s="554"/>
      <c r="Q545" s="554"/>
      <c r="R545" s="554"/>
      <c r="S545" s="554"/>
      <c r="T545" s="554"/>
      <c r="U545" s="554"/>
      <c r="V545" s="554"/>
      <c r="W545" s="554"/>
      <c r="X545" s="554"/>
    </row>
    <row r="546" spans="1:24" x14ac:dyDescent="0.35">
      <c r="A546" s="554"/>
      <c r="B546" s="554"/>
      <c r="C546" s="554" t="s">
        <v>560</v>
      </c>
      <c r="D546" s="565" t="s">
        <v>173</v>
      </c>
      <c r="E546" s="579">
        <f>E113</f>
        <v>17075000</v>
      </c>
      <c r="F546" s="554" t="s">
        <v>509</v>
      </c>
      <c r="G546" s="586" t="s">
        <v>1018</v>
      </c>
      <c r="H546" s="554"/>
      <c r="I546" s="554"/>
      <c r="J546" s="554"/>
      <c r="K546" s="554"/>
      <c r="L546" s="554"/>
      <c r="M546" s="554"/>
      <c r="N546" s="554"/>
      <c r="O546" s="554"/>
      <c r="P546" s="554"/>
      <c r="Q546" s="554"/>
      <c r="R546" s="554"/>
      <c r="S546" s="554"/>
      <c r="T546" s="554"/>
      <c r="U546" s="554"/>
      <c r="V546" s="554"/>
      <c r="W546" s="554"/>
      <c r="X546" s="554"/>
    </row>
    <row r="547" spans="1:24" x14ac:dyDescent="0.35">
      <c r="A547" s="554"/>
      <c r="B547" s="554"/>
      <c r="C547" s="554"/>
      <c r="D547" s="565"/>
      <c r="E547" s="554"/>
      <c r="F547" s="554"/>
      <c r="G547" s="586"/>
      <c r="H547" s="554"/>
      <c r="I547" s="554"/>
      <c r="J547" s="554"/>
      <c r="K547" s="554"/>
      <c r="L547" s="554"/>
      <c r="M547" s="554"/>
      <c r="N547" s="554"/>
      <c r="O547" s="554"/>
      <c r="P547" s="554"/>
      <c r="Q547" s="554"/>
      <c r="R547" s="554"/>
      <c r="S547" s="554"/>
      <c r="T547" s="554"/>
      <c r="U547" s="554"/>
      <c r="V547" s="554"/>
      <c r="W547" s="554"/>
      <c r="X547" s="554"/>
    </row>
    <row r="548" spans="1:24" x14ac:dyDescent="0.35">
      <c r="A548" s="554"/>
      <c r="B548" s="554"/>
      <c r="C548" s="554" t="s">
        <v>1019</v>
      </c>
      <c r="D548" s="565" t="s">
        <v>1020</v>
      </c>
      <c r="E548" s="612" t="s">
        <v>1021</v>
      </c>
      <c r="F548" s="554"/>
      <c r="G548" s="586" t="s">
        <v>1022</v>
      </c>
      <c r="H548" s="554"/>
      <c r="I548" s="554"/>
      <c r="J548" s="554"/>
      <c r="K548" s="554"/>
      <c r="L548" s="554"/>
      <c r="M548" s="554"/>
      <c r="N548" s="554"/>
      <c r="O548" s="554"/>
      <c r="P548" s="554"/>
      <c r="Q548" s="554"/>
      <c r="R548" s="554"/>
      <c r="S548" s="554"/>
      <c r="T548" s="554"/>
      <c r="U548" s="554"/>
      <c r="V548" s="554"/>
      <c r="W548" s="554"/>
      <c r="X548" s="554"/>
    </row>
    <row r="549" spans="1:24" x14ac:dyDescent="0.35">
      <c r="A549" s="554"/>
      <c r="B549" s="554"/>
      <c r="C549" s="554" t="s">
        <v>1023</v>
      </c>
      <c r="D549" s="565" t="s">
        <v>173</v>
      </c>
      <c r="E549" s="579">
        <f>ABS(Cashflow!E26)</f>
        <v>780000</v>
      </c>
      <c r="F549" s="554" t="s">
        <v>509</v>
      </c>
      <c r="G549" s="586" t="s">
        <v>1024</v>
      </c>
      <c r="H549" s="554"/>
      <c r="I549" s="554"/>
      <c r="J549" s="554"/>
      <c r="K549" s="554"/>
      <c r="L549" s="554"/>
      <c r="M549" s="554"/>
      <c r="N549" s="554"/>
      <c r="O549" s="554"/>
      <c r="P549" s="554"/>
      <c r="Q549" s="554"/>
      <c r="R549" s="554"/>
      <c r="S549" s="554"/>
      <c r="T549" s="554"/>
      <c r="U549" s="554"/>
      <c r="V549" s="554"/>
      <c r="W549" s="554"/>
      <c r="X549" s="554"/>
    </row>
    <row r="550" spans="1:24" x14ac:dyDescent="0.35">
      <c r="A550" s="554"/>
      <c r="B550" s="554"/>
      <c r="C550" s="554" t="s">
        <v>1025</v>
      </c>
      <c r="D550" s="565" t="s">
        <v>173</v>
      </c>
      <c r="E550" s="579">
        <f>ABS(Cashflow!F26)</f>
        <v>0</v>
      </c>
      <c r="F550" s="554" t="s">
        <v>509</v>
      </c>
      <c r="G550" s="586" t="s">
        <v>1026</v>
      </c>
      <c r="H550" s="554"/>
      <c r="I550" s="554"/>
      <c r="J550" s="554"/>
      <c r="K550" s="554"/>
      <c r="L550" s="554"/>
      <c r="M550" s="554"/>
      <c r="N550" s="554"/>
      <c r="O550" s="554"/>
      <c r="P550" s="554"/>
      <c r="Q550" s="554"/>
      <c r="R550" s="554"/>
      <c r="S550" s="554"/>
      <c r="T550" s="554"/>
      <c r="U550" s="554"/>
      <c r="V550" s="554"/>
      <c r="W550" s="554"/>
      <c r="X550" s="554"/>
    </row>
    <row r="551" spans="1:24" x14ac:dyDescent="0.35">
      <c r="A551" s="554"/>
      <c r="B551" s="554"/>
      <c r="C551" s="554" t="s">
        <v>1027</v>
      </c>
      <c r="D551" s="565" t="s">
        <v>173</v>
      </c>
      <c r="E551" s="579">
        <f>ABS(Cashflow!D34+Cashflow!E34+Cashflow!F34)</f>
        <v>1804500</v>
      </c>
      <c r="F551" s="554" t="s">
        <v>452</v>
      </c>
      <c r="G551" s="586" t="s">
        <v>1028</v>
      </c>
      <c r="H551" s="554"/>
      <c r="I551" s="554"/>
      <c r="J551" s="554"/>
      <c r="K551" s="554"/>
      <c r="L551" s="554"/>
      <c r="M551" s="554"/>
      <c r="N551" s="554"/>
      <c r="O551" s="554"/>
      <c r="P551" s="554"/>
      <c r="Q551" s="554"/>
      <c r="R551" s="554"/>
      <c r="S551" s="554"/>
      <c r="T551" s="554"/>
      <c r="U551" s="554"/>
      <c r="V551" s="554"/>
      <c r="W551" s="554"/>
      <c r="X551" s="554"/>
    </row>
    <row r="552" spans="1:24" x14ac:dyDescent="0.35">
      <c r="A552" s="554"/>
      <c r="B552" s="554"/>
      <c r="C552" s="554"/>
      <c r="D552" s="565"/>
      <c r="E552" s="554"/>
      <c r="F552" s="554"/>
      <c r="G552" s="586"/>
      <c r="H552" s="554"/>
      <c r="I552" s="554"/>
      <c r="J552" s="554"/>
      <c r="K552" s="554"/>
      <c r="L552" s="554"/>
      <c r="M552" s="554"/>
      <c r="N552" s="554"/>
      <c r="O552" s="554"/>
      <c r="P552" s="554"/>
      <c r="Q552" s="554"/>
      <c r="R552" s="554"/>
      <c r="S552" s="554"/>
      <c r="T552" s="554"/>
      <c r="U552" s="554"/>
      <c r="V552" s="554"/>
      <c r="W552" s="554"/>
      <c r="X552" s="554"/>
    </row>
    <row r="553" spans="1:24" x14ac:dyDescent="0.35">
      <c r="A553" s="554"/>
      <c r="B553" s="554"/>
      <c r="C553" s="554" t="s">
        <v>1029</v>
      </c>
      <c r="D553" s="565" t="s">
        <v>439</v>
      </c>
      <c r="E553" s="580">
        <f>12</f>
        <v>12</v>
      </c>
      <c r="F553" s="554" t="s">
        <v>966</v>
      </c>
      <c r="G553" s="586" t="s">
        <v>1030</v>
      </c>
      <c r="H553" s="554"/>
      <c r="I553" s="554"/>
      <c r="J553" s="554"/>
      <c r="K553" s="554"/>
      <c r="L553" s="554"/>
      <c r="M553" s="554"/>
      <c r="N553" s="554"/>
      <c r="O553" s="554"/>
      <c r="P553" s="554"/>
      <c r="Q553" s="554"/>
      <c r="R553" s="554"/>
      <c r="S553" s="554"/>
      <c r="T553" s="554"/>
      <c r="U553" s="554"/>
      <c r="V553" s="554"/>
      <c r="W553" s="554"/>
      <c r="X553" s="554"/>
    </row>
    <row r="554" spans="1:24" x14ac:dyDescent="0.35">
      <c r="A554" s="554"/>
      <c r="B554" s="554"/>
      <c r="C554" s="554" t="s">
        <v>1031</v>
      </c>
      <c r="D554" s="565" t="s">
        <v>1032</v>
      </c>
      <c r="E554" s="579">
        <f>E550/E553</f>
        <v>0</v>
      </c>
      <c r="F554" s="554" t="s">
        <v>452</v>
      </c>
      <c r="G554" s="586" t="s">
        <v>1033</v>
      </c>
      <c r="H554" s="554"/>
      <c r="I554" s="554"/>
      <c r="J554" s="554"/>
      <c r="K554" s="554"/>
      <c r="L554" s="554"/>
      <c r="M554" s="554"/>
      <c r="N554" s="554"/>
      <c r="O554" s="554"/>
      <c r="P554" s="554"/>
      <c r="Q554" s="554"/>
      <c r="R554" s="554"/>
      <c r="S554" s="554"/>
      <c r="T554" s="554"/>
      <c r="U554" s="554"/>
      <c r="V554" s="554"/>
      <c r="W554" s="554"/>
      <c r="X554" s="554"/>
    </row>
    <row r="555" spans="1:24" x14ac:dyDescent="0.35">
      <c r="A555" s="554"/>
      <c r="B555" s="554"/>
      <c r="C555" s="554"/>
      <c r="D555" s="565"/>
      <c r="E555" s="579"/>
      <c r="F555" s="554"/>
      <c r="G555" s="586"/>
      <c r="H555" s="554"/>
      <c r="I555" s="554"/>
      <c r="J555" s="554"/>
      <c r="K555" s="554"/>
      <c r="L555" s="554"/>
      <c r="M555" s="554"/>
      <c r="N555" s="554"/>
      <c r="O555" s="554"/>
      <c r="P555" s="554"/>
      <c r="Q555" s="554"/>
      <c r="R555" s="554"/>
      <c r="S555" s="554"/>
      <c r="T555" s="554"/>
      <c r="U555" s="554"/>
      <c r="V555" s="554"/>
      <c r="W555" s="554"/>
      <c r="X555" s="554"/>
    </row>
    <row r="556" spans="1:24" x14ac:dyDescent="0.35">
      <c r="A556" s="554"/>
      <c r="B556" s="554"/>
      <c r="C556" s="554" t="s">
        <v>1034</v>
      </c>
      <c r="D556" s="565" t="s">
        <v>173</v>
      </c>
      <c r="E556" s="579">
        <f>E545-E546</f>
        <v>780000</v>
      </c>
      <c r="F556" s="554" t="s">
        <v>452</v>
      </c>
      <c r="G556" s="586" t="s">
        <v>1035</v>
      </c>
      <c r="H556" s="554"/>
      <c r="I556" s="554"/>
      <c r="J556" s="554"/>
      <c r="K556" s="554"/>
      <c r="L556" s="554"/>
      <c r="M556" s="554"/>
      <c r="N556" s="554"/>
      <c r="O556" s="554"/>
      <c r="P556" s="554"/>
      <c r="Q556" s="554"/>
      <c r="R556" s="554"/>
      <c r="S556" s="554"/>
      <c r="T556" s="554"/>
      <c r="U556" s="554"/>
      <c r="V556" s="554"/>
      <c r="W556" s="554"/>
      <c r="X556" s="554"/>
    </row>
    <row r="557" spans="1:24" x14ac:dyDescent="0.35">
      <c r="A557" s="554"/>
      <c r="B557" s="554"/>
      <c r="C557" s="554" t="s">
        <v>1036</v>
      </c>
      <c r="D557" s="565" t="s">
        <v>173</v>
      </c>
      <c r="E557" s="579">
        <f>Cashflow!F37</f>
        <v>16050500</v>
      </c>
      <c r="F557" s="554" t="s">
        <v>509</v>
      </c>
      <c r="G557" s="586" t="s">
        <v>1037</v>
      </c>
      <c r="H557" s="554"/>
      <c r="I557" s="554"/>
      <c r="J557" s="554"/>
      <c r="K557" s="554"/>
      <c r="L557" s="554"/>
      <c r="M557" s="554"/>
      <c r="N557" s="554"/>
      <c r="O557" s="554"/>
      <c r="P557" s="554"/>
      <c r="Q557" s="554"/>
      <c r="R557" s="554"/>
      <c r="S557" s="554"/>
      <c r="T557" s="554"/>
      <c r="U557" s="554"/>
      <c r="V557" s="554"/>
      <c r="W557" s="554"/>
      <c r="X557" s="554"/>
    </row>
    <row r="558" spans="1:24" x14ac:dyDescent="0.35">
      <c r="A558" s="554"/>
      <c r="B558" s="554"/>
      <c r="C558" s="554" t="s">
        <v>1038</v>
      </c>
      <c r="D558" s="565" t="s">
        <v>173</v>
      </c>
      <c r="E558" s="579">
        <f>Cashflow!G37</f>
        <v>-1231018.2583200522</v>
      </c>
      <c r="F558" s="554" t="s">
        <v>509</v>
      </c>
      <c r="G558" s="586" t="s">
        <v>1039</v>
      </c>
      <c r="H558" s="554"/>
      <c r="I558" s="554"/>
      <c r="J558" s="554"/>
      <c r="K558" s="554"/>
      <c r="L558" s="554"/>
      <c r="M558" s="554"/>
      <c r="N558" s="554"/>
      <c r="O558" s="554"/>
      <c r="P558" s="554"/>
      <c r="Q558" s="554"/>
      <c r="R558" s="554"/>
      <c r="S558" s="554"/>
      <c r="T558" s="554"/>
      <c r="U558" s="554"/>
      <c r="V558" s="554"/>
      <c r="W558" s="554"/>
      <c r="X558" s="554"/>
    </row>
    <row r="559" spans="1:24" x14ac:dyDescent="0.35">
      <c r="A559" s="554"/>
      <c r="B559" s="554"/>
      <c r="C559" s="554" t="s">
        <v>1040</v>
      </c>
      <c r="D559" s="565" t="s">
        <v>1032</v>
      </c>
      <c r="E559" s="579">
        <f>IF(Cashflow!G34=0,0,ABS(Cashflow!G34)/12)</f>
        <v>2874417.4151307293</v>
      </c>
      <c r="F559" s="554" t="s">
        <v>452</v>
      </c>
      <c r="G559" s="586" t="s">
        <v>1041</v>
      </c>
      <c r="H559" s="554"/>
      <c r="I559" s="554"/>
      <c r="J559" s="554"/>
      <c r="K559" s="554"/>
      <c r="L559" s="554"/>
      <c r="M559" s="554"/>
      <c r="N559" s="554"/>
      <c r="O559" s="554"/>
      <c r="P559" s="554"/>
      <c r="Q559" s="554"/>
      <c r="R559" s="554"/>
      <c r="S559" s="554"/>
      <c r="T559" s="554"/>
      <c r="U559" s="554"/>
      <c r="V559" s="554"/>
      <c r="W559" s="554"/>
      <c r="X559" s="554"/>
    </row>
    <row r="560" spans="1:24" x14ac:dyDescent="0.35">
      <c r="A560" s="554"/>
      <c r="B560" s="554"/>
      <c r="C560" s="554"/>
      <c r="D560" s="565"/>
      <c r="E560" s="580"/>
      <c r="F560" s="554"/>
      <c r="G560" s="586"/>
      <c r="H560" s="554"/>
      <c r="I560" s="554"/>
      <c r="J560" s="554"/>
      <c r="K560" s="554"/>
      <c r="L560" s="554"/>
      <c r="M560" s="554"/>
      <c r="N560" s="554"/>
      <c r="O560" s="554"/>
      <c r="P560" s="554"/>
      <c r="Q560" s="554"/>
      <c r="R560" s="554"/>
      <c r="S560" s="554"/>
      <c r="T560" s="554"/>
      <c r="U560" s="554"/>
      <c r="V560" s="554"/>
      <c r="W560" s="554"/>
      <c r="X560" s="554"/>
    </row>
    <row r="561" spans="1:24" x14ac:dyDescent="0.35">
      <c r="A561" s="554"/>
      <c r="B561" s="596"/>
      <c r="C561" s="596" t="s">
        <v>1042</v>
      </c>
      <c r="D561" s="603" t="s">
        <v>439</v>
      </c>
      <c r="E561" s="604">
        <f>IF(E559=0,"N/A",E558/E559)</f>
        <v>-0.42826704703362128</v>
      </c>
      <c r="F561" s="596" t="s">
        <v>452</v>
      </c>
      <c r="G561" s="605" t="s">
        <v>1043</v>
      </c>
      <c r="H561" s="554"/>
      <c r="I561" s="554"/>
      <c r="J561" s="554"/>
      <c r="K561" s="554"/>
      <c r="L561" s="554"/>
      <c r="M561" s="554"/>
      <c r="N561" s="554"/>
      <c r="O561" s="554"/>
      <c r="P561" s="554"/>
      <c r="Q561" s="554"/>
      <c r="R561" s="554"/>
      <c r="S561" s="554"/>
      <c r="T561" s="554"/>
      <c r="U561" s="554"/>
      <c r="V561" s="554"/>
      <c r="W561" s="554"/>
      <c r="X561" s="554"/>
    </row>
    <row r="562" spans="1:24" x14ac:dyDescent="0.35">
      <c r="A562" s="554"/>
      <c r="B562" s="554"/>
      <c r="C562" s="554" t="s">
        <v>1044</v>
      </c>
      <c r="D562" s="565" t="s">
        <v>15</v>
      </c>
      <c r="E562" s="554" t="str">
        <f>IF(Cashflow!G36&gt;0,"FY28",IF(Cashflow!H36&gt;0,"FY29",IF(Cashflow!I36&gt;0,"FY30","Post-FY30")))</f>
        <v>FY29</v>
      </c>
      <c r="F562" s="554" t="s">
        <v>452</v>
      </c>
      <c r="G562" s="586" t="s">
        <v>1045</v>
      </c>
      <c r="H562" s="554"/>
      <c r="I562" s="554"/>
      <c r="J562" s="554"/>
      <c r="K562" s="554"/>
      <c r="L562" s="554"/>
      <c r="M562" s="554"/>
      <c r="N562" s="554"/>
      <c r="O562" s="554"/>
      <c r="P562" s="554"/>
      <c r="Q562" s="554"/>
      <c r="R562" s="554"/>
      <c r="S562" s="554"/>
      <c r="T562" s="554"/>
      <c r="U562" s="554"/>
      <c r="V562" s="554"/>
      <c r="W562" s="554"/>
      <c r="X562" s="554"/>
    </row>
    <row r="563" spans="1:24" x14ac:dyDescent="0.35">
      <c r="A563" s="554"/>
      <c r="B563" s="554"/>
      <c r="C563" s="554"/>
      <c r="D563" s="565"/>
      <c r="E563" s="606"/>
      <c r="F563" s="554"/>
      <c r="G563" s="586"/>
      <c r="H563" s="554"/>
      <c r="I563" s="554"/>
      <c r="J563" s="554"/>
      <c r="K563" s="554"/>
      <c r="L563" s="554"/>
      <c r="M563" s="554"/>
      <c r="N563" s="554"/>
      <c r="O563" s="554"/>
      <c r="P563" s="554"/>
      <c r="Q563" s="554"/>
      <c r="R563" s="554"/>
      <c r="S563" s="554"/>
      <c r="T563" s="554"/>
      <c r="U563" s="554"/>
      <c r="V563" s="554"/>
      <c r="W563" s="554"/>
      <c r="X563" s="554"/>
    </row>
    <row r="564" spans="1:24" x14ac:dyDescent="0.35">
      <c r="A564" s="554"/>
      <c r="B564" s="554"/>
      <c r="C564" s="554" t="s">
        <v>1046</v>
      </c>
      <c r="D564" s="565"/>
      <c r="E564" s="554"/>
      <c r="F564" s="554"/>
      <c r="G564" s="586"/>
      <c r="H564" s="554"/>
      <c r="I564" s="554"/>
      <c r="J564" s="554"/>
      <c r="K564" s="554"/>
      <c r="L564" s="554"/>
      <c r="M564" s="554"/>
      <c r="N564" s="554"/>
      <c r="O564" s="554"/>
      <c r="P564" s="554"/>
      <c r="Q564" s="554"/>
      <c r="R564" s="554"/>
      <c r="S564" s="554"/>
      <c r="T564" s="554"/>
      <c r="U564" s="554"/>
      <c r="V564" s="554"/>
      <c r="W564" s="554"/>
      <c r="X564" s="554"/>
    </row>
    <row r="565" spans="1:24" x14ac:dyDescent="0.35">
      <c r="A565" s="554"/>
      <c r="B565" s="554"/>
      <c r="C565" s="574" t="s">
        <v>464</v>
      </c>
      <c r="D565" s="619" t="s">
        <v>24</v>
      </c>
      <c r="E565" s="620" t="s">
        <v>25</v>
      </c>
      <c r="F565" s="620" t="s">
        <v>26</v>
      </c>
      <c r="G565" s="621" t="s">
        <v>27</v>
      </c>
      <c r="H565" s="554"/>
      <c r="I565" s="554"/>
      <c r="J565" s="554"/>
      <c r="K565" s="554"/>
      <c r="L565" s="554"/>
      <c r="M565" s="554"/>
      <c r="N565" s="554"/>
      <c r="O565" s="554"/>
      <c r="P565" s="554"/>
      <c r="Q565" s="554"/>
      <c r="R565" s="554"/>
      <c r="S565" s="554"/>
      <c r="T565" s="554"/>
      <c r="U565" s="554"/>
      <c r="V565" s="554"/>
      <c r="W565" s="554"/>
      <c r="X565" s="554"/>
    </row>
    <row r="566" spans="1:24" x14ac:dyDescent="0.35">
      <c r="A566" s="554"/>
      <c r="B566" s="554"/>
      <c r="C566" s="554" t="s">
        <v>18</v>
      </c>
      <c r="D566" s="613">
        <f>Cashflow!D37</f>
        <v>0</v>
      </c>
      <c r="E566" s="614">
        <f>Cashflow!E37</f>
        <v>1707500.0000000005</v>
      </c>
      <c r="F566" s="614">
        <f>Cashflow!F37</f>
        <v>16050500</v>
      </c>
      <c r="G566" s="615">
        <f>Cashflow!G37</f>
        <v>-1231018.2583200522</v>
      </c>
      <c r="H566" s="554"/>
      <c r="I566" s="554"/>
      <c r="J566" s="554"/>
      <c r="K566" s="554"/>
      <c r="L566" s="554"/>
      <c r="M566" s="554"/>
      <c r="N566" s="554"/>
      <c r="O566" s="554"/>
      <c r="P566" s="554"/>
      <c r="Q566" s="554"/>
      <c r="R566" s="554"/>
      <c r="S566" s="554"/>
      <c r="T566" s="554"/>
      <c r="U566" s="554"/>
      <c r="V566" s="554"/>
      <c r="W566" s="554"/>
      <c r="X566" s="554"/>
    </row>
    <row r="567" spans="1:24" x14ac:dyDescent="0.35">
      <c r="A567" s="554"/>
      <c r="B567" s="554"/>
      <c r="C567" s="554" t="s">
        <v>1047</v>
      </c>
      <c r="D567" s="613">
        <f>Cashflow!D36</f>
        <v>0</v>
      </c>
      <c r="E567" s="614">
        <f>D567+Cashflow!E36</f>
        <v>1707500.0000000005</v>
      </c>
      <c r="F567" s="614">
        <f>E567+Cashflow!F36</f>
        <v>16050500</v>
      </c>
      <c r="G567" s="615">
        <f>F567+Cashflow!G36</f>
        <v>-1231018.2583200522</v>
      </c>
      <c r="H567" s="554"/>
      <c r="I567" s="554"/>
      <c r="J567" s="554"/>
      <c r="K567" s="554"/>
      <c r="L567" s="554"/>
      <c r="M567" s="554"/>
      <c r="N567" s="554"/>
      <c r="O567" s="554"/>
      <c r="P567" s="554"/>
      <c r="Q567" s="554"/>
      <c r="R567" s="554"/>
      <c r="S567" s="554"/>
      <c r="T567" s="554"/>
      <c r="U567" s="554"/>
      <c r="V567" s="554"/>
      <c r="W567" s="554"/>
      <c r="X567" s="554"/>
    </row>
    <row r="568" spans="1:24" x14ac:dyDescent="0.35">
      <c r="A568" s="554"/>
      <c r="B568" s="596"/>
      <c r="C568" s="596" t="s">
        <v>1048</v>
      </c>
      <c r="D568" s="616" t="str">
        <f>IF(D566&gt;=Inputs!$E$304,"OK","SHORTFALL")</f>
        <v>SHORTFALL</v>
      </c>
      <c r="E568" s="617" t="str">
        <f>IF(E566&gt;=Inputs!$E$304,"OK","SHORTFALL")</f>
        <v>OK</v>
      </c>
      <c r="F568" s="617" t="str">
        <f>IF(F566&gt;=Inputs!$E$304,"OK","SHORTFALL")</f>
        <v>OK</v>
      </c>
      <c r="G568" s="618" t="str">
        <f>IF(G566&gt;=Inputs!$E$304,"OK","SHORTFALL")</f>
        <v>SHORTFALL</v>
      </c>
      <c r="H568" s="554"/>
      <c r="I568" s="554"/>
      <c r="J568" s="554"/>
      <c r="K568" s="554"/>
      <c r="L568" s="554"/>
      <c r="M568" s="554"/>
      <c r="N568" s="554"/>
      <c r="O568" s="554"/>
      <c r="P568" s="554"/>
      <c r="Q568" s="554"/>
      <c r="R568" s="554"/>
      <c r="S568" s="554"/>
      <c r="T568" s="554"/>
      <c r="U568" s="554"/>
      <c r="V568" s="554"/>
      <c r="W568" s="554"/>
      <c r="X568" s="554"/>
    </row>
  </sheetData>
  <mergeCells count="14">
    <mergeCell ref="I7:J7"/>
    <mergeCell ref="B125:G125"/>
    <mergeCell ref="B44:G44"/>
    <mergeCell ref="B539:G539"/>
    <mergeCell ref="B253:G253"/>
    <mergeCell ref="B142:G142"/>
    <mergeCell ref="B7:G7"/>
    <mergeCell ref="B3:G3"/>
    <mergeCell ref="B2:G2"/>
    <mergeCell ref="B24:G24"/>
    <mergeCell ref="B538:G538"/>
    <mergeCell ref="B202:G202"/>
    <mergeCell ref="B101:G101"/>
    <mergeCell ref="B268:G268"/>
  </mergeCells>
  <pageMargins left="0.25" right="0.25" top="0.35" bottom="0.35" header="0.2" footer="0.2"/>
  <pageSetup fitToHeight="0" orientation="landscape"/>
  <headerFooter>
    <oddHeader>&amp;C&amp;A</oddHeader>
    <oddFooter>&amp;CPage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00000"/>
  </sheetPr>
  <dimension ref="A1:AB190"/>
  <sheetViews>
    <sheetView showGridLines="0" topLeftCell="C51" zoomScaleNormal="100" workbookViewId="0">
      <selection activeCell="P164" sqref="P164"/>
    </sheetView>
  </sheetViews>
  <sheetFormatPr defaultRowHeight="14.5" x14ac:dyDescent="0.35"/>
  <cols>
    <col min="1" max="1" width="62.81640625" bestFit="1" customWidth="1"/>
    <col min="2" max="2" width="16.1796875" bestFit="1" customWidth="1"/>
    <col min="3" max="3" width="36.1796875" bestFit="1" customWidth="1"/>
    <col min="4" max="4" width="30.54296875" bestFit="1" customWidth="1"/>
    <col min="5" max="5" width="16.1796875" customWidth="1"/>
    <col min="6" max="11" width="13" customWidth="1"/>
    <col min="12" max="12" width="16.453125" customWidth="1"/>
    <col min="13" max="13" width="19.54296875" bestFit="1" customWidth="1"/>
    <col min="14" max="15" width="15.54296875" bestFit="1" customWidth="1"/>
    <col min="16" max="16" width="24.81640625" customWidth="1"/>
    <col min="17" max="17" width="14.1796875" bestFit="1" customWidth="1"/>
    <col min="18" max="20" width="13" customWidth="1"/>
    <col min="21" max="21" width="11.453125" bestFit="1" customWidth="1"/>
    <col min="22" max="23" width="16.1796875" customWidth="1"/>
    <col min="24" max="25" width="13" customWidth="1"/>
    <col min="26" max="26" width="39.1796875" bestFit="1" customWidth="1"/>
    <col min="27" max="27" width="13" customWidth="1"/>
    <col min="28" max="28" width="13.1796875" bestFit="1" customWidth="1"/>
    <col min="29" max="29" width="37.1796875" bestFit="1" customWidth="1"/>
    <col min="30" max="30" width="18" customWidth="1"/>
    <col min="31" max="31" width="54.54296875" bestFit="1" customWidth="1"/>
    <col min="32" max="44" width="12" customWidth="1"/>
    <col min="45" max="45" width="14" customWidth="1"/>
  </cols>
  <sheetData>
    <row r="1" spans="1:28" ht="18" customHeight="1" x14ac:dyDescent="0.35">
      <c r="A1" s="331"/>
      <c r="B1" s="331"/>
      <c r="C1" s="331"/>
      <c r="D1" s="331"/>
      <c r="E1" s="331"/>
      <c r="F1" s="331"/>
      <c r="G1" s="331"/>
      <c r="H1" s="331"/>
      <c r="I1" s="331"/>
      <c r="J1" s="331"/>
      <c r="K1" s="331"/>
      <c r="L1" s="331"/>
      <c r="M1" s="331"/>
      <c r="N1" s="331"/>
      <c r="O1" s="331"/>
      <c r="P1" s="331"/>
      <c r="Q1" s="331"/>
      <c r="R1" s="331"/>
      <c r="S1" s="331"/>
      <c r="T1" s="331"/>
      <c r="U1" s="331"/>
      <c r="V1" s="331"/>
      <c r="W1" s="331"/>
      <c r="X1" s="331"/>
      <c r="Y1" s="331"/>
      <c r="Z1" s="331"/>
      <c r="AA1" s="331"/>
      <c r="AB1" s="331"/>
    </row>
    <row r="2" spans="1:28" ht="16" customHeight="1" x14ac:dyDescent="0.35">
      <c r="A2" s="331"/>
      <c r="B2" s="331"/>
      <c r="C2" s="22" t="s">
        <v>1049</v>
      </c>
      <c r="D2" s="23"/>
      <c r="E2" s="24"/>
      <c r="F2" s="24"/>
      <c r="G2" s="24"/>
      <c r="H2" s="24"/>
      <c r="I2" s="329"/>
      <c r="J2" s="329"/>
      <c r="K2" s="329"/>
      <c r="L2" s="329"/>
      <c r="M2" s="329"/>
      <c r="N2" s="329"/>
      <c r="O2" s="329"/>
      <c r="P2" s="329"/>
      <c r="Q2" s="329"/>
      <c r="R2" s="329"/>
      <c r="S2" s="329"/>
      <c r="T2" s="329"/>
      <c r="U2" s="329"/>
      <c r="V2" s="25"/>
      <c r="W2" s="26"/>
      <c r="X2" s="26"/>
      <c r="Y2" s="84"/>
      <c r="Z2" s="331"/>
      <c r="AA2" s="331"/>
      <c r="AB2" s="331"/>
    </row>
    <row r="3" spans="1:28" x14ac:dyDescent="0.35">
      <c r="A3" s="331"/>
      <c r="B3" s="331"/>
      <c r="C3" s="27"/>
      <c r="D3" s="28"/>
      <c r="E3" s="28"/>
      <c r="F3" s="28"/>
      <c r="G3" s="28"/>
      <c r="H3" s="28"/>
      <c r="I3" s="329"/>
      <c r="J3" s="329"/>
      <c r="K3" s="329"/>
      <c r="L3" s="329"/>
      <c r="M3" s="329"/>
      <c r="N3" s="329"/>
      <c r="O3" s="329"/>
      <c r="P3" s="329"/>
      <c r="Q3" s="329"/>
      <c r="R3" s="329"/>
      <c r="S3" s="329"/>
      <c r="T3" s="329"/>
      <c r="U3" s="329"/>
      <c r="V3" s="25"/>
      <c r="W3" s="29"/>
      <c r="X3" s="29"/>
      <c r="Y3" s="65"/>
      <c r="Z3" s="331"/>
      <c r="AA3" s="331"/>
      <c r="AB3" s="331"/>
    </row>
    <row r="4" spans="1:28" x14ac:dyDescent="0.35">
      <c r="A4" s="331"/>
      <c r="B4" s="331"/>
      <c r="C4" s="30"/>
      <c r="D4" s="31"/>
      <c r="E4" s="32"/>
      <c r="F4" s="32"/>
      <c r="G4" s="32"/>
      <c r="H4" s="32"/>
      <c r="I4" s="32"/>
      <c r="J4" s="32"/>
      <c r="K4" s="32"/>
      <c r="L4" s="32"/>
      <c r="M4" s="32"/>
      <c r="N4" s="32"/>
      <c r="O4" s="32"/>
      <c r="P4" s="32"/>
      <c r="Q4" s="32"/>
      <c r="R4" s="32"/>
      <c r="S4" s="32"/>
      <c r="T4" s="389"/>
      <c r="U4" s="389"/>
      <c r="V4" s="390"/>
      <c r="W4" s="389"/>
      <c r="X4" s="389"/>
      <c r="Y4" s="391"/>
      <c r="Z4" s="331"/>
      <c r="AA4" s="331"/>
      <c r="AB4" s="331"/>
    </row>
    <row r="5" spans="1:28" ht="18" customHeight="1" x14ac:dyDescent="0.35">
      <c r="A5" s="331"/>
      <c r="B5" s="331"/>
      <c r="C5" s="33"/>
      <c r="D5" s="34" t="s">
        <v>1050</v>
      </c>
      <c r="E5" s="32"/>
      <c r="F5" s="32"/>
      <c r="G5" s="392"/>
      <c r="H5" s="392"/>
      <c r="I5" s="329"/>
      <c r="J5" s="329"/>
      <c r="K5" s="329"/>
      <c r="L5" s="329"/>
      <c r="M5" s="329"/>
      <c r="N5" s="329"/>
      <c r="O5" s="329"/>
      <c r="P5" s="329"/>
      <c r="Q5" s="329"/>
      <c r="R5" s="329"/>
      <c r="S5" s="329"/>
      <c r="T5" s="329"/>
      <c r="U5" s="329"/>
      <c r="V5" s="393"/>
      <c r="W5" s="28"/>
      <c r="X5" s="28"/>
      <c r="Y5" s="85"/>
      <c r="Z5" s="331"/>
      <c r="AA5" s="331"/>
      <c r="AB5" s="331"/>
    </row>
    <row r="6" spans="1:28" ht="18" customHeight="1" x14ac:dyDescent="0.35">
      <c r="A6" s="331"/>
      <c r="B6" s="331"/>
      <c r="C6" s="33"/>
      <c r="D6" s="35" t="s">
        <v>1051</v>
      </c>
      <c r="E6" s="32"/>
      <c r="F6" s="28"/>
      <c r="G6" s="394">
        <v>1270000</v>
      </c>
      <c r="H6" s="395"/>
      <c r="I6" s="329"/>
      <c r="J6" s="329"/>
      <c r="K6" s="329"/>
      <c r="L6" s="329"/>
      <c r="M6" s="329"/>
      <c r="N6" s="329"/>
      <c r="O6" s="329"/>
      <c r="P6" s="329"/>
      <c r="Q6" s="329"/>
      <c r="R6" s="329"/>
      <c r="S6" s="329"/>
      <c r="T6" s="329"/>
      <c r="U6" s="329"/>
      <c r="V6" s="393"/>
      <c r="W6" s="28"/>
      <c r="X6" s="28"/>
      <c r="Y6" s="85"/>
      <c r="Z6" s="331"/>
      <c r="AA6" s="331"/>
      <c r="AB6" s="331"/>
    </row>
    <row r="7" spans="1:28" ht="18" customHeight="1" x14ac:dyDescent="0.35">
      <c r="A7" s="331"/>
      <c r="B7" s="331"/>
      <c r="C7" s="33"/>
      <c r="D7" s="35" t="s">
        <v>544</v>
      </c>
      <c r="E7" s="32"/>
      <c r="F7" s="28"/>
      <c r="G7" s="394">
        <v>7280000</v>
      </c>
      <c r="H7" s="395"/>
      <c r="I7" s="395"/>
      <c r="J7" s="395"/>
      <c r="K7" s="395"/>
      <c r="L7" s="395"/>
      <c r="M7" s="395"/>
      <c r="N7" s="395"/>
      <c r="O7" s="395"/>
      <c r="P7" s="395"/>
      <c r="Q7" s="395"/>
      <c r="R7" s="395"/>
      <c r="S7" s="395"/>
      <c r="T7" s="28"/>
      <c r="U7" s="329"/>
      <c r="V7" s="393"/>
      <c r="W7" s="28"/>
      <c r="X7" s="28"/>
      <c r="Y7" s="85"/>
      <c r="Z7" s="331"/>
      <c r="AA7" s="331"/>
      <c r="AB7" s="331"/>
    </row>
    <row r="8" spans="1:28" ht="18" customHeight="1" x14ac:dyDescent="0.35">
      <c r="A8" s="331"/>
      <c r="B8" s="331"/>
      <c r="C8" s="33"/>
      <c r="D8" s="35" t="s">
        <v>546</v>
      </c>
      <c r="E8" s="32"/>
      <c r="F8" s="28"/>
      <c r="G8" s="394">
        <v>1105000</v>
      </c>
      <c r="H8" s="395"/>
      <c r="I8" s="395"/>
      <c r="J8" s="395"/>
      <c r="K8" s="395"/>
      <c r="L8" s="395"/>
      <c r="M8" s="395"/>
      <c r="N8" s="395"/>
      <c r="O8" s="395"/>
      <c r="P8" s="395"/>
      <c r="Q8" s="395"/>
      <c r="R8" s="395"/>
      <c r="S8" s="395"/>
      <c r="T8" s="28"/>
      <c r="U8" s="329"/>
      <c r="V8" s="393"/>
      <c r="W8" s="28"/>
      <c r="X8" s="28"/>
      <c r="Y8" s="85"/>
      <c r="Z8" s="331"/>
      <c r="AA8" s="331"/>
      <c r="AB8" s="331"/>
    </row>
    <row r="9" spans="1:28" ht="18" customHeight="1" x14ac:dyDescent="0.35">
      <c r="A9" s="331"/>
      <c r="B9" s="331"/>
      <c r="C9" s="33"/>
      <c r="D9" s="35" t="s">
        <v>548</v>
      </c>
      <c r="E9" s="32"/>
      <c r="F9" s="28"/>
      <c r="G9" s="394">
        <v>420000</v>
      </c>
      <c r="H9" s="395"/>
      <c r="I9" s="395"/>
      <c r="J9" s="395"/>
      <c r="K9" s="395"/>
      <c r="L9" s="395"/>
      <c r="M9" s="395"/>
      <c r="N9" s="395"/>
      <c r="O9" s="395"/>
      <c r="P9" s="395"/>
      <c r="Q9" s="395"/>
      <c r="R9" s="395"/>
      <c r="S9" s="395"/>
      <c r="T9" s="28"/>
      <c r="U9" s="36"/>
      <c r="V9" s="393"/>
      <c r="W9" s="28"/>
      <c r="X9" s="28"/>
      <c r="Y9" s="85"/>
      <c r="Z9" s="331"/>
      <c r="AA9" s="331"/>
      <c r="AB9" s="331"/>
    </row>
    <row r="10" spans="1:28" ht="18" customHeight="1" x14ac:dyDescent="0.35">
      <c r="A10" s="331"/>
      <c r="B10" s="331"/>
      <c r="C10" s="33"/>
      <c r="D10" s="35" t="s">
        <v>550</v>
      </c>
      <c r="E10" s="32"/>
      <c r="F10" s="28"/>
      <c r="G10" s="394">
        <v>1200000</v>
      </c>
      <c r="H10" s="395"/>
      <c r="I10" s="395"/>
      <c r="J10" s="395"/>
      <c r="K10" s="395"/>
      <c r="L10" s="395"/>
      <c r="M10" s="395"/>
      <c r="N10" s="395"/>
      <c r="O10" s="395"/>
      <c r="P10" s="395"/>
      <c r="Q10" s="395"/>
      <c r="R10" s="395"/>
      <c r="S10" s="395"/>
      <c r="T10" s="28"/>
      <c r="U10" s="329"/>
      <c r="V10" s="393"/>
      <c r="W10" s="28"/>
      <c r="X10" s="28"/>
      <c r="Y10" s="85"/>
      <c r="Z10" s="331"/>
      <c r="AA10" s="331"/>
      <c r="AB10" s="331"/>
    </row>
    <row r="11" spans="1:28" ht="18" customHeight="1" x14ac:dyDescent="0.35">
      <c r="A11" s="331"/>
      <c r="B11" s="331"/>
      <c r="C11" s="33"/>
      <c r="D11" s="35" t="s">
        <v>552</v>
      </c>
      <c r="E11" s="32"/>
      <c r="F11" s="28"/>
      <c r="G11" s="394">
        <v>4950000</v>
      </c>
      <c r="H11" s="395"/>
      <c r="I11" s="395"/>
      <c r="J11" s="395"/>
      <c r="K11" s="395"/>
      <c r="L11" s="395"/>
      <c r="M11" s="395"/>
      <c r="N11" s="395"/>
      <c r="O11" s="395"/>
      <c r="P11" s="395"/>
      <c r="Q11" s="395"/>
      <c r="R11" s="395"/>
      <c r="S11" s="395"/>
      <c r="T11" s="28"/>
      <c r="U11" s="329"/>
      <c r="V11" s="393"/>
      <c r="W11" s="28"/>
      <c r="X11" s="28"/>
      <c r="Y11" s="85"/>
      <c r="Z11" s="331"/>
      <c r="AA11" s="331"/>
      <c r="AB11" s="331"/>
    </row>
    <row r="12" spans="1:28" ht="15" customHeight="1" x14ac:dyDescent="0.35">
      <c r="A12" s="331"/>
      <c r="B12" s="331"/>
      <c r="C12" s="33"/>
      <c r="D12" s="35" t="s">
        <v>1052</v>
      </c>
      <c r="E12" s="32"/>
      <c r="F12" s="28"/>
      <c r="G12" s="394">
        <v>220000</v>
      </c>
      <c r="H12" s="395"/>
      <c r="I12" s="395"/>
      <c r="J12" s="395"/>
      <c r="K12" s="395"/>
      <c r="L12" s="395"/>
      <c r="M12" s="395"/>
      <c r="N12" s="395"/>
      <c r="O12" s="395"/>
      <c r="P12" s="395"/>
      <c r="Q12" s="395"/>
      <c r="R12" s="395"/>
      <c r="S12" s="395"/>
      <c r="T12" s="28"/>
      <c r="U12" s="329"/>
      <c r="V12" s="393"/>
      <c r="W12" s="28"/>
      <c r="X12" s="28"/>
      <c r="Y12" s="85"/>
      <c r="Z12" s="331"/>
      <c r="AA12" s="331"/>
      <c r="AB12" s="331"/>
    </row>
    <row r="13" spans="1:28" ht="15" customHeight="1" thickBot="1" x14ac:dyDescent="0.4">
      <c r="A13" s="331"/>
      <c r="B13" s="331"/>
      <c r="C13" s="33"/>
      <c r="D13" s="35" t="s">
        <v>1053</v>
      </c>
      <c r="E13" s="32"/>
      <c r="F13" s="28"/>
      <c r="G13" s="394">
        <v>130000</v>
      </c>
      <c r="H13" s="395"/>
      <c r="I13" s="395"/>
      <c r="J13" s="395"/>
      <c r="K13" s="395"/>
      <c r="L13" s="395"/>
      <c r="M13" s="395"/>
      <c r="N13" s="395"/>
      <c r="O13" s="395"/>
      <c r="P13" s="395"/>
      <c r="Q13" s="395"/>
      <c r="R13" s="395"/>
      <c r="S13" s="395"/>
      <c r="T13" s="28"/>
      <c r="U13" s="329"/>
      <c r="V13" s="393"/>
      <c r="W13" s="28"/>
      <c r="X13" s="28"/>
      <c r="Y13" s="85"/>
      <c r="Z13" s="331"/>
      <c r="AA13" s="331"/>
      <c r="AB13" s="331"/>
    </row>
    <row r="14" spans="1:28" ht="15" customHeight="1" thickTop="1" x14ac:dyDescent="0.35">
      <c r="A14" s="331"/>
      <c r="B14" s="331"/>
      <c r="C14" s="29"/>
      <c r="D14" s="37" t="s">
        <v>416</v>
      </c>
      <c r="E14" s="38" t="s">
        <v>173</v>
      </c>
      <c r="F14" s="32"/>
      <c r="G14" s="396">
        <f>SUM(G6:G13)</f>
        <v>16575000</v>
      </c>
      <c r="H14" s="397"/>
      <c r="I14" s="397"/>
      <c r="J14" s="397"/>
      <c r="K14" s="397"/>
      <c r="L14" s="397"/>
      <c r="M14" s="397"/>
      <c r="N14" s="397"/>
      <c r="O14" s="397"/>
      <c r="P14" s="397"/>
      <c r="Q14" s="397"/>
      <c r="R14" s="397"/>
      <c r="S14" s="397"/>
      <c r="T14" s="29"/>
      <c r="U14" s="36"/>
      <c r="V14" s="393"/>
      <c r="W14" s="28"/>
      <c r="X14" s="28"/>
      <c r="Y14" s="398"/>
      <c r="Z14" s="331"/>
      <c r="AA14" s="331"/>
      <c r="AB14" s="331"/>
    </row>
    <row r="15" spans="1:28" x14ac:dyDescent="0.35">
      <c r="A15" s="331"/>
      <c r="B15" s="331"/>
      <c r="C15" s="29"/>
      <c r="D15" s="29"/>
      <c r="E15" s="32"/>
      <c r="F15" s="32"/>
      <c r="G15" s="392"/>
      <c r="H15" s="392"/>
      <c r="I15" s="392"/>
      <c r="J15" s="392"/>
      <c r="K15" s="392"/>
      <c r="L15" s="392"/>
      <c r="M15" s="392"/>
      <c r="N15" s="392"/>
      <c r="O15" s="392"/>
      <c r="P15" s="392"/>
      <c r="Q15" s="392"/>
      <c r="R15" s="392"/>
      <c r="S15" s="392"/>
      <c r="T15" s="29"/>
      <c r="U15" s="36"/>
      <c r="V15" s="393"/>
      <c r="W15" s="28"/>
      <c r="X15" s="28"/>
      <c r="Y15" s="398"/>
      <c r="Z15" s="399"/>
      <c r="AA15" s="331"/>
      <c r="AB15" s="400"/>
    </row>
    <row r="16" spans="1:28" ht="15" customHeight="1" thickBot="1" x14ac:dyDescent="0.4">
      <c r="A16" s="331"/>
      <c r="B16" s="331"/>
      <c r="C16" s="29"/>
      <c r="D16" s="29" t="s">
        <v>1054</v>
      </c>
      <c r="E16" s="32" t="s">
        <v>173</v>
      </c>
      <c r="F16" s="32"/>
      <c r="G16" s="394">
        <v>500000</v>
      </c>
      <c r="H16" s="395"/>
      <c r="I16" s="395"/>
      <c r="J16" s="395"/>
      <c r="K16" s="395"/>
      <c r="L16" s="395"/>
      <c r="M16" s="395"/>
      <c r="N16" s="395"/>
      <c r="O16" s="395"/>
      <c r="P16" s="395"/>
      <c r="Q16" s="395"/>
      <c r="R16" s="395"/>
      <c r="S16" s="395"/>
      <c r="T16" s="29"/>
      <c r="U16" s="36"/>
      <c r="V16" s="393"/>
      <c r="W16" s="28"/>
      <c r="X16" s="28"/>
      <c r="Y16" s="398"/>
      <c r="Z16" s="399"/>
      <c r="AA16" s="331"/>
      <c r="AB16" s="400"/>
    </row>
    <row r="17" spans="1:28" ht="15" customHeight="1" thickTop="1" x14ac:dyDescent="0.35">
      <c r="A17" s="331"/>
      <c r="B17" s="331"/>
      <c r="C17" s="30" t="s">
        <v>1055</v>
      </c>
      <c r="D17" s="37" t="s">
        <v>1056</v>
      </c>
      <c r="E17" s="38" t="s">
        <v>173</v>
      </c>
      <c r="F17" s="38"/>
      <c r="G17" s="396">
        <f>SUM(G16)</f>
        <v>500000</v>
      </c>
      <c r="H17" s="397"/>
      <c r="I17" s="397"/>
      <c r="J17" s="397"/>
      <c r="K17" s="397"/>
      <c r="L17" s="397"/>
      <c r="M17" s="397"/>
      <c r="N17" s="397"/>
      <c r="O17" s="397"/>
      <c r="P17" s="397"/>
      <c r="Q17" s="397"/>
      <c r="R17" s="397"/>
      <c r="S17" s="397"/>
      <c r="T17" s="29"/>
      <c r="U17" s="39"/>
      <c r="V17" s="393"/>
      <c r="W17" s="28"/>
      <c r="X17" s="28"/>
      <c r="Y17" s="65"/>
      <c r="Z17" s="399"/>
      <c r="AA17" s="331"/>
      <c r="AB17" s="400"/>
    </row>
    <row r="18" spans="1:28" x14ac:dyDescent="0.35">
      <c r="A18" s="331"/>
      <c r="B18" s="331"/>
      <c r="C18" s="30"/>
      <c r="D18" s="37"/>
      <c r="E18" s="38"/>
      <c r="F18" s="38"/>
      <c r="G18" s="401"/>
      <c r="H18" s="401"/>
      <c r="I18" s="401"/>
      <c r="J18" s="401"/>
      <c r="K18" s="401"/>
      <c r="L18" s="401"/>
      <c r="M18" s="401"/>
      <c r="N18" s="401"/>
      <c r="O18" s="401"/>
      <c r="P18" s="401"/>
      <c r="Q18" s="401"/>
      <c r="R18" s="401"/>
      <c r="S18" s="401"/>
      <c r="T18" s="29"/>
      <c r="U18" s="39"/>
      <c r="V18" s="393"/>
      <c r="W18" s="28"/>
      <c r="X18" s="28"/>
      <c r="Y18" s="65"/>
      <c r="Z18" s="72" t="s">
        <v>1057</v>
      </c>
      <c r="AA18" s="331"/>
      <c r="AB18" s="400"/>
    </row>
    <row r="19" spans="1:28" x14ac:dyDescent="0.35">
      <c r="A19" s="331"/>
      <c r="B19" s="331"/>
      <c r="C19" s="28"/>
      <c r="D19" s="28"/>
      <c r="E19" s="28"/>
      <c r="F19" s="28"/>
      <c r="G19" s="28"/>
      <c r="H19" s="28"/>
      <c r="I19" s="28"/>
      <c r="J19" s="28"/>
      <c r="K19" s="28"/>
      <c r="L19" s="28"/>
      <c r="M19" s="28"/>
      <c r="N19" s="28"/>
      <c r="O19" s="28"/>
      <c r="P19" s="28"/>
      <c r="Q19" s="28"/>
      <c r="R19" s="28"/>
      <c r="S19" s="28"/>
      <c r="T19" s="28"/>
      <c r="U19" s="36"/>
      <c r="V19" s="393"/>
      <c r="W19" s="28"/>
      <c r="X19" s="28"/>
      <c r="Y19" s="65"/>
      <c r="Z19" s="72" t="s">
        <v>1058</v>
      </c>
      <c r="AA19" s="331"/>
      <c r="AB19" s="400"/>
    </row>
    <row r="20" spans="1:28" ht="15.65" customHeight="1" x14ac:dyDescent="0.35">
      <c r="A20" s="331"/>
      <c r="B20" s="331"/>
      <c r="C20" s="40" t="s">
        <v>1059</v>
      </c>
      <c r="D20" s="23"/>
      <c r="E20" s="24"/>
      <c r="F20" s="24"/>
      <c r="G20" s="24"/>
      <c r="H20" s="24"/>
      <c r="I20" s="24"/>
      <c r="J20" s="24"/>
      <c r="K20" s="24"/>
      <c r="L20" s="24"/>
      <c r="M20" s="24"/>
      <c r="N20" s="24"/>
      <c r="O20" s="24"/>
      <c r="P20" s="24"/>
      <c r="Q20" s="24"/>
      <c r="R20" s="24"/>
      <c r="S20" s="24"/>
      <c r="T20" s="24"/>
      <c r="U20" s="36"/>
      <c r="V20" s="393"/>
      <c r="W20" s="28"/>
      <c r="X20" s="28"/>
      <c r="Y20" s="84"/>
      <c r="Z20" s="72" t="s">
        <v>1060</v>
      </c>
      <c r="AA20" s="331"/>
      <c r="AB20" s="400"/>
    </row>
    <row r="21" spans="1:28" ht="16" customHeight="1" x14ac:dyDescent="0.35">
      <c r="A21" s="331"/>
      <c r="B21" s="331"/>
      <c r="C21" s="27"/>
      <c r="D21" s="28"/>
      <c r="E21" s="28"/>
      <c r="F21" s="28"/>
      <c r="G21" s="28"/>
      <c r="H21" s="28"/>
      <c r="I21" s="738" t="s">
        <v>1061</v>
      </c>
      <c r="J21" s="704"/>
      <c r="K21" s="738" t="s">
        <v>1062</v>
      </c>
      <c r="L21" s="704"/>
      <c r="M21" s="704"/>
      <c r="N21" s="704"/>
      <c r="O21" s="704"/>
      <c r="P21" s="738" t="s">
        <v>1063</v>
      </c>
      <c r="Q21" s="704"/>
      <c r="R21" s="704"/>
      <c r="S21" s="704"/>
      <c r="T21" s="704"/>
      <c r="U21" s="704"/>
      <c r="V21" s="41"/>
      <c r="W21" s="28"/>
      <c r="X21" s="28"/>
      <c r="Y21" s="65"/>
      <c r="Z21" s="73" t="s">
        <v>1064</v>
      </c>
      <c r="AA21" s="331"/>
      <c r="AB21" s="400"/>
    </row>
    <row r="22" spans="1:28" x14ac:dyDescent="0.35">
      <c r="A22" s="331"/>
      <c r="B22" s="331"/>
      <c r="C22" s="38" t="s">
        <v>1065</v>
      </c>
      <c r="D22" s="31"/>
      <c r="E22" s="38" t="s">
        <v>173</v>
      </c>
      <c r="F22" s="32"/>
      <c r="G22" s="32"/>
      <c r="H22" s="32"/>
      <c r="I22" s="329" t="s">
        <v>1066</v>
      </c>
      <c r="J22" s="329" t="s">
        <v>1067</v>
      </c>
      <c r="K22" s="329" t="s">
        <v>1068</v>
      </c>
      <c r="L22" s="329" t="s">
        <v>1069</v>
      </c>
      <c r="M22" s="329" t="s">
        <v>1070</v>
      </c>
      <c r="N22" s="329" t="s">
        <v>1071</v>
      </c>
      <c r="O22" s="329" t="s">
        <v>1072</v>
      </c>
      <c r="P22" s="329" t="s">
        <v>1073</v>
      </c>
      <c r="Q22" s="329" t="s">
        <v>1074</v>
      </c>
      <c r="R22" s="329" t="s">
        <v>1075</v>
      </c>
      <c r="S22" s="329" t="s">
        <v>1076</v>
      </c>
      <c r="T22" s="329" t="s">
        <v>1077</v>
      </c>
      <c r="U22" s="329" t="s">
        <v>1078</v>
      </c>
      <c r="V22" s="42" t="s">
        <v>1079</v>
      </c>
      <c r="W22" s="28"/>
      <c r="X22" s="28"/>
      <c r="Y22" s="391"/>
      <c r="Z22" s="72" t="s">
        <v>1080</v>
      </c>
      <c r="AA22" s="331"/>
      <c r="AB22" s="400"/>
    </row>
    <row r="23" spans="1:28" x14ac:dyDescent="0.35">
      <c r="A23" s="331"/>
      <c r="B23" s="331"/>
      <c r="C23" s="30"/>
      <c r="D23" s="43" t="s">
        <v>1081</v>
      </c>
      <c r="E23" s="38"/>
      <c r="F23" s="32"/>
      <c r="G23" s="394">
        <v>800000</v>
      </c>
      <c r="H23" s="395"/>
      <c r="I23" s="402">
        <v>61538</v>
      </c>
      <c r="J23" s="402">
        <v>61538</v>
      </c>
      <c r="K23" s="403">
        <v>61538</v>
      </c>
      <c r="L23" s="403">
        <v>61538</v>
      </c>
      <c r="M23" s="403">
        <v>61538</v>
      </c>
      <c r="N23" s="403">
        <v>61538</v>
      </c>
      <c r="O23" s="403">
        <v>61538</v>
      </c>
      <c r="P23" s="404">
        <v>61538</v>
      </c>
      <c r="Q23" s="404">
        <v>61538</v>
      </c>
      <c r="R23" s="404">
        <v>61538</v>
      </c>
      <c r="S23" s="404">
        <v>61538</v>
      </c>
      <c r="T23" s="404">
        <v>61538</v>
      </c>
      <c r="U23" s="404">
        <v>61538</v>
      </c>
      <c r="V23" s="405">
        <v>800000</v>
      </c>
      <c r="W23" s="406" t="str">
        <f t="shared" ref="W23:W33" si="0">IF(ABS(V23-G23)&lt;1,"OK","Check")</f>
        <v>OK</v>
      </c>
      <c r="X23" s="28"/>
      <c r="Y23" s="391"/>
      <c r="Z23" s="407" t="s">
        <v>1082</v>
      </c>
      <c r="AA23" s="331"/>
      <c r="AB23" s="400"/>
    </row>
    <row r="24" spans="1:28" ht="14.5" customHeight="1" x14ac:dyDescent="0.35">
      <c r="A24" s="331"/>
      <c r="B24" s="331"/>
      <c r="C24" s="33"/>
      <c r="D24" s="43" t="s">
        <v>1083</v>
      </c>
      <c r="E24" s="329"/>
      <c r="F24" s="32"/>
      <c r="G24" s="394">
        <v>50000</v>
      </c>
      <c r="H24" s="395"/>
      <c r="I24" s="402">
        <v>20000</v>
      </c>
      <c r="J24" s="402">
        <v>10000</v>
      </c>
      <c r="K24" s="403">
        <v>0</v>
      </c>
      <c r="L24" s="403">
        <v>0</v>
      </c>
      <c r="M24" s="403">
        <v>0</v>
      </c>
      <c r="N24" s="403">
        <v>0</v>
      </c>
      <c r="O24" s="403">
        <v>0</v>
      </c>
      <c r="P24" s="404">
        <v>10000</v>
      </c>
      <c r="Q24" s="404">
        <v>0</v>
      </c>
      <c r="R24" s="404">
        <v>0</v>
      </c>
      <c r="S24" s="404">
        <v>0</v>
      </c>
      <c r="T24" s="404">
        <v>0</v>
      </c>
      <c r="U24" s="404">
        <v>10000</v>
      </c>
      <c r="V24" s="405">
        <v>50000</v>
      </c>
      <c r="W24" s="406" t="str">
        <f t="shared" si="0"/>
        <v>OK</v>
      </c>
      <c r="X24" s="28"/>
      <c r="Y24" s="85"/>
      <c r="Z24" s="72" t="s">
        <v>1084</v>
      </c>
      <c r="AA24" s="331"/>
      <c r="AB24" s="400"/>
    </row>
    <row r="25" spans="1:28" x14ac:dyDescent="0.35">
      <c r="A25" s="331"/>
      <c r="B25" s="331"/>
      <c r="C25" s="33"/>
      <c r="D25" s="43" t="s">
        <v>1085</v>
      </c>
      <c r="E25" s="32"/>
      <c r="F25" s="32"/>
      <c r="G25" s="394">
        <v>75000</v>
      </c>
      <c r="H25" s="395"/>
      <c r="I25" s="402">
        <v>10000</v>
      </c>
      <c r="J25" s="402">
        <v>25000</v>
      </c>
      <c r="K25" s="403">
        <v>0</v>
      </c>
      <c r="L25" s="403">
        <v>0</v>
      </c>
      <c r="M25" s="403">
        <v>0</v>
      </c>
      <c r="N25" s="403">
        <v>0</v>
      </c>
      <c r="O25" s="403">
        <v>10000</v>
      </c>
      <c r="P25" s="404">
        <v>0</v>
      </c>
      <c r="Q25" s="404">
        <v>0</v>
      </c>
      <c r="R25" s="404">
        <v>0</v>
      </c>
      <c r="S25" s="404">
        <v>0</v>
      </c>
      <c r="T25" s="404">
        <v>10000</v>
      </c>
      <c r="U25" s="404">
        <v>20000</v>
      </c>
      <c r="V25" s="405">
        <v>75000</v>
      </c>
      <c r="W25" s="406" t="str">
        <f t="shared" si="0"/>
        <v>OK</v>
      </c>
      <c r="X25" s="28"/>
      <c r="Y25" s="85"/>
      <c r="Z25" s="65"/>
      <c r="AA25" s="331"/>
      <c r="AB25" s="400"/>
    </row>
    <row r="26" spans="1:28" x14ac:dyDescent="0.35">
      <c r="A26" s="331"/>
      <c r="B26" s="331"/>
      <c r="C26" s="33"/>
      <c r="D26" s="43" t="s">
        <v>1086</v>
      </c>
      <c r="E26" s="32"/>
      <c r="F26" s="32"/>
      <c r="G26" s="394">
        <v>50000</v>
      </c>
      <c r="H26" s="395"/>
      <c r="I26" s="402">
        <v>10000</v>
      </c>
      <c r="J26" s="402">
        <v>20000</v>
      </c>
      <c r="K26" s="403">
        <v>0</v>
      </c>
      <c r="L26" s="403">
        <v>0</v>
      </c>
      <c r="M26" s="403">
        <v>10000</v>
      </c>
      <c r="N26" s="403">
        <v>0</v>
      </c>
      <c r="O26" s="403">
        <v>0</v>
      </c>
      <c r="P26" s="404">
        <v>0</v>
      </c>
      <c r="Q26" s="404">
        <v>0</v>
      </c>
      <c r="R26" s="404">
        <v>0</v>
      </c>
      <c r="S26" s="404">
        <v>0</v>
      </c>
      <c r="T26" s="404">
        <v>0</v>
      </c>
      <c r="U26" s="404">
        <v>10000</v>
      </c>
      <c r="V26" s="405">
        <v>50000</v>
      </c>
      <c r="W26" s="406" t="str">
        <f t="shared" si="0"/>
        <v>OK</v>
      </c>
      <c r="X26" s="28"/>
      <c r="Y26" s="85"/>
      <c r="Z26" s="65"/>
      <c r="AA26" s="331"/>
      <c r="AB26" s="400"/>
    </row>
    <row r="27" spans="1:28" x14ac:dyDescent="0.35">
      <c r="A27" s="331"/>
      <c r="B27" s="331"/>
      <c r="C27" s="33"/>
      <c r="D27" s="43" t="s">
        <v>1087</v>
      </c>
      <c r="E27" s="32"/>
      <c r="F27" s="32"/>
      <c r="G27" s="394">
        <v>45000</v>
      </c>
      <c r="H27" s="395"/>
      <c r="I27" s="402">
        <v>15000</v>
      </c>
      <c r="J27" s="402">
        <v>0</v>
      </c>
      <c r="K27" s="403">
        <v>0</v>
      </c>
      <c r="L27" s="403">
        <v>0</v>
      </c>
      <c r="M27" s="403">
        <v>15000</v>
      </c>
      <c r="N27" s="403">
        <v>0</v>
      </c>
      <c r="O27" s="403">
        <v>0</v>
      </c>
      <c r="P27" s="404">
        <v>0</v>
      </c>
      <c r="Q27" s="404">
        <v>0</v>
      </c>
      <c r="R27" s="404">
        <v>0</v>
      </c>
      <c r="S27" s="404">
        <v>0</v>
      </c>
      <c r="T27" s="404">
        <v>0</v>
      </c>
      <c r="U27" s="404">
        <v>15000</v>
      </c>
      <c r="V27" s="405">
        <v>45000</v>
      </c>
      <c r="W27" s="406" t="str">
        <f t="shared" si="0"/>
        <v>OK</v>
      </c>
      <c r="X27" s="28"/>
      <c r="Y27" s="85"/>
      <c r="Z27" s="65"/>
      <c r="AA27" s="331"/>
      <c r="AB27" s="400"/>
    </row>
    <row r="28" spans="1:28" x14ac:dyDescent="0.35">
      <c r="A28" s="331"/>
      <c r="B28" s="331"/>
      <c r="C28" s="33"/>
      <c r="D28" s="43" t="s">
        <v>1088</v>
      </c>
      <c r="E28" s="32"/>
      <c r="F28" s="32"/>
      <c r="G28" s="394">
        <v>40000</v>
      </c>
      <c r="H28" s="395"/>
      <c r="I28" s="402">
        <v>0</v>
      </c>
      <c r="J28" s="402">
        <v>20000</v>
      </c>
      <c r="K28" s="403">
        <v>0</v>
      </c>
      <c r="L28" s="403">
        <v>0</v>
      </c>
      <c r="M28" s="403">
        <v>5000</v>
      </c>
      <c r="N28" s="403">
        <v>0</v>
      </c>
      <c r="O28" s="403">
        <v>0</v>
      </c>
      <c r="P28" s="404">
        <v>0</v>
      </c>
      <c r="Q28" s="404">
        <v>5000</v>
      </c>
      <c r="R28" s="404">
        <v>0</v>
      </c>
      <c r="S28" s="404">
        <v>5000</v>
      </c>
      <c r="T28" s="404">
        <v>0</v>
      </c>
      <c r="U28" s="404">
        <v>5000</v>
      </c>
      <c r="V28" s="405">
        <v>40000</v>
      </c>
      <c r="W28" s="406" t="str">
        <f t="shared" si="0"/>
        <v>OK</v>
      </c>
      <c r="X28" s="28"/>
      <c r="Y28" s="85"/>
      <c r="Z28" s="65"/>
      <c r="AA28" s="331"/>
      <c r="AB28" s="400"/>
    </row>
    <row r="29" spans="1:28" x14ac:dyDescent="0.35">
      <c r="A29" s="331"/>
      <c r="B29" s="331"/>
      <c r="C29" s="33"/>
      <c r="D29" s="43" t="s">
        <v>1089</v>
      </c>
      <c r="E29" s="32"/>
      <c r="F29" s="32"/>
      <c r="G29" s="394">
        <v>30000</v>
      </c>
      <c r="H29" s="395"/>
      <c r="I29" s="402">
        <v>0</v>
      </c>
      <c r="J29" s="402">
        <v>20000</v>
      </c>
      <c r="K29" s="403">
        <v>0</v>
      </c>
      <c r="L29" s="403">
        <v>0</v>
      </c>
      <c r="M29" s="403">
        <v>0</v>
      </c>
      <c r="N29" s="403">
        <v>0</v>
      </c>
      <c r="O29" s="403">
        <v>0</v>
      </c>
      <c r="P29" s="404">
        <v>0</v>
      </c>
      <c r="Q29" s="404">
        <v>0</v>
      </c>
      <c r="R29" s="404">
        <v>0</v>
      </c>
      <c r="S29" s="404">
        <v>0</v>
      </c>
      <c r="T29" s="404">
        <v>0</v>
      </c>
      <c r="U29" s="404">
        <v>10000</v>
      </c>
      <c r="V29" s="405">
        <v>30000</v>
      </c>
      <c r="W29" s="406" t="str">
        <f t="shared" si="0"/>
        <v>OK</v>
      </c>
      <c r="X29" s="28"/>
      <c r="Y29" s="85"/>
      <c r="Z29" s="65"/>
      <c r="AA29" s="331"/>
      <c r="AB29" s="400"/>
    </row>
    <row r="30" spans="1:28" x14ac:dyDescent="0.35">
      <c r="A30" s="331"/>
      <c r="B30" s="331"/>
      <c r="C30" s="33"/>
      <c r="D30" s="43" t="s">
        <v>1090</v>
      </c>
      <c r="E30" s="32"/>
      <c r="F30" s="32"/>
      <c r="G30" s="394">
        <v>100000</v>
      </c>
      <c r="H30" s="395"/>
      <c r="I30" s="402">
        <v>0</v>
      </c>
      <c r="J30" s="402">
        <v>25000</v>
      </c>
      <c r="K30" s="403">
        <v>25000</v>
      </c>
      <c r="L30" s="403">
        <v>10000</v>
      </c>
      <c r="M30" s="403">
        <v>0</v>
      </c>
      <c r="N30" s="403">
        <v>0</v>
      </c>
      <c r="O30" s="403">
        <v>15000</v>
      </c>
      <c r="P30" s="404">
        <v>15000</v>
      </c>
      <c r="Q30" s="404">
        <v>0</v>
      </c>
      <c r="R30" s="404">
        <v>0</v>
      </c>
      <c r="S30" s="404">
        <v>0</v>
      </c>
      <c r="T30" s="404">
        <v>0</v>
      </c>
      <c r="U30" s="404">
        <v>10000</v>
      </c>
      <c r="V30" s="405">
        <v>100000</v>
      </c>
      <c r="W30" s="406" t="str">
        <f t="shared" si="0"/>
        <v>OK</v>
      </c>
      <c r="X30" s="28"/>
      <c r="Y30" s="85"/>
      <c r="Z30" s="65"/>
      <c r="AA30" s="331"/>
      <c r="AB30" s="400"/>
    </row>
    <row r="31" spans="1:28" x14ac:dyDescent="0.35">
      <c r="A31" s="331"/>
      <c r="B31" s="331"/>
      <c r="C31" s="33"/>
      <c r="D31" s="43" t="s">
        <v>548</v>
      </c>
      <c r="E31" s="32"/>
      <c r="F31" s="32"/>
      <c r="G31" s="394">
        <v>50000</v>
      </c>
      <c r="H31" s="395"/>
      <c r="I31" s="402">
        <v>0</v>
      </c>
      <c r="J31" s="402">
        <v>15000</v>
      </c>
      <c r="K31" s="403">
        <v>0</v>
      </c>
      <c r="L31" s="403">
        <v>10000</v>
      </c>
      <c r="M31" s="403">
        <v>0</v>
      </c>
      <c r="N31" s="403">
        <v>0</v>
      </c>
      <c r="O31" s="403">
        <v>0</v>
      </c>
      <c r="P31" s="404">
        <v>0</v>
      </c>
      <c r="Q31" s="404">
        <v>15000</v>
      </c>
      <c r="R31" s="404">
        <v>0</v>
      </c>
      <c r="S31" s="404">
        <v>0</v>
      </c>
      <c r="T31" s="404">
        <v>10000</v>
      </c>
      <c r="U31" s="404">
        <v>0</v>
      </c>
      <c r="V31" s="405">
        <v>50000</v>
      </c>
      <c r="W31" s="406" t="str">
        <f t="shared" si="0"/>
        <v>OK</v>
      </c>
      <c r="X31" s="28"/>
      <c r="Y31" s="85"/>
      <c r="Z31" s="65"/>
      <c r="AA31" s="331"/>
      <c r="AB31" s="400"/>
    </row>
    <row r="32" spans="1:28" ht="15" customHeight="1" thickBot="1" x14ac:dyDescent="0.4">
      <c r="A32" s="331"/>
      <c r="B32" s="331"/>
      <c r="C32" s="33"/>
      <c r="D32" s="43" t="s">
        <v>1091</v>
      </c>
      <c r="E32" s="32"/>
      <c r="F32" s="32"/>
      <c r="G32" s="394">
        <v>30000</v>
      </c>
      <c r="H32" s="395"/>
      <c r="I32" s="402">
        <v>0</v>
      </c>
      <c r="J32" s="402">
        <v>20000</v>
      </c>
      <c r="K32" s="403">
        <v>0</v>
      </c>
      <c r="L32" s="403">
        <v>0</v>
      </c>
      <c r="M32" s="403">
        <v>0</v>
      </c>
      <c r="N32" s="403">
        <v>0</v>
      </c>
      <c r="O32" s="403">
        <v>0</v>
      </c>
      <c r="P32" s="404">
        <v>0</v>
      </c>
      <c r="Q32" s="404">
        <v>0</v>
      </c>
      <c r="R32" s="404">
        <v>0</v>
      </c>
      <c r="S32" s="404">
        <v>0</v>
      </c>
      <c r="T32" s="404">
        <v>0</v>
      </c>
      <c r="U32" s="404">
        <v>10000</v>
      </c>
      <c r="V32" s="405">
        <v>30000</v>
      </c>
      <c r="W32" s="406" t="str">
        <f t="shared" si="0"/>
        <v>OK</v>
      </c>
      <c r="X32" s="28"/>
      <c r="Y32" s="85"/>
      <c r="Z32" s="85"/>
      <c r="AA32" s="331"/>
      <c r="AB32" s="400"/>
    </row>
    <row r="33" spans="1:28" ht="15" customHeight="1" thickTop="1" x14ac:dyDescent="0.35">
      <c r="A33" s="331"/>
      <c r="B33" s="331"/>
      <c r="C33" s="29"/>
      <c r="D33" s="37" t="s">
        <v>1092</v>
      </c>
      <c r="E33" s="28"/>
      <c r="F33" s="28"/>
      <c r="G33" s="396">
        <f>SUM(G23:G32)</f>
        <v>1270000</v>
      </c>
      <c r="H33" s="397"/>
      <c r="I33" s="408">
        <f t="shared" ref="I33:V33" si="1">SUM(I23:I32)</f>
        <v>116538</v>
      </c>
      <c r="J33" s="408">
        <f t="shared" si="1"/>
        <v>216538</v>
      </c>
      <c r="K33" s="409">
        <f t="shared" si="1"/>
        <v>86538</v>
      </c>
      <c r="L33" s="409">
        <f t="shared" si="1"/>
        <v>81538</v>
      </c>
      <c r="M33" s="409">
        <f t="shared" si="1"/>
        <v>91538</v>
      </c>
      <c r="N33" s="409">
        <f t="shared" si="1"/>
        <v>61538</v>
      </c>
      <c r="O33" s="409">
        <f t="shared" si="1"/>
        <v>86538</v>
      </c>
      <c r="P33" s="410">
        <f t="shared" si="1"/>
        <v>86538</v>
      </c>
      <c r="Q33" s="410">
        <f t="shared" si="1"/>
        <v>81538</v>
      </c>
      <c r="R33" s="410">
        <f t="shared" si="1"/>
        <v>61538</v>
      </c>
      <c r="S33" s="410">
        <f t="shared" si="1"/>
        <v>66538</v>
      </c>
      <c r="T33" s="410">
        <f t="shared" si="1"/>
        <v>81538</v>
      </c>
      <c r="U33" s="410">
        <f t="shared" si="1"/>
        <v>151538</v>
      </c>
      <c r="V33" s="405">
        <f t="shared" si="1"/>
        <v>1270000</v>
      </c>
      <c r="W33" s="406" t="str">
        <f t="shared" si="0"/>
        <v>OK</v>
      </c>
      <c r="X33" s="28"/>
      <c r="Y33" s="85"/>
      <c r="Z33" s="85"/>
      <c r="AA33" s="331"/>
      <c r="AB33" s="400"/>
    </row>
    <row r="34" spans="1:28" x14ac:dyDescent="0.35">
      <c r="A34" s="331"/>
      <c r="B34" s="331"/>
      <c r="C34" s="29"/>
      <c r="D34" s="29"/>
      <c r="E34" s="28"/>
      <c r="F34" s="28"/>
      <c r="G34" s="44"/>
      <c r="H34" s="44"/>
      <c r="I34" s="45"/>
      <c r="J34" s="45"/>
      <c r="K34" s="46"/>
      <c r="L34" s="46"/>
      <c r="M34" s="46"/>
      <c r="N34" s="46"/>
      <c r="O34" s="46"/>
      <c r="P34" s="47"/>
      <c r="Q34" s="47"/>
      <c r="R34" s="47"/>
      <c r="S34" s="47"/>
      <c r="T34" s="48"/>
      <c r="U34" s="49"/>
      <c r="V34" s="411"/>
      <c r="W34" s="28"/>
      <c r="X34" s="28"/>
      <c r="Y34" s="85"/>
      <c r="Z34" s="85"/>
      <c r="AA34" s="331"/>
      <c r="AB34" s="400"/>
    </row>
    <row r="35" spans="1:28" x14ac:dyDescent="0.35">
      <c r="A35" s="331"/>
      <c r="B35" s="331"/>
      <c r="C35" s="33" t="s">
        <v>1093</v>
      </c>
      <c r="D35" s="29"/>
      <c r="E35" s="28"/>
      <c r="F35" s="28"/>
      <c r="G35" s="44"/>
      <c r="H35" s="44"/>
      <c r="I35" s="45"/>
      <c r="J35" s="45"/>
      <c r="K35" s="46"/>
      <c r="L35" s="46"/>
      <c r="M35" s="46"/>
      <c r="N35" s="46"/>
      <c r="O35" s="46"/>
      <c r="P35" s="47"/>
      <c r="Q35" s="47"/>
      <c r="R35" s="47"/>
      <c r="S35" s="47"/>
      <c r="T35" s="50"/>
      <c r="U35" s="49"/>
      <c r="V35" s="411"/>
      <c r="W35" s="28"/>
      <c r="X35" s="28"/>
      <c r="Y35" s="85"/>
      <c r="Z35" s="85"/>
      <c r="AA35" s="331"/>
      <c r="AB35" s="400"/>
    </row>
    <row r="36" spans="1:28" x14ac:dyDescent="0.35">
      <c r="A36" s="331"/>
      <c r="B36" s="331"/>
      <c r="C36" s="29"/>
      <c r="D36" s="43" t="s">
        <v>1094</v>
      </c>
      <c r="E36" s="32"/>
      <c r="F36" s="32"/>
      <c r="G36" s="394">
        <v>3400000</v>
      </c>
      <c r="H36" s="395"/>
      <c r="I36" s="402">
        <v>0</v>
      </c>
      <c r="J36" s="402">
        <v>0</v>
      </c>
      <c r="K36" s="412">
        <v>0</v>
      </c>
      <c r="L36" s="412">
        <v>680000</v>
      </c>
      <c r="M36" s="412">
        <v>680000</v>
      </c>
      <c r="N36" s="412">
        <v>1360000</v>
      </c>
      <c r="O36" s="412">
        <v>0</v>
      </c>
      <c r="P36" s="413">
        <v>340000</v>
      </c>
      <c r="Q36" s="413">
        <v>0</v>
      </c>
      <c r="R36" s="413">
        <v>0</v>
      </c>
      <c r="S36" s="413">
        <v>0</v>
      </c>
      <c r="T36" s="414">
        <v>0</v>
      </c>
      <c r="U36" s="415">
        <v>340000</v>
      </c>
      <c r="V36" s="411">
        <v>3400000</v>
      </c>
      <c r="W36" s="406" t="str">
        <f t="shared" ref="W36:W45" si="2">IF(ABS(V36-G36)&lt;1,"OK","Check")</f>
        <v>OK</v>
      </c>
      <c r="X36" s="28"/>
      <c r="Y36" s="85"/>
      <c r="Z36" s="85"/>
      <c r="AA36" s="331"/>
      <c r="AB36" s="400"/>
    </row>
    <row r="37" spans="1:28" x14ac:dyDescent="0.35">
      <c r="A37" s="331"/>
      <c r="B37" s="331"/>
      <c r="C37" s="29"/>
      <c r="D37" s="43" t="s">
        <v>1095</v>
      </c>
      <c r="E37" s="32"/>
      <c r="F37" s="32"/>
      <c r="G37" s="394">
        <v>2600000</v>
      </c>
      <c r="H37" s="395"/>
      <c r="I37" s="402">
        <v>0</v>
      </c>
      <c r="J37" s="402">
        <v>0</v>
      </c>
      <c r="K37" s="412">
        <v>0</v>
      </c>
      <c r="L37" s="403">
        <v>0</v>
      </c>
      <c r="M37" s="403">
        <v>0</v>
      </c>
      <c r="N37" s="403">
        <v>260000</v>
      </c>
      <c r="O37" s="403">
        <v>1820000</v>
      </c>
      <c r="P37" s="404">
        <v>390000</v>
      </c>
      <c r="Q37" s="404">
        <v>0</v>
      </c>
      <c r="R37" s="404">
        <v>0</v>
      </c>
      <c r="S37" s="404">
        <v>0</v>
      </c>
      <c r="T37" s="416">
        <v>0</v>
      </c>
      <c r="U37" s="417">
        <v>130000</v>
      </c>
      <c r="V37" s="411">
        <v>2600000</v>
      </c>
      <c r="W37" s="406" t="str">
        <f t="shared" si="2"/>
        <v>OK</v>
      </c>
      <c r="X37" s="28"/>
      <c r="Y37" s="85"/>
      <c r="Z37" s="85"/>
      <c r="AA37" s="331"/>
      <c r="AB37" s="331"/>
    </row>
    <row r="38" spans="1:28" x14ac:dyDescent="0.35">
      <c r="A38" s="331"/>
      <c r="B38" s="331"/>
      <c r="C38" s="29"/>
      <c r="D38" s="51" t="s">
        <v>1096</v>
      </c>
      <c r="E38" s="32"/>
      <c r="F38" s="32"/>
      <c r="G38" s="394">
        <v>250000</v>
      </c>
      <c r="H38" s="395"/>
      <c r="I38" s="402">
        <v>0</v>
      </c>
      <c r="J38" s="402">
        <v>0</v>
      </c>
      <c r="K38" s="403">
        <v>0</v>
      </c>
      <c r="L38" s="403">
        <v>0</v>
      </c>
      <c r="M38" s="403">
        <v>0</v>
      </c>
      <c r="N38" s="403">
        <v>25000</v>
      </c>
      <c r="O38" s="403">
        <v>150000</v>
      </c>
      <c r="P38" s="404">
        <v>0</v>
      </c>
      <c r="Q38" s="404">
        <v>25000</v>
      </c>
      <c r="R38" s="404">
        <v>0</v>
      </c>
      <c r="S38" s="404">
        <v>0</v>
      </c>
      <c r="T38" s="416">
        <v>25000</v>
      </c>
      <c r="U38" s="417">
        <v>25000</v>
      </c>
      <c r="V38" s="411">
        <v>250000</v>
      </c>
      <c r="W38" s="406" t="str">
        <f t="shared" si="2"/>
        <v>OK</v>
      </c>
      <c r="X38" s="28"/>
      <c r="Y38" s="85"/>
      <c r="Z38" s="85"/>
      <c r="AA38" s="86"/>
      <c r="AB38" s="331"/>
    </row>
    <row r="39" spans="1:28" x14ac:dyDescent="0.35">
      <c r="A39" s="331"/>
      <c r="B39" s="331"/>
      <c r="C39" s="29"/>
      <c r="D39" s="43" t="s">
        <v>1097</v>
      </c>
      <c r="E39" s="32"/>
      <c r="F39" s="32"/>
      <c r="G39" s="394">
        <v>200000</v>
      </c>
      <c r="H39" s="395"/>
      <c r="I39" s="402">
        <v>0</v>
      </c>
      <c r="J39" s="402">
        <v>0</v>
      </c>
      <c r="K39" s="403">
        <v>0</v>
      </c>
      <c r="L39" s="403">
        <v>0</v>
      </c>
      <c r="M39" s="403">
        <v>0</v>
      </c>
      <c r="N39" s="403">
        <v>20000</v>
      </c>
      <c r="O39" s="403">
        <v>80000</v>
      </c>
      <c r="P39" s="404">
        <v>0</v>
      </c>
      <c r="Q39" s="404">
        <v>20000</v>
      </c>
      <c r="R39" s="404">
        <v>0</v>
      </c>
      <c r="S39" s="404">
        <v>0</v>
      </c>
      <c r="T39" s="416">
        <v>70000</v>
      </c>
      <c r="U39" s="417">
        <v>10000</v>
      </c>
      <c r="V39" s="411">
        <v>200000</v>
      </c>
      <c r="W39" s="406" t="str">
        <f t="shared" si="2"/>
        <v>OK</v>
      </c>
      <c r="X39" s="28"/>
      <c r="Y39" s="85"/>
      <c r="Z39" s="85"/>
      <c r="AA39" s="86"/>
      <c r="AB39" s="331"/>
    </row>
    <row r="40" spans="1:28" x14ac:dyDescent="0.35">
      <c r="A40" s="331"/>
      <c r="B40" s="331"/>
      <c r="C40" s="29"/>
      <c r="D40" s="43" t="s">
        <v>1098</v>
      </c>
      <c r="E40" s="32"/>
      <c r="F40" s="32"/>
      <c r="G40" s="394">
        <v>200000</v>
      </c>
      <c r="H40" s="395"/>
      <c r="I40" s="402">
        <v>0</v>
      </c>
      <c r="J40" s="402">
        <v>0</v>
      </c>
      <c r="K40" s="403">
        <v>0</v>
      </c>
      <c r="L40" s="403">
        <v>0</v>
      </c>
      <c r="M40" s="403">
        <v>0</v>
      </c>
      <c r="N40" s="403">
        <v>20000</v>
      </c>
      <c r="O40" s="403">
        <v>80000</v>
      </c>
      <c r="P40" s="404">
        <v>0</v>
      </c>
      <c r="Q40" s="404">
        <v>20000</v>
      </c>
      <c r="R40" s="404">
        <v>0</v>
      </c>
      <c r="S40" s="404">
        <v>0</v>
      </c>
      <c r="T40" s="416">
        <v>70000</v>
      </c>
      <c r="U40" s="417">
        <v>10000</v>
      </c>
      <c r="V40" s="411">
        <v>200000</v>
      </c>
      <c r="W40" s="406" t="str">
        <f t="shared" si="2"/>
        <v>OK</v>
      </c>
      <c r="X40" s="28"/>
      <c r="Y40" s="85"/>
      <c r="Z40" s="85"/>
      <c r="AA40" s="86"/>
      <c r="AB40" s="331"/>
    </row>
    <row r="41" spans="1:28" x14ac:dyDescent="0.35">
      <c r="A41" s="331"/>
      <c r="B41" s="331"/>
      <c r="C41" s="29"/>
      <c r="D41" s="43" t="s">
        <v>1057</v>
      </c>
      <c r="E41" s="32"/>
      <c r="F41" s="32"/>
      <c r="G41" s="394">
        <v>230000</v>
      </c>
      <c r="H41" s="395"/>
      <c r="I41" s="402">
        <v>0</v>
      </c>
      <c r="J41" s="402">
        <v>0</v>
      </c>
      <c r="K41" s="403">
        <v>0</v>
      </c>
      <c r="L41" s="403">
        <v>0</v>
      </c>
      <c r="M41" s="403">
        <v>0</v>
      </c>
      <c r="N41" s="403">
        <v>46000</v>
      </c>
      <c r="O41" s="403">
        <v>138000</v>
      </c>
      <c r="P41" s="404">
        <v>0</v>
      </c>
      <c r="Q41" s="404">
        <v>34500</v>
      </c>
      <c r="R41" s="404">
        <v>0</v>
      </c>
      <c r="S41" s="404">
        <v>0</v>
      </c>
      <c r="T41" s="416">
        <v>0</v>
      </c>
      <c r="U41" s="417">
        <v>11500</v>
      </c>
      <c r="V41" s="411">
        <v>230000</v>
      </c>
      <c r="W41" s="406" t="str">
        <f t="shared" si="2"/>
        <v>OK</v>
      </c>
      <c r="X41" s="28"/>
      <c r="Y41" s="85"/>
      <c r="Z41" s="85"/>
      <c r="AA41" s="86"/>
      <c r="AB41" s="331"/>
    </row>
    <row r="42" spans="1:28" x14ac:dyDescent="0.35">
      <c r="A42" s="331"/>
      <c r="B42" s="331"/>
      <c r="C42" s="29"/>
      <c r="D42" s="43" t="s">
        <v>1099</v>
      </c>
      <c r="E42" s="32"/>
      <c r="F42" s="32"/>
      <c r="G42" s="394">
        <v>300000</v>
      </c>
      <c r="H42" s="395"/>
      <c r="I42" s="402">
        <v>0</v>
      </c>
      <c r="J42" s="402">
        <v>0</v>
      </c>
      <c r="K42" s="403">
        <v>0</v>
      </c>
      <c r="L42" s="403">
        <v>0</v>
      </c>
      <c r="M42" s="403">
        <v>0</v>
      </c>
      <c r="N42" s="403">
        <v>60000</v>
      </c>
      <c r="O42" s="403">
        <v>150000</v>
      </c>
      <c r="P42" s="404">
        <v>0</v>
      </c>
      <c r="Q42" s="404">
        <v>0</v>
      </c>
      <c r="R42" s="404">
        <v>0</v>
      </c>
      <c r="S42" s="404">
        <v>0</v>
      </c>
      <c r="T42" s="416">
        <v>0</v>
      </c>
      <c r="U42" s="417">
        <v>90000</v>
      </c>
      <c r="V42" s="411">
        <v>300000</v>
      </c>
      <c r="W42" s="406" t="str">
        <f t="shared" si="2"/>
        <v>OK</v>
      </c>
      <c r="X42" s="28"/>
      <c r="Y42" s="85"/>
      <c r="Z42" s="85"/>
      <c r="AA42" s="86"/>
      <c r="AB42" s="331"/>
    </row>
    <row r="43" spans="1:28" x14ac:dyDescent="0.35">
      <c r="A43" s="331"/>
      <c r="B43" s="331"/>
      <c r="C43" s="29"/>
      <c r="D43" s="43" t="s">
        <v>1100</v>
      </c>
      <c r="E43" s="32"/>
      <c r="F43" s="32"/>
      <c r="G43" s="394">
        <v>30000</v>
      </c>
      <c r="H43" s="395"/>
      <c r="I43" s="402">
        <v>0</v>
      </c>
      <c r="J43" s="402">
        <v>0</v>
      </c>
      <c r="K43" s="403">
        <v>0</v>
      </c>
      <c r="L43" s="403">
        <v>0</v>
      </c>
      <c r="M43" s="403">
        <v>0</v>
      </c>
      <c r="N43" s="403">
        <v>6000</v>
      </c>
      <c r="O43" s="403">
        <v>12000</v>
      </c>
      <c r="P43" s="404">
        <v>0</v>
      </c>
      <c r="Q43" s="404">
        <v>3000</v>
      </c>
      <c r="R43" s="404">
        <v>0</v>
      </c>
      <c r="S43" s="404">
        <v>0</v>
      </c>
      <c r="T43" s="404">
        <v>0</v>
      </c>
      <c r="U43" s="417">
        <v>9000</v>
      </c>
      <c r="V43" s="411">
        <v>30000</v>
      </c>
      <c r="W43" s="406" t="str">
        <f t="shared" si="2"/>
        <v>OK</v>
      </c>
      <c r="X43" s="28"/>
      <c r="Y43" s="85"/>
      <c r="Z43" s="85"/>
      <c r="AA43" s="86"/>
      <c r="AB43" s="331"/>
    </row>
    <row r="44" spans="1:28" ht="15" customHeight="1" thickBot="1" x14ac:dyDescent="0.4">
      <c r="A44" s="331"/>
      <c r="B44" s="331"/>
      <c r="C44" s="29"/>
      <c r="D44" s="43" t="s">
        <v>1101</v>
      </c>
      <c r="E44" s="32"/>
      <c r="F44" s="32"/>
      <c r="G44" s="394">
        <v>70000</v>
      </c>
      <c r="H44" s="395"/>
      <c r="I44" s="402">
        <v>0</v>
      </c>
      <c r="J44" s="402">
        <v>0</v>
      </c>
      <c r="K44" s="403">
        <v>0</v>
      </c>
      <c r="L44" s="403">
        <v>0</v>
      </c>
      <c r="M44" s="403">
        <v>0</v>
      </c>
      <c r="N44" s="403">
        <v>14000</v>
      </c>
      <c r="O44" s="403">
        <v>42000</v>
      </c>
      <c r="P44" s="404">
        <v>0</v>
      </c>
      <c r="Q44" s="404">
        <v>7000</v>
      </c>
      <c r="R44" s="404">
        <v>0</v>
      </c>
      <c r="S44" s="404">
        <v>0</v>
      </c>
      <c r="T44" s="404">
        <v>0</v>
      </c>
      <c r="U44" s="417">
        <v>7000</v>
      </c>
      <c r="V44" s="411">
        <v>70000</v>
      </c>
      <c r="W44" s="406" t="str">
        <f t="shared" si="2"/>
        <v>OK</v>
      </c>
      <c r="X44" s="28"/>
      <c r="Y44" s="85"/>
      <c r="Z44" s="85"/>
      <c r="AA44" s="87"/>
      <c r="AB44" s="331"/>
    </row>
    <row r="45" spans="1:28" ht="15" customHeight="1" thickTop="1" x14ac:dyDescent="0.35">
      <c r="A45" s="331"/>
      <c r="B45" s="331"/>
      <c r="C45" s="37"/>
      <c r="D45" s="37" t="s">
        <v>1102</v>
      </c>
      <c r="E45" s="38" t="s">
        <v>173</v>
      </c>
      <c r="F45" s="38"/>
      <c r="G45" s="396">
        <f>SUM(G36:G44)</f>
        <v>7280000</v>
      </c>
      <c r="H45" s="397"/>
      <c r="I45" s="402">
        <f t="shared" ref="I45:V45" si="3">SUM(I36:I44)</f>
        <v>0</v>
      </c>
      <c r="J45" s="402">
        <f t="shared" si="3"/>
        <v>0</v>
      </c>
      <c r="K45" s="403">
        <f t="shared" si="3"/>
        <v>0</v>
      </c>
      <c r="L45" s="403">
        <f t="shared" si="3"/>
        <v>680000</v>
      </c>
      <c r="M45" s="403">
        <f t="shared" si="3"/>
        <v>680000</v>
      </c>
      <c r="N45" s="403">
        <f t="shared" si="3"/>
        <v>1811000</v>
      </c>
      <c r="O45" s="403">
        <f t="shared" si="3"/>
        <v>2472000</v>
      </c>
      <c r="P45" s="404">
        <f t="shared" si="3"/>
        <v>730000</v>
      </c>
      <c r="Q45" s="404">
        <f t="shared" si="3"/>
        <v>109500</v>
      </c>
      <c r="R45" s="404">
        <f t="shared" si="3"/>
        <v>0</v>
      </c>
      <c r="S45" s="404">
        <f t="shared" si="3"/>
        <v>0</v>
      </c>
      <c r="T45" s="404">
        <f t="shared" si="3"/>
        <v>165000</v>
      </c>
      <c r="U45" s="404">
        <f t="shared" si="3"/>
        <v>632500</v>
      </c>
      <c r="V45" s="418">
        <f t="shared" si="3"/>
        <v>7280000</v>
      </c>
      <c r="W45" s="406" t="str">
        <f t="shared" si="2"/>
        <v>OK</v>
      </c>
      <c r="X45" s="28"/>
      <c r="Y45" s="85"/>
      <c r="Z45" s="85"/>
      <c r="AA45" s="87"/>
      <c r="AB45" s="331"/>
    </row>
    <row r="46" spans="1:28" x14ac:dyDescent="0.35">
      <c r="A46" s="331"/>
      <c r="B46" s="331"/>
      <c r="C46" s="29"/>
      <c r="D46" s="37"/>
      <c r="E46" s="32"/>
      <c r="F46" s="32"/>
      <c r="G46" s="52"/>
      <c r="H46" s="52"/>
      <c r="I46" s="53"/>
      <c r="J46" s="53"/>
      <c r="K46" s="54"/>
      <c r="L46" s="54"/>
      <c r="M46" s="54"/>
      <c r="N46" s="54"/>
      <c r="O46" s="54"/>
      <c r="P46" s="55"/>
      <c r="Q46" s="55"/>
      <c r="R46" s="55"/>
      <c r="S46" s="55"/>
      <c r="T46" s="416"/>
      <c r="U46" s="49"/>
      <c r="V46" s="411"/>
      <c r="W46" s="28"/>
      <c r="X46" s="28"/>
      <c r="Y46" s="85"/>
      <c r="Z46" s="85"/>
      <c r="AA46" s="87"/>
      <c r="AB46" s="331"/>
    </row>
    <row r="47" spans="1:28" x14ac:dyDescent="0.35">
      <c r="A47" s="331"/>
      <c r="B47" s="331"/>
      <c r="C47" s="33" t="s">
        <v>1103</v>
      </c>
      <c r="D47" s="31"/>
      <c r="E47" s="28"/>
      <c r="F47" s="28"/>
      <c r="G47" s="44"/>
      <c r="H47" s="44"/>
      <c r="I47" s="45"/>
      <c r="J47" s="45"/>
      <c r="K47" s="46"/>
      <c r="L47" s="46"/>
      <c r="M47" s="46"/>
      <c r="N47" s="46"/>
      <c r="O47" s="46"/>
      <c r="P47" s="47"/>
      <c r="Q47" s="47"/>
      <c r="R47" s="47"/>
      <c r="S47" s="47"/>
      <c r="T47" s="416"/>
      <c r="U47" s="49"/>
      <c r="V47" s="411"/>
      <c r="W47" s="28"/>
      <c r="X47" s="28"/>
      <c r="Y47" s="85"/>
      <c r="Z47" s="85"/>
      <c r="AA47" s="87"/>
      <c r="AB47" s="331"/>
    </row>
    <row r="48" spans="1:28" x14ac:dyDescent="0.35">
      <c r="A48" s="331"/>
      <c r="B48" s="331"/>
      <c r="C48" s="29"/>
      <c r="D48" s="56" t="s">
        <v>1104</v>
      </c>
      <c r="E48" s="329"/>
      <c r="F48" s="32"/>
      <c r="G48" s="394">
        <v>80000</v>
      </c>
      <c r="H48" s="395"/>
      <c r="I48" s="419">
        <v>0</v>
      </c>
      <c r="J48" s="419">
        <v>0</v>
      </c>
      <c r="K48" s="420">
        <v>0</v>
      </c>
      <c r="L48" s="420">
        <v>0</v>
      </c>
      <c r="M48" s="420">
        <v>0</v>
      </c>
      <c r="N48" s="420">
        <v>0</v>
      </c>
      <c r="O48" s="420">
        <v>0</v>
      </c>
      <c r="P48" s="421">
        <v>0</v>
      </c>
      <c r="Q48" s="421">
        <v>0</v>
      </c>
      <c r="R48" s="422">
        <v>80000</v>
      </c>
      <c r="S48" s="421">
        <v>0</v>
      </c>
      <c r="T48" s="421">
        <v>0</v>
      </c>
      <c r="U48" s="421">
        <v>0</v>
      </c>
      <c r="V48" s="411">
        <v>80000</v>
      </c>
      <c r="W48" s="406" t="str">
        <f t="shared" ref="W48:W56" si="4">IF(ABS(V48-G48)&lt;1,"OK","Check")</f>
        <v>OK</v>
      </c>
      <c r="X48" s="28"/>
      <c r="Y48" s="85"/>
      <c r="Z48" s="85"/>
      <c r="AA48" s="87"/>
      <c r="AB48" s="331"/>
    </row>
    <row r="49" spans="1:28" x14ac:dyDescent="0.35">
      <c r="A49" s="331"/>
      <c r="B49" s="331"/>
      <c r="C49" s="29"/>
      <c r="D49" s="56" t="s">
        <v>1105</v>
      </c>
      <c r="E49" s="329"/>
      <c r="F49" s="32"/>
      <c r="G49" s="394">
        <v>500000</v>
      </c>
      <c r="H49" s="329"/>
      <c r="I49" s="419">
        <v>0</v>
      </c>
      <c r="J49" s="419">
        <v>0</v>
      </c>
      <c r="K49" s="420">
        <v>0</v>
      </c>
      <c r="L49" s="420">
        <v>0</v>
      </c>
      <c r="M49" s="420">
        <v>0</v>
      </c>
      <c r="N49" s="420">
        <v>0</v>
      </c>
      <c r="O49" s="420">
        <v>0</v>
      </c>
      <c r="P49" s="421">
        <v>0</v>
      </c>
      <c r="Q49" s="422">
        <v>500000</v>
      </c>
      <c r="R49" s="421">
        <v>0</v>
      </c>
      <c r="S49" s="421">
        <v>0</v>
      </c>
      <c r="T49" s="421">
        <v>0</v>
      </c>
      <c r="U49" s="421">
        <v>0</v>
      </c>
      <c r="V49" s="411">
        <v>500000</v>
      </c>
      <c r="W49" s="406" t="str">
        <f t="shared" si="4"/>
        <v>OK</v>
      </c>
      <c r="X49" s="28"/>
      <c r="Y49" s="85"/>
      <c r="Z49" s="85"/>
      <c r="AA49" s="87"/>
      <c r="AB49" s="331"/>
    </row>
    <row r="50" spans="1:28" x14ac:dyDescent="0.35">
      <c r="A50" s="331"/>
      <c r="B50" s="331"/>
      <c r="C50" s="29"/>
      <c r="D50" s="56" t="s">
        <v>1106</v>
      </c>
      <c r="E50" s="329"/>
      <c r="F50" s="32"/>
      <c r="G50" s="394">
        <v>100000</v>
      </c>
      <c r="H50" s="395"/>
      <c r="I50" s="419">
        <v>0</v>
      </c>
      <c r="J50" s="419">
        <v>0</v>
      </c>
      <c r="K50" s="420">
        <v>0</v>
      </c>
      <c r="L50" s="420">
        <v>0</v>
      </c>
      <c r="M50" s="420">
        <v>0</v>
      </c>
      <c r="N50" s="420">
        <v>0</v>
      </c>
      <c r="O50" s="420">
        <v>0</v>
      </c>
      <c r="P50" s="421">
        <v>0</v>
      </c>
      <c r="Q50" s="421">
        <v>0</v>
      </c>
      <c r="R50" s="421">
        <v>0</v>
      </c>
      <c r="S50" s="421">
        <v>0</v>
      </c>
      <c r="T50" s="422">
        <v>100000</v>
      </c>
      <c r="U50" s="421">
        <v>0</v>
      </c>
      <c r="V50" s="411">
        <v>100000</v>
      </c>
      <c r="W50" s="406" t="str">
        <f t="shared" si="4"/>
        <v>OK</v>
      </c>
      <c r="X50" s="28"/>
      <c r="Y50" s="85"/>
      <c r="Z50" s="85"/>
      <c r="AA50" s="87"/>
      <c r="AB50" s="331"/>
    </row>
    <row r="51" spans="1:28" x14ac:dyDescent="0.35">
      <c r="A51" s="331"/>
      <c r="B51" s="331"/>
      <c r="C51" s="29"/>
      <c r="D51" s="56" t="s">
        <v>1107</v>
      </c>
      <c r="E51" s="329"/>
      <c r="F51" s="32"/>
      <c r="G51" s="394">
        <v>50000</v>
      </c>
      <c r="H51" s="395"/>
      <c r="I51" s="419">
        <v>0</v>
      </c>
      <c r="J51" s="419">
        <v>0</v>
      </c>
      <c r="K51" s="420">
        <v>0</v>
      </c>
      <c r="L51" s="420">
        <v>0</v>
      </c>
      <c r="M51" s="420">
        <v>0</v>
      </c>
      <c r="N51" s="420">
        <v>0</v>
      </c>
      <c r="O51" s="420">
        <v>0</v>
      </c>
      <c r="P51" s="421">
        <v>0</v>
      </c>
      <c r="Q51" s="421">
        <v>0</v>
      </c>
      <c r="R51" s="422">
        <v>50000</v>
      </c>
      <c r="S51" s="421">
        <v>0</v>
      </c>
      <c r="T51" s="421">
        <v>0</v>
      </c>
      <c r="U51" s="421">
        <v>0</v>
      </c>
      <c r="V51" s="411">
        <v>50000</v>
      </c>
      <c r="W51" s="406" t="str">
        <f t="shared" si="4"/>
        <v>OK</v>
      </c>
      <c r="X51" s="28"/>
      <c r="Y51" s="85"/>
      <c r="Z51" s="85"/>
      <c r="AA51" s="87"/>
      <c r="AB51" s="331"/>
    </row>
    <row r="52" spans="1:28" x14ac:dyDescent="0.35">
      <c r="A52" s="331"/>
      <c r="B52" s="331"/>
      <c r="C52" s="29"/>
      <c r="D52" s="56" t="s">
        <v>1108</v>
      </c>
      <c r="E52" s="329"/>
      <c r="F52" s="32"/>
      <c r="G52" s="394">
        <v>75000</v>
      </c>
      <c r="H52" s="395"/>
      <c r="I52" s="419">
        <v>0</v>
      </c>
      <c r="J52" s="419">
        <v>0</v>
      </c>
      <c r="K52" s="420">
        <v>0</v>
      </c>
      <c r="L52" s="420">
        <v>0</v>
      </c>
      <c r="M52" s="420">
        <v>0</v>
      </c>
      <c r="N52" s="420">
        <v>0</v>
      </c>
      <c r="O52" s="420">
        <v>0</v>
      </c>
      <c r="P52" s="421">
        <v>0</v>
      </c>
      <c r="Q52" s="421">
        <v>0</v>
      </c>
      <c r="R52" s="421">
        <v>0</v>
      </c>
      <c r="S52" s="421">
        <v>0</v>
      </c>
      <c r="T52" s="422">
        <v>75000</v>
      </c>
      <c r="U52" s="421">
        <v>0</v>
      </c>
      <c r="V52" s="411">
        <v>75000</v>
      </c>
      <c r="W52" s="406" t="str">
        <f t="shared" si="4"/>
        <v>OK</v>
      </c>
      <c r="X52" s="28"/>
      <c r="Y52" s="85"/>
      <c r="Z52" s="85"/>
      <c r="AA52" s="87"/>
      <c r="AB52" s="331"/>
    </row>
    <row r="53" spans="1:28" x14ac:dyDescent="0.35">
      <c r="A53" s="331"/>
      <c r="B53" s="331"/>
      <c r="C53" s="29"/>
      <c r="D53" s="56" t="s">
        <v>1109</v>
      </c>
      <c r="E53" s="329"/>
      <c r="F53" s="32"/>
      <c r="G53" s="394">
        <v>200000</v>
      </c>
      <c r="H53" s="395"/>
      <c r="I53" s="419">
        <v>0</v>
      </c>
      <c r="J53" s="419">
        <v>0</v>
      </c>
      <c r="K53" s="420">
        <v>0</v>
      </c>
      <c r="L53" s="420">
        <v>0</v>
      </c>
      <c r="M53" s="420">
        <v>0</v>
      </c>
      <c r="N53" s="420">
        <v>0</v>
      </c>
      <c r="O53" s="420">
        <v>0</v>
      </c>
      <c r="P53" s="421">
        <v>0</v>
      </c>
      <c r="Q53" s="421">
        <v>0</v>
      </c>
      <c r="R53" s="421">
        <v>0</v>
      </c>
      <c r="S53" s="421">
        <v>0</v>
      </c>
      <c r="T53" s="422">
        <v>200000</v>
      </c>
      <c r="U53" s="421">
        <v>0</v>
      </c>
      <c r="V53" s="411">
        <v>200000</v>
      </c>
      <c r="W53" s="406" t="str">
        <f t="shared" si="4"/>
        <v>OK</v>
      </c>
      <c r="X53" s="28"/>
      <c r="Y53" s="85"/>
      <c r="Z53" s="85"/>
      <c r="AA53" s="87"/>
      <c r="AB53" s="331"/>
    </row>
    <row r="54" spans="1:28" ht="15" customHeight="1" thickBot="1" x14ac:dyDescent="0.4">
      <c r="A54" s="331"/>
      <c r="B54" s="331"/>
      <c r="C54" s="29"/>
      <c r="D54" s="56" t="s">
        <v>1110</v>
      </c>
      <c r="E54" s="329"/>
      <c r="F54" s="32"/>
      <c r="G54" s="394">
        <v>100000</v>
      </c>
      <c r="H54" s="395"/>
      <c r="I54" s="419">
        <v>0</v>
      </c>
      <c r="J54" s="419">
        <v>0</v>
      </c>
      <c r="K54" s="420">
        <v>0</v>
      </c>
      <c r="L54" s="420">
        <v>0</v>
      </c>
      <c r="M54" s="420">
        <v>0</v>
      </c>
      <c r="N54" s="420">
        <v>0</v>
      </c>
      <c r="O54" s="420">
        <v>0</v>
      </c>
      <c r="P54" s="421">
        <v>0</v>
      </c>
      <c r="Q54" s="422">
        <v>100000</v>
      </c>
      <c r="R54" s="421">
        <v>0</v>
      </c>
      <c r="S54" s="421">
        <v>0</v>
      </c>
      <c r="T54" s="421">
        <v>0</v>
      </c>
      <c r="U54" s="421">
        <v>0</v>
      </c>
      <c r="V54" s="411">
        <v>100000</v>
      </c>
      <c r="W54" s="406" t="str">
        <f t="shared" si="4"/>
        <v>OK</v>
      </c>
      <c r="X54" s="28"/>
      <c r="Y54" s="85"/>
      <c r="Z54" s="85"/>
      <c r="AA54" s="87"/>
      <c r="AB54" s="331"/>
    </row>
    <row r="55" spans="1:28" ht="15" customHeight="1" thickTop="1" x14ac:dyDescent="0.35">
      <c r="A55" s="331"/>
      <c r="B55" s="331"/>
      <c r="C55" s="37"/>
      <c r="D55" s="37" t="s">
        <v>1111</v>
      </c>
      <c r="E55" s="38" t="s">
        <v>173</v>
      </c>
      <c r="F55" s="38"/>
      <c r="G55" s="396">
        <f>SUM(G48:G54)</f>
        <v>1105000</v>
      </c>
      <c r="H55" s="397"/>
      <c r="I55" s="408">
        <f t="shared" ref="I55:V55" si="5">SUM(I48:I54)</f>
        <v>0</v>
      </c>
      <c r="J55" s="408">
        <f t="shared" si="5"/>
        <v>0</v>
      </c>
      <c r="K55" s="409">
        <f t="shared" si="5"/>
        <v>0</v>
      </c>
      <c r="L55" s="409">
        <f t="shared" si="5"/>
        <v>0</v>
      </c>
      <c r="M55" s="409">
        <f t="shared" si="5"/>
        <v>0</v>
      </c>
      <c r="N55" s="409">
        <f t="shared" si="5"/>
        <v>0</v>
      </c>
      <c r="O55" s="409">
        <f t="shared" si="5"/>
        <v>0</v>
      </c>
      <c r="P55" s="410">
        <f t="shared" si="5"/>
        <v>0</v>
      </c>
      <c r="Q55" s="410">
        <f t="shared" si="5"/>
        <v>600000</v>
      </c>
      <c r="R55" s="410">
        <f t="shared" si="5"/>
        <v>130000</v>
      </c>
      <c r="S55" s="410">
        <f t="shared" si="5"/>
        <v>0</v>
      </c>
      <c r="T55" s="410">
        <f t="shared" si="5"/>
        <v>375000</v>
      </c>
      <c r="U55" s="410">
        <f t="shared" si="5"/>
        <v>0</v>
      </c>
      <c r="V55" s="411">
        <f t="shared" si="5"/>
        <v>1105000</v>
      </c>
      <c r="W55" s="406" t="str">
        <f t="shared" si="4"/>
        <v>OK</v>
      </c>
      <c r="X55" s="28"/>
      <c r="Y55" s="85"/>
      <c r="Z55" s="85"/>
      <c r="AA55" s="87"/>
      <c r="AB55" s="331"/>
    </row>
    <row r="56" spans="1:28" x14ac:dyDescent="0.35">
      <c r="A56" s="331"/>
      <c r="B56" s="331"/>
      <c r="C56" s="37"/>
      <c r="D56" s="37"/>
      <c r="E56" s="38"/>
      <c r="F56" s="38"/>
      <c r="G56" s="397"/>
      <c r="H56" s="397"/>
      <c r="I56" s="408"/>
      <c r="J56" s="408"/>
      <c r="K56" s="409"/>
      <c r="L56" s="409"/>
      <c r="M56" s="409"/>
      <c r="N56" s="409"/>
      <c r="O56" s="409"/>
      <c r="P56" s="410"/>
      <c r="Q56" s="410"/>
      <c r="R56" s="410"/>
      <c r="S56" s="410"/>
      <c r="T56" s="416"/>
      <c r="U56" s="423"/>
      <c r="V56" s="411"/>
      <c r="W56" s="28" t="str">
        <f t="shared" si="4"/>
        <v>OK</v>
      </c>
      <c r="X56" s="28"/>
      <c r="Y56" s="85"/>
      <c r="Z56" s="85"/>
      <c r="AA56" s="87"/>
      <c r="AB56" s="331"/>
    </row>
    <row r="57" spans="1:28" x14ac:dyDescent="0.35">
      <c r="A57" s="331"/>
      <c r="B57" s="331"/>
      <c r="C57" s="33" t="s">
        <v>548</v>
      </c>
      <c r="D57" s="31"/>
      <c r="E57" s="28"/>
      <c r="F57" s="28"/>
      <c r="G57" s="44"/>
      <c r="H57" s="44"/>
      <c r="I57" s="45"/>
      <c r="J57" s="45"/>
      <c r="K57" s="46"/>
      <c r="L57" s="46"/>
      <c r="M57" s="46"/>
      <c r="N57" s="46"/>
      <c r="O57" s="46"/>
      <c r="P57" s="47"/>
      <c r="Q57" s="47"/>
      <c r="R57" s="47"/>
      <c r="S57" s="47"/>
      <c r="T57" s="416"/>
      <c r="U57" s="49"/>
      <c r="V57" s="411"/>
      <c r="W57" s="28"/>
      <c r="X57" s="28"/>
      <c r="Y57" s="85"/>
      <c r="Z57" s="85"/>
      <c r="AA57" s="86"/>
      <c r="AB57" s="331"/>
    </row>
    <row r="58" spans="1:28" x14ac:dyDescent="0.35">
      <c r="A58" s="331"/>
      <c r="B58" s="331"/>
      <c r="C58" s="29"/>
      <c r="D58" s="56" t="s">
        <v>1112</v>
      </c>
      <c r="E58" s="57"/>
      <c r="F58" s="32"/>
      <c r="G58" s="394">
        <v>0</v>
      </c>
      <c r="H58" s="392"/>
      <c r="I58" s="402">
        <v>0</v>
      </c>
      <c r="J58" s="402">
        <v>0</v>
      </c>
      <c r="K58" s="403">
        <v>0</v>
      </c>
      <c r="L58" s="403">
        <v>0</v>
      </c>
      <c r="M58" s="403">
        <v>0</v>
      </c>
      <c r="N58" s="403">
        <v>0</v>
      </c>
      <c r="O58" s="403">
        <v>0</v>
      </c>
      <c r="P58" s="404">
        <v>0</v>
      </c>
      <c r="Q58" s="404">
        <v>0</v>
      </c>
      <c r="R58" s="404">
        <v>0</v>
      </c>
      <c r="S58" s="404">
        <v>0</v>
      </c>
      <c r="T58" s="404">
        <v>0</v>
      </c>
      <c r="U58" s="404">
        <v>0</v>
      </c>
      <c r="V58" s="411">
        <v>0</v>
      </c>
      <c r="W58" s="406" t="str">
        <f t="shared" ref="W58:W69" si="6">IF(ABS(V58-G58)&lt;1,"OK","Check")</f>
        <v>OK</v>
      </c>
      <c r="X58" s="28"/>
      <c r="Y58" s="85"/>
      <c r="Z58" s="85"/>
      <c r="AA58" s="331"/>
      <c r="AB58" s="331"/>
    </row>
    <row r="59" spans="1:28" x14ac:dyDescent="0.35">
      <c r="A59" s="331"/>
      <c r="B59" s="331"/>
      <c r="C59" s="29"/>
      <c r="D59" s="56" t="s">
        <v>1113</v>
      </c>
      <c r="E59" s="57"/>
      <c r="F59" s="32"/>
      <c r="G59" s="394">
        <v>150000</v>
      </c>
      <c r="H59" s="392"/>
      <c r="I59" s="402">
        <v>0</v>
      </c>
      <c r="J59" s="402">
        <v>0</v>
      </c>
      <c r="K59" s="403">
        <v>0</v>
      </c>
      <c r="L59" s="403">
        <v>0</v>
      </c>
      <c r="M59" s="403">
        <v>0</v>
      </c>
      <c r="N59" s="403">
        <v>0</v>
      </c>
      <c r="O59" s="403">
        <v>0</v>
      </c>
      <c r="P59" s="404">
        <v>0</v>
      </c>
      <c r="Q59" s="404">
        <v>0</v>
      </c>
      <c r="R59" s="404">
        <v>0</v>
      </c>
      <c r="S59" s="404">
        <v>0</v>
      </c>
      <c r="T59" s="404">
        <v>150000</v>
      </c>
      <c r="U59" s="404">
        <v>0</v>
      </c>
      <c r="V59" s="411">
        <v>150000</v>
      </c>
      <c r="W59" s="406" t="str">
        <f t="shared" si="6"/>
        <v>OK</v>
      </c>
      <c r="X59" s="28"/>
      <c r="Y59" s="85"/>
      <c r="Z59" s="85"/>
      <c r="AA59" s="331"/>
      <c r="AB59" s="331"/>
    </row>
    <row r="60" spans="1:28" x14ac:dyDescent="0.35">
      <c r="A60" s="331"/>
      <c r="B60" s="331"/>
      <c r="C60" s="29"/>
      <c r="D60" s="56" t="s">
        <v>1114</v>
      </c>
      <c r="E60" s="57"/>
      <c r="F60" s="32"/>
      <c r="G60" s="394">
        <v>30000</v>
      </c>
      <c r="H60" s="392"/>
      <c r="I60" s="402">
        <v>0</v>
      </c>
      <c r="J60" s="402">
        <v>0</v>
      </c>
      <c r="K60" s="403">
        <v>0</v>
      </c>
      <c r="L60" s="403">
        <v>30000</v>
      </c>
      <c r="M60" s="403">
        <v>0</v>
      </c>
      <c r="N60" s="403">
        <v>0</v>
      </c>
      <c r="O60" s="403">
        <v>0</v>
      </c>
      <c r="P60" s="404">
        <v>0</v>
      </c>
      <c r="Q60" s="404">
        <v>0</v>
      </c>
      <c r="R60" s="404">
        <v>0</v>
      </c>
      <c r="S60" s="404">
        <v>0</v>
      </c>
      <c r="T60" s="404">
        <v>0</v>
      </c>
      <c r="U60" s="404">
        <v>0</v>
      </c>
      <c r="V60" s="411">
        <v>30000</v>
      </c>
      <c r="W60" s="406" t="str">
        <f t="shared" si="6"/>
        <v>OK</v>
      </c>
      <c r="X60" s="28"/>
      <c r="Y60" s="85"/>
      <c r="Z60" s="85"/>
      <c r="AA60" s="331"/>
      <c r="AB60" s="331"/>
    </row>
    <row r="61" spans="1:28" x14ac:dyDescent="0.35">
      <c r="A61" s="331"/>
      <c r="B61" s="331"/>
      <c r="C61" s="29"/>
      <c r="D61" s="56" t="s">
        <v>1115</v>
      </c>
      <c r="E61" s="57"/>
      <c r="F61" s="32"/>
      <c r="G61" s="394">
        <v>15000</v>
      </c>
      <c r="H61" s="392"/>
      <c r="I61" s="402">
        <v>0</v>
      </c>
      <c r="J61" s="402">
        <v>0</v>
      </c>
      <c r="K61" s="403">
        <v>0</v>
      </c>
      <c r="L61" s="403">
        <v>15000</v>
      </c>
      <c r="M61" s="403">
        <v>0</v>
      </c>
      <c r="N61" s="403">
        <v>0</v>
      </c>
      <c r="O61" s="403">
        <v>0</v>
      </c>
      <c r="P61" s="404">
        <v>0</v>
      </c>
      <c r="Q61" s="404">
        <v>0</v>
      </c>
      <c r="R61" s="404">
        <v>0</v>
      </c>
      <c r="S61" s="404">
        <v>0</v>
      </c>
      <c r="T61" s="404">
        <v>0</v>
      </c>
      <c r="U61" s="404">
        <v>0</v>
      </c>
      <c r="V61" s="411">
        <v>15000</v>
      </c>
      <c r="W61" s="406" t="str">
        <f t="shared" si="6"/>
        <v>OK</v>
      </c>
      <c r="X61" s="28"/>
      <c r="Y61" s="85"/>
      <c r="Z61" s="85"/>
      <c r="AA61" s="331"/>
      <c r="AB61" s="331"/>
    </row>
    <row r="62" spans="1:28" x14ac:dyDescent="0.35">
      <c r="A62" s="331"/>
      <c r="B62" s="331"/>
      <c r="C62" s="29"/>
      <c r="D62" s="56" t="s">
        <v>1116</v>
      </c>
      <c r="E62" s="57"/>
      <c r="F62" s="32"/>
      <c r="G62" s="394">
        <v>0</v>
      </c>
      <c r="H62" s="392"/>
      <c r="I62" s="402">
        <v>0</v>
      </c>
      <c r="J62" s="402">
        <v>0</v>
      </c>
      <c r="K62" s="403">
        <v>0</v>
      </c>
      <c r="L62" s="403">
        <v>0</v>
      </c>
      <c r="M62" s="403">
        <v>0</v>
      </c>
      <c r="N62" s="403">
        <v>0</v>
      </c>
      <c r="O62" s="403">
        <v>0</v>
      </c>
      <c r="P62" s="404">
        <v>0</v>
      </c>
      <c r="Q62" s="404">
        <v>0</v>
      </c>
      <c r="R62" s="404">
        <v>0</v>
      </c>
      <c r="S62" s="404">
        <v>0</v>
      </c>
      <c r="T62" s="404">
        <v>0</v>
      </c>
      <c r="U62" s="404">
        <v>0</v>
      </c>
      <c r="V62" s="411">
        <v>0</v>
      </c>
      <c r="W62" s="406" t="str">
        <f t="shared" si="6"/>
        <v>OK</v>
      </c>
      <c r="X62" s="28"/>
      <c r="Y62" s="85"/>
      <c r="Z62" s="85"/>
      <c r="AA62" s="331"/>
      <c r="AB62" s="331"/>
    </row>
    <row r="63" spans="1:28" x14ac:dyDescent="0.35">
      <c r="A63" s="331"/>
      <c r="B63" s="331"/>
      <c r="C63" s="29"/>
      <c r="D63" s="56" t="s">
        <v>1117</v>
      </c>
      <c r="E63" s="57"/>
      <c r="F63" s="32"/>
      <c r="G63" s="394">
        <v>0</v>
      </c>
      <c r="H63" s="392"/>
      <c r="I63" s="402">
        <v>0</v>
      </c>
      <c r="J63" s="402">
        <v>0</v>
      </c>
      <c r="K63" s="403">
        <v>0</v>
      </c>
      <c r="L63" s="403">
        <v>0</v>
      </c>
      <c r="M63" s="403">
        <v>0</v>
      </c>
      <c r="N63" s="403">
        <v>0</v>
      </c>
      <c r="O63" s="403">
        <v>0</v>
      </c>
      <c r="P63" s="404">
        <v>0</v>
      </c>
      <c r="Q63" s="404">
        <v>0</v>
      </c>
      <c r="R63" s="404">
        <v>0</v>
      </c>
      <c r="S63" s="404">
        <v>0</v>
      </c>
      <c r="T63" s="404">
        <v>0</v>
      </c>
      <c r="U63" s="404">
        <v>0</v>
      </c>
      <c r="V63" s="411">
        <v>0</v>
      </c>
      <c r="W63" s="406" t="str">
        <f t="shared" si="6"/>
        <v>OK</v>
      </c>
      <c r="X63" s="28"/>
      <c r="Y63" s="85"/>
      <c r="Z63" s="85"/>
      <c r="AA63" s="331"/>
      <c r="AB63" s="331"/>
    </row>
    <row r="64" spans="1:28" x14ac:dyDescent="0.35">
      <c r="A64" s="331"/>
      <c r="B64" s="331"/>
      <c r="C64" s="29"/>
      <c r="D64" s="56" t="s">
        <v>1118</v>
      </c>
      <c r="E64" s="57"/>
      <c r="F64" s="32"/>
      <c r="G64" s="394">
        <v>150000</v>
      </c>
      <c r="H64" s="29"/>
      <c r="I64" s="402">
        <v>0</v>
      </c>
      <c r="J64" s="402">
        <v>0</v>
      </c>
      <c r="K64" s="403">
        <v>0</v>
      </c>
      <c r="L64" s="403">
        <v>0</v>
      </c>
      <c r="M64" s="403">
        <v>0</v>
      </c>
      <c r="N64" s="403">
        <v>0</v>
      </c>
      <c r="O64" s="403">
        <v>0</v>
      </c>
      <c r="P64" s="404">
        <v>0</v>
      </c>
      <c r="Q64" s="404">
        <v>0</v>
      </c>
      <c r="R64" s="404">
        <v>0</v>
      </c>
      <c r="S64" s="404">
        <v>150000</v>
      </c>
      <c r="T64" s="404">
        <v>0</v>
      </c>
      <c r="U64" s="404">
        <v>0</v>
      </c>
      <c r="V64" s="411">
        <v>150000</v>
      </c>
      <c r="W64" s="406" t="str">
        <f t="shared" si="6"/>
        <v>OK</v>
      </c>
      <c r="X64" s="28"/>
      <c r="Y64" s="85"/>
      <c r="Z64" s="85"/>
      <c r="AA64" s="331"/>
      <c r="AB64" s="331"/>
    </row>
    <row r="65" spans="1:28" x14ac:dyDescent="0.35">
      <c r="A65" s="331"/>
      <c r="B65" s="331"/>
      <c r="C65" s="29"/>
      <c r="D65" s="56" t="s">
        <v>1119</v>
      </c>
      <c r="E65" s="57"/>
      <c r="F65" s="32"/>
      <c r="G65" s="394">
        <v>0</v>
      </c>
      <c r="H65" s="389"/>
      <c r="I65" s="402">
        <v>0</v>
      </c>
      <c r="J65" s="402">
        <v>0</v>
      </c>
      <c r="K65" s="403">
        <v>0</v>
      </c>
      <c r="L65" s="403">
        <v>0</v>
      </c>
      <c r="M65" s="403">
        <v>0</v>
      </c>
      <c r="N65" s="403">
        <v>0</v>
      </c>
      <c r="O65" s="403">
        <v>0</v>
      </c>
      <c r="P65" s="404">
        <v>0</v>
      </c>
      <c r="Q65" s="404">
        <v>0</v>
      </c>
      <c r="R65" s="404">
        <v>0</v>
      </c>
      <c r="S65" s="404">
        <v>0</v>
      </c>
      <c r="T65" s="404">
        <v>0</v>
      </c>
      <c r="U65" s="404">
        <v>0</v>
      </c>
      <c r="V65" s="411">
        <v>0</v>
      </c>
      <c r="W65" s="406" t="str">
        <f t="shared" si="6"/>
        <v>OK</v>
      </c>
      <c r="X65" s="28"/>
      <c r="Y65" s="85"/>
      <c r="Z65" s="85"/>
      <c r="AA65" s="331"/>
      <c r="AB65" s="331"/>
    </row>
    <row r="66" spans="1:28" x14ac:dyDescent="0.35">
      <c r="A66" s="331"/>
      <c r="B66" s="331"/>
      <c r="C66" s="29"/>
      <c r="D66" s="56" t="s">
        <v>1120</v>
      </c>
      <c r="E66" s="329"/>
      <c r="F66" s="32"/>
      <c r="G66" s="394">
        <v>75000</v>
      </c>
      <c r="H66" s="29"/>
      <c r="I66" s="402">
        <v>0</v>
      </c>
      <c r="J66" s="402">
        <v>0</v>
      </c>
      <c r="K66" s="403">
        <v>0</v>
      </c>
      <c r="L66" s="403">
        <v>0</v>
      </c>
      <c r="M66" s="403">
        <v>0</v>
      </c>
      <c r="N66" s="403">
        <v>0</v>
      </c>
      <c r="O66" s="403">
        <v>0</v>
      </c>
      <c r="P66" s="404">
        <v>0</v>
      </c>
      <c r="Q66" s="404">
        <v>0</v>
      </c>
      <c r="R66" s="404">
        <v>0</v>
      </c>
      <c r="S66" s="404">
        <v>75000</v>
      </c>
      <c r="T66" s="404">
        <v>0</v>
      </c>
      <c r="U66" s="404">
        <v>0</v>
      </c>
      <c r="V66" s="411">
        <v>75000</v>
      </c>
      <c r="W66" s="406" t="str">
        <f t="shared" si="6"/>
        <v>OK</v>
      </c>
      <c r="X66" s="28"/>
      <c r="Y66" s="85"/>
      <c r="Z66" s="85"/>
      <c r="AA66" s="331"/>
      <c r="AB66" s="331"/>
    </row>
    <row r="67" spans="1:28" ht="15" customHeight="1" thickBot="1" x14ac:dyDescent="0.4">
      <c r="A67" s="331"/>
      <c r="B67" s="331"/>
      <c r="C67" s="29"/>
      <c r="D67" s="56" t="s">
        <v>1121</v>
      </c>
      <c r="E67" s="329"/>
      <c r="F67" s="32"/>
      <c r="G67" s="394">
        <v>0</v>
      </c>
      <c r="H67" s="392"/>
      <c r="I67" s="402">
        <v>0</v>
      </c>
      <c r="J67" s="402">
        <v>0</v>
      </c>
      <c r="K67" s="403">
        <v>0</v>
      </c>
      <c r="L67" s="403">
        <v>0</v>
      </c>
      <c r="M67" s="403">
        <v>0</v>
      </c>
      <c r="N67" s="403">
        <v>0</v>
      </c>
      <c r="O67" s="403">
        <v>0</v>
      </c>
      <c r="P67" s="404">
        <v>0</v>
      </c>
      <c r="Q67" s="404">
        <v>0</v>
      </c>
      <c r="R67" s="404">
        <v>0</v>
      </c>
      <c r="S67" s="404">
        <v>0</v>
      </c>
      <c r="T67" s="404">
        <v>0</v>
      </c>
      <c r="U67" s="404">
        <v>0</v>
      </c>
      <c r="V67" s="411">
        <v>0</v>
      </c>
      <c r="W67" s="406" t="str">
        <f t="shared" si="6"/>
        <v>OK</v>
      </c>
      <c r="X67" s="28"/>
      <c r="Y67" s="85"/>
      <c r="Z67" s="85"/>
      <c r="AA67" s="331"/>
      <c r="AB67" s="331"/>
    </row>
    <row r="68" spans="1:28" ht="15" customHeight="1" thickTop="1" x14ac:dyDescent="0.35">
      <c r="A68" s="331"/>
      <c r="B68" s="331"/>
      <c r="C68" s="37"/>
      <c r="D68" s="37" t="s">
        <v>1122</v>
      </c>
      <c r="E68" s="38" t="s">
        <v>173</v>
      </c>
      <c r="F68" s="38"/>
      <c r="G68" s="396">
        <f>SUM(G58:G67)</f>
        <v>420000</v>
      </c>
      <c r="H68" s="392"/>
      <c r="I68" s="408">
        <f t="shared" ref="I68:V68" si="7">SUM(I58:I67)</f>
        <v>0</v>
      </c>
      <c r="J68" s="408">
        <f t="shared" si="7"/>
        <v>0</v>
      </c>
      <c r="K68" s="409">
        <f t="shared" si="7"/>
        <v>0</v>
      </c>
      <c r="L68" s="409">
        <f t="shared" si="7"/>
        <v>45000</v>
      </c>
      <c r="M68" s="409">
        <f t="shared" si="7"/>
        <v>0</v>
      </c>
      <c r="N68" s="409">
        <f t="shared" si="7"/>
        <v>0</v>
      </c>
      <c r="O68" s="409">
        <f t="shared" si="7"/>
        <v>0</v>
      </c>
      <c r="P68" s="410">
        <f t="shared" si="7"/>
        <v>0</v>
      </c>
      <c r="Q68" s="410">
        <f t="shared" si="7"/>
        <v>0</v>
      </c>
      <c r="R68" s="410">
        <f t="shared" si="7"/>
        <v>0</v>
      </c>
      <c r="S68" s="410">
        <f t="shared" si="7"/>
        <v>225000</v>
      </c>
      <c r="T68" s="410">
        <f t="shared" si="7"/>
        <v>150000</v>
      </c>
      <c r="U68" s="410">
        <f t="shared" si="7"/>
        <v>0</v>
      </c>
      <c r="V68" s="411">
        <f t="shared" si="7"/>
        <v>420000</v>
      </c>
      <c r="W68" s="406" t="str">
        <f t="shared" si="6"/>
        <v>OK</v>
      </c>
      <c r="X68" s="28"/>
      <c r="Y68" s="85"/>
      <c r="Z68" s="85"/>
      <c r="AA68" s="331"/>
      <c r="AB68" s="331"/>
    </row>
    <row r="69" spans="1:28" x14ac:dyDescent="0.35">
      <c r="A69" s="331"/>
      <c r="B69" s="331"/>
      <c r="C69" s="37"/>
      <c r="D69" s="37"/>
      <c r="E69" s="38"/>
      <c r="F69" s="38"/>
      <c r="G69" s="397"/>
      <c r="H69" s="392"/>
      <c r="I69" s="408"/>
      <c r="J69" s="408"/>
      <c r="K69" s="409"/>
      <c r="L69" s="409"/>
      <c r="M69" s="409"/>
      <c r="N69" s="409"/>
      <c r="O69" s="409"/>
      <c r="P69" s="410"/>
      <c r="Q69" s="410"/>
      <c r="R69" s="410"/>
      <c r="S69" s="410"/>
      <c r="T69" s="424"/>
      <c r="U69" s="424"/>
      <c r="V69" s="411"/>
      <c r="W69" s="28" t="str">
        <f t="shared" si="6"/>
        <v>OK</v>
      </c>
      <c r="X69" s="28"/>
      <c r="Y69" s="85"/>
      <c r="Z69" s="85"/>
      <c r="AA69" s="331"/>
      <c r="AB69" s="331"/>
    </row>
    <row r="70" spans="1:28" x14ac:dyDescent="0.35">
      <c r="A70" s="331"/>
      <c r="B70" s="331"/>
      <c r="C70" s="33" t="s">
        <v>550</v>
      </c>
      <c r="D70" s="31"/>
      <c r="E70" s="28"/>
      <c r="F70" s="28"/>
      <c r="G70" s="44"/>
      <c r="H70" s="392"/>
      <c r="I70" s="45"/>
      <c r="J70" s="45"/>
      <c r="K70" s="46"/>
      <c r="L70" s="46"/>
      <c r="M70" s="46"/>
      <c r="N70" s="46"/>
      <c r="O70" s="46"/>
      <c r="P70" s="47"/>
      <c r="Q70" s="47"/>
      <c r="R70" s="47"/>
      <c r="S70" s="47"/>
      <c r="T70" s="49"/>
      <c r="U70" s="49"/>
      <c r="V70" s="411"/>
      <c r="W70" s="28"/>
      <c r="X70" s="28"/>
      <c r="Y70" s="85"/>
      <c r="Z70" s="85"/>
      <c r="AA70" s="86"/>
      <c r="AB70" s="331"/>
    </row>
    <row r="71" spans="1:28" x14ac:dyDescent="0.35">
      <c r="A71" s="331"/>
      <c r="B71" s="331"/>
      <c r="C71" s="33"/>
      <c r="D71" s="56" t="s">
        <v>1123</v>
      </c>
      <c r="E71" s="329"/>
      <c r="F71" s="28"/>
      <c r="G71" s="394">
        <v>0</v>
      </c>
      <c r="H71" s="392"/>
      <c r="I71" s="402">
        <v>0</v>
      </c>
      <c r="J71" s="402">
        <v>0</v>
      </c>
      <c r="K71" s="403">
        <v>0</v>
      </c>
      <c r="L71" s="403">
        <v>0</v>
      </c>
      <c r="M71" s="403">
        <v>0</v>
      </c>
      <c r="N71" s="403">
        <v>0</v>
      </c>
      <c r="O71" s="403">
        <v>0</v>
      </c>
      <c r="P71" s="404">
        <v>0</v>
      </c>
      <c r="Q71" s="404">
        <v>0</v>
      </c>
      <c r="R71" s="404">
        <v>0</v>
      </c>
      <c r="S71" s="404">
        <v>0</v>
      </c>
      <c r="T71" s="404">
        <v>0</v>
      </c>
      <c r="U71" s="404">
        <v>0</v>
      </c>
      <c r="V71" s="425">
        <v>0</v>
      </c>
      <c r="W71" s="406" t="str">
        <f t="shared" ref="W71:W97" si="8">IFERROR(IF(V71=G71, "OK", "Check"),"")</f>
        <v>OK</v>
      </c>
      <c r="X71" s="28"/>
      <c r="Y71" s="85"/>
      <c r="Z71" s="85"/>
      <c r="AA71" s="86"/>
      <c r="AB71" s="331"/>
    </row>
    <row r="72" spans="1:28" x14ac:dyDescent="0.35">
      <c r="A72" s="331"/>
      <c r="B72" s="331"/>
      <c r="C72" s="33"/>
      <c r="D72" s="58" t="s">
        <v>1124</v>
      </c>
      <c r="E72" s="329"/>
      <c r="F72" s="28"/>
      <c r="G72" s="394"/>
      <c r="H72" s="392"/>
      <c r="I72" s="402">
        <v>0</v>
      </c>
      <c r="J72" s="402">
        <v>0</v>
      </c>
      <c r="K72" s="403">
        <v>0</v>
      </c>
      <c r="L72" s="403">
        <v>0</v>
      </c>
      <c r="M72" s="403">
        <v>0</v>
      </c>
      <c r="N72" s="403">
        <v>0</v>
      </c>
      <c r="O72" s="403">
        <v>0</v>
      </c>
      <c r="P72" s="404">
        <v>0</v>
      </c>
      <c r="Q72" s="404">
        <v>0</v>
      </c>
      <c r="R72" s="404">
        <v>0</v>
      </c>
      <c r="S72" s="404">
        <v>0</v>
      </c>
      <c r="T72" s="404">
        <v>0</v>
      </c>
      <c r="U72" s="404">
        <v>0</v>
      </c>
      <c r="V72" s="425">
        <v>0</v>
      </c>
      <c r="W72" s="406" t="str">
        <f t="shared" si="8"/>
        <v>OK</v>
      </c>
      <c r="X72" s="28"/>
      <c r="Y72" s="85"/>
      <c r="Z72" s="85"/>
      <c r="AA72" s="86"/>
      <c r="AB72" s="331"/>
    </row>
    <row r="73" spans="1:28" x14ac:dyDescent="0.35">
      <c r="A73" s="331"/>
      <c r="B73" s="331"/>
      <c r="C73" s="33"/>
      <c r="D73" s="58" t="s">
        <v>1125</v>
      </c>
      <c r="E73" s="329"/>
      <c r="F73" s="28"/>
      <c r="G73" s="394"/>
      <c r="H73" s="392"/>
      <c r="I73" s="402">
        <v>0</v>
      </c>
      <c r="J73" s="402">
        <v>0</v>
      </c>
      <c r="K73" s="403">
        <v>0</v>
      </c>
      <c r="L73" s="403">
        <v>0</v>
      </c>
      <c r="M73" s="403">
        <v>0</v>
      </c>
      <c r="N73" s="403">
        <v>0</v>
      </c>
      <c r="O73" s="403">
        <v>0</v>
      </c>
      <c r="P73" s="404">
        <v>0</v>
      </c>
      <c r="Q73" s="404">
        <v>0</v>
      </c>
      <c r="R73" s="404">
        <v>0</v>
      </c>
      <c r="S73" s="404">
        <v>0</v>
      </c>
      <c r="T73" s="404">
        <v>0</v>
      </c>
      <c r="U73" s="404">
        <v>0</v>
      </c>
      <c r="V73" s="425">
        <v>0</v>
      </c>
      <c r="W73" s="406" t="str">
        <f t="shared" si="8"/>
        <v>OK</v>
      </c>
      <c r="X73" s="28"/>
      <c r="Y73" s="85"/>
      <c r="Z73" s="85"/>
      <c r="AA73" s="86"/>
      <c r="AB73" s="331"/>
    </row>
    <row r="74" spans="1:28" x14ac:dyDescent="0.35">
      <c r="A74" s="331"/>
      <c r="B74" s="331"/>
      <c r="C74" s="33"/>
      <c r="D74" s="58" t="s">
        <v>1126</v>
      </c>
      <c r="E74" s="329"/>
      <c r="F74" s="28"/>
      <c r="G74" s="394"/>
      <c r="H74" s="392"/>
      <c r="I74" s="402">
        <v>0</v>
      </c>
      <c r="J74" s="402">
        <v>0</v>
      </c>
      <c r="K74" s="403">
        <v>0</v>
      </c>
      <c r="L74" s="403">
        <v>0</v>
      </c>
      <c r="M74" s="403">
        <v>0</v>
      </c>
      <c r="N74" s="403">
        <v>0</v>
      </c>
      <c r="O74" s="403">
        <v>0</v>
      </c>
      <c r="P74" s="404">
        <v>0</v>
      </c>
      <c r="Q74" s="404">
        <v>0</v>
      </c>
      <c r="R74" s="404">
        <v>0</v>
      </c>
      <c r="S74" s="404">
        <v>0</v>
      </c>
      <c r="T74" s="404">
        <v>0</v>
      </c>
      <c r="U74" s="404">
        <v>0</v>
      </c>
      <c r="V74" s="425">
        <v>0</v>
      </c>
      <c r="W74" s="406" t="str">
        <f t="shared" si="8"/>
        <v>OK</v>
      </c>
      <c r="X74" s="28"/>
      <c r="Y74" s="85"/>
      <c r="Z74" s="85"/>
      <c r="AA74" s="86"/>
      <c r="AB74" s="331"/>
    </row>
    <row r="75" spans="1:28" x14ac:dyDescent="0.35">
      <c r="A75" s="331"/>
      <c r="B75" s="331"/>
      <c r="C75" s="33"/>
      <c r="D75" s="56" t="s">
        <v>1127</v>
      </c>
      <c r="E75" s="329"/>
      <c r="F75" s="28"/>
      <c r="G75" s="394">
        <v>0</v>
      </c>
      <c r="H75" s="392"/>
      <c r="I75" s="402">
        <v>0</v>
      </c>
      <c r="J75" s="402">
        <v>0</v>
      </c>
      <c r="K75" s="403">
        <v>0</v>
      </c>
      <c r="L75" s="403">
        <v>0</v>
      </c>
      <c r="M75" s="403">
        <v>0</v>
      </c>
      <c r="N75" s="403">
        <v>0</v>
      </c>
      <c r="O75" s="403">
        <v>0</v>
      </c>
      <c r="P75" s="404">
        <v>0</v>
      </c>
      <c r="Q75" s="404">
        <v>0</v>
      </c>
      <c r="R75" s="404">
        <v>0</v>
      </c>
      <c r="S75" s="404">
        <v>0</v>
      </c>
      <c r="T75" s="404">
        <v>0</v>
      </c>
      <c r="U75" s="404">
        <v>0</v>
      </c>
      <c r="V75" s="425">
        <v>0</v>
      </c>
      <c r="W75" s="406" t="str">
        <f t="shared" si="8"/>
        <v>OK</v>
      </c>
      <c r="X75" s="28"/>
      <c r="Y75" s="85"/>
      <c r="Z75" s="85"/>
      <c r="AA75" s="86"/>
      <c r="AB75" s="331"/>
    </row>
    <row r="76" spans="1:28" x14ac:dyDescent="0.35">
      <c r="A76" s="331"/>
      <c r="B76" s="331"/>
      <c r="C76" s="33"/>
      <c r="D76" s="56" t="s">
        <v>1128</v>
      </c>
      <c r="E76" s="329"/>
      <c r="F76" s="28"/>
      <c r="G76" s="394">
        <v>100000</v>
      </c>
      <c r="H76" s="395"/>
      <c r="I76" s="402">
        <v>0</v>
      </c>
      <c r="J76" s="402">
        <v>0</v>
      </c>
      <c r="K76" s="403">
        <v>0</v>
      </c>
      <c r="L76" s="403">
        <v>0</v>
      </c>
      <c r="M76" s="403">
        <v>0</v>
      </c>
      <c r="N76" s="403">
        <v>0</v>
      </c>
      <c r="O76" s="403">
        <v>0</v>
      </c>
      <c r="P76" s="404">
        <v>20000</v>
      </c>
      <c r="Q76" s="404">
        <v>0</v>
      </c>
      <c r="R76" s="404">
        <v>0</v>
      </c>
      <c r="S76" s="404">
        <v>40000</v>
      </c>
      <c r="T76" s="404">
        <v>20000</v>
      </c>
      <c r="U76" s="404">
        <v>20000</v>
      </c>
      <c r="V76" s="425">
        <v>100000</v>
      </c>
      <c r="W76" s="406" t="str">
        <f t="shared" si="8"/>
        <v>OK</v>
      </c>
      <c r="X76" s="28"/>
      <c r="Y76" s="85"/>
      <c r="Z76" s="85"/>
      <c r="AA76" s="86"/>
      <c r="AB76" s="331"/>
    </row>
    <row r="77" spans="1:28" x14ac:dyDescent="0.35">
      <c r="A77" s="331"/>
      <c r="B77" s="331"/>
      <c r="C77" s="33"/>
      <c r="D77" s="56" t="s">
        <v>1129</v>
      </c>
      <c r="E77" s="329"/>
      <c r="F77" s="28"/>
      <c r="G77" s="394">
        <v>250000</v>
      </c>
      <c r="H77" s="395"/>
      <c r="I77" s="402">
        <v>0</v>
      </c>
      <c r="J77" s="402">
        <v>0</v>
      </c>
      <c r="K77" s="403">
        <v>0</v>
      </c>
      <c r="L77" s="403">
        <v>0</v>
      </c>
      <c r="M77" s="403">
        <v>0</v>
      </c>
      <c r="N77" s="403">
        <v>0</v>
      </c>
      <c r="O77" s="403">
        <v>0</v>
      </c>
      <c r="P77" s="404">
        <v>0</v>
      </c>
      <c r="Q77" s="404">
        <v>0</v>
      </c>
      <c r="R77" s="404">
        <v>25000</v>
      </c>
      <c r="S77" s="404">
        <v>225000</v>
      </c>
      <c r="T77" s="404">
        <v>0</v>
      </c>
      <c r="U77" s="404">
        <v>0</v>
      </c>
      <c r="V77" s="425">
        <v>250000</v>
      </c>
      <c r="W77" s="406" t="str">
        <f t="shared" si="8"/>
        <v>OK</v>
      </c>
      <c r="X77" s="28"/>
      <c r="Y77" s="85"/>
      <c r="Z77" s="85"/>
      <c r="AA77" s="86"/>
      <c r="AB77" s="331"/>
    </row>
    <row r="78" spans="1:28" x14ac:dyDescent="0.35">
      <c r="A78" s="331"/>
      <c r="B78" s="331"/>
      <c r="C78" s="33"/>
      <c r="D78" s="56" t="s">
        <v>1130</v>
      </c>
      <c r="E78" s="329"/>
      <c r="F78" s="28"/>
      <c r="G78" s="394">
        <v>70000</v>
      </c>
      <c r="H78" s="395"/>
      <c r="I78" s="402">
        <v>0</v>
      </c>
      <c r="J78" s="402">
        <v>0</v>
      </c>
      <c r="K78" s="403">
        <v>0</v>
      </c>
      <c r="L78" s="403">
        <v>0</v>
      </c>
      <c r="M78" s="403">
        <v>0</v>
      </c>
      <c r="N78" s="403">
        <v>0</v>
      </c>
      <c r="O78" s="403">
        <v>0</v>
      </c>
      <c r="P78" s="404">
        <v>0</v>
      </c>
      <c r="Q78" s="404">
        <v>0</v>
      </c>
      <c r="R78" s="404">
        <v>7000</v>
      </c>
      <c r="S78" s="404">
        <v>63000</v>
      </c>
      <c r="T78" s="404">
        <v>0</v>
      </c>
      <c r="U78" s="404">
        <v>0</v>
      </c>
      <c r="V78" s="425">
        <v>70000</v>
      </c>
      <c r="W78" s="406" t="str">
        <f t="shared" si="8"/>
        <v>OK</v>
      </c>
      <c r="X78" s="28"/>
      <c r="Y78" s="85"/>
      <c r="Z78" s="85"/>
      <c r="AA78" s="86"/>
      <c r="AB78" s="331"/>
    </row>
    <row r="79" spans="1:28" x14ac:dyDescent="0.35">
      <c r="A79" s="331"/>
      <c r="B79" s="331"/>
      <c r="C79" s="33"/>
      <c r="D79" s="56" t="s">
        <v>1131</v>
      </c>
      <c r="E79" s="329"/>
      <c r="F79" s="28"/>
      <c r="G79" s="394">
        <v>30000</v>
      </c>
      <c r="H79" s="395"/>
      <c r="I79" s="402">
        <v>0</v>
      </c>
      <c r="J79" s="402">
        <v>0</v>
      </c>
      <c r="K79" s="403">
        <v>0</v>
      </c>
      <c r="L79" s="403">
        <v>0</v>
      </c>
      <c r="M79" s="403">
        <v>0</v>
      </c>
      <c r="N79" s="403">
        <v>0</v>
      </c>
      <c r="O79" s="403">
        <v>0</v>
      </c>
      <c r="P79" s="404">
        <v>0</v>
      </c>
      <c r="Q79" s="404">
        <v>0</v>
      </c>
      <c r="R79" s="404">
        <v>0</v>
      </c>
      <c r="S79" s="404">
        <v>0</v>
      </c>
      <c r="T79" s="404">
        <v>30000</v>
      </c>
      <c r="U79" s="404">
        <v>0</v>
      </c>
      <c r="V79" s="425">
        <v>30000</v>
      </c>
      <c r="W79" s="406" t="str">
        <f t="shared" si="8"/>
        <v>OK</v>
      </c>
      <c r="X79" s="28"/>
      <c r="Y79" s="85"/>
      <c r="Z79" s="85"/>
      <c r="AA79" s="86"/>
      <c r="AB79" s="331"/>
    </row>
    <row r="80" spans="1:28" x14ac:dyDescent="0.35">
      <c r="A80" s="331"/>
      <c r="B80" s="331"/>
      <c r="C80" s="33"/>
      <c r="D80" s="56" t="s">
        <v>1132</v>
      </c>
      <c r="E80" s="329"/>
      <c r="F80" s="28"/>
      <c r="G80" s="394">
        <v>30000</v>
      </c>
      <c r="H80" s="395"/>
      <c r="I80" s="402">
        <v>0</v>
      </c>
      <c r="J80" s="402">
        <v>0</v>
      </c>
      <c r="K80" s="403">
        <v>0</v>
      </c>
      <c r="L80" s="403">
        <v>0</v>
      </c>
      <c r="M80" s="403">
        <v>0</v>
      </c>
      <c r="N80" s="403">
        <v>0</v>
      </c>
      <c r="O80" s="403">
        <v>0</v>
      </c>
      <c r="P80" s="404">
        <v>0</v>
      </c>
      <c r="Q80" s="404">
        <v>0</v>
      </c>
      <c r="R80" s="404">
        <v>0</v>
      </c>
      <c r="S80" s="404">
        <v>0</v>
      </c>
      <c r="T80" s="404">
        <v>30000</v>
      </c>
      <c r="U80" s="404">
        <v>0</v>
      </c>
      <c r="V80" s="425">
        <v>30000</v>
      </c>
      <c r="W80" s="406" t="str">
        <f t="shared" si="8"/>
        <v>OK</v>
      </c>
      <c r="X80" s="28"/>
      <c r="Y80" s="85"/>
      <c r="Z80" s="85"/>
      <c r="AA80" s="86"/>
      <c r="AB80" s="331"/>
    </row>
    <row r="81" spans="1:28" x14ac:dyDescent="0.35">
      <c r="A81" s="331"/>
      <c r="B81" s="331"/>
      <c r="C81" s="33"/>
      <c r="D81" s="56" t="s">
        <v>1133</v>
      </c>
      <c r="E81" s="329"/>
      <c r="F81" s="28"/>
      <c r="G81" s="394">
        <v>30000</v>
      </c>
      <c r="H81" s="395"/>
      <c r="I81" s="402">
        <v>0</v>
      </c>
      <c r="J81" s="402">
        <v>0</v>
      </c>
      <c r="K81" s="403">
        <v>0</v>
      </c>
      <c r="L81" s="403">
        <v>0</v>
      </c>
      <c r="M81" s="403">
        <v>0</v>
      </c>
      <c r="N81" s="403">
        <v>0</v>
      </c>
      <c r="O81" s="403">
        <v>30000</v>
      </c>
      <c r="P81" s="404">
        <v>0</v>
      </c>
      <c r="Q81" s="404">
        <v>0</v>
      </c>
      <c r="R81" s="404">
        <v>0</v>
      </c>
      <c r="S81" s="404">
        <v>0</v>
      </c>
      <c r="T81" s="404">
        <v>0</v>
      </c>
      <c r="U81" s="404">
        <v>0</v>
      </c>
      <c r="V81" s="425">
        <v>30000</v>
      </c>
      <c r="W81" s="406" t="str">
        <f t="shared" si="8"/>
        <v>OK</v>
      </c>
      <c r="X81" s="28"/>
      <c r="Y81" s="85"/>
      <c r="Z81" s="85"/>
      <c r="AA81" s="86"/>
      <c r="AB81" s="331"/>
    </row>
    <row r="82" spans="1:28" x14ac:dyDescent="0.35">
      <c r="A82" s="331"/>
      <c r="B82" s="331"/>
      <c r="C82" s="33"/>
      <c r="D82" s="56" t="s">
        <v>1134</v>
      </c>
      <c r="E82" s="329"/>
      <c r="F82" s="28"/>
      <c r="G82" s="394">
        <v>20000</v>
      </c>
      <c r="H82" s="395"/>
      <c r="I82" s="402">
        <v>0</v>
      </c>
      <c r="J82" s="402">
        <v>0</v>
      </c>
      <c r="K82" s="403">
        <v>0</v>
      </c>
      <c r="L82" s="403">
        <v>0</v>
      </c>
      <c r="M82" s="403">
        <v>0</v>
      </c>
      <c r="N82" s="403">
        <v>0</v>
      </c>
      <c r="O82" s="403">
        <v>20000</v>
      </c>
      <c r="P82" s="404">
        <v>0</v>
      </c>
      <c r="Q82" s="404">
        <v>0</v>
      </c>
      <c r="R82" s="404">
        <v>0</v>
      </c>
      <c r="S82" s="404">
        <v>0</v>
      </c>
      <c r="T82" s="404">
        <v>0</v>
      </c>
      <c r="U82" s="404">
        <v>0</v>
      </c>
      <c r="V82" s="425">
        <v>20000</v>
      </c>
      <c r="W82" s="406" t="str">
        <f t="shared" si="8"/>
        <v>OK</v>
      </c>
      <c r="X82" s="28"/>
      <c r="Y82" s="85"/>
      <c r="Z82" s="85"/>
      <c r="AA82" s="86"/>
      <c r="AB82" s="331"/>
    </row>
    <row r="83" spans="1:28" x14ac:dyDescent="0.35">
      <c r="A83" s="331"/>
      <c r="B83" s="331"/>
      <c r="C83" s="33"/>
      <c r="D83" s="56" t="s">
        <v>1135</v>
      </c>
      <c r="E83" s="329"/>
      <c r="F83" s="28"/>
      <c r="G83" s="394">
        <v>10000</v>
      </c>
      <c r="H83" s="395"/>
      <c r="I83" s="402">
        <v>0</v>
      </c>
      <c r="J83" s="402">
        <v>0</v>
      </c>
      <c r="K83" s="403">
        <v>0</v>
      </c>
      <c r="L83" s="403">
        <v>0</v>
      </c>
      <c r="M83" s="403">
        <v>0</v>
      </c>
      <c r="N83" s="403">
        <v>0</v>
      </c>
      <c r="O83" s="403">
        <v>10000</v>
      </c>
      <c r="P83" s="404">
        <v>0</v>
      </c>
      <c r="Q83" s="404">
        <v>0</v>
      </c>
      <c r="R83" s="404">
        <v>0</v>
      </c>
      <c r="S83" s="404">
        <v>0</v>
      </c>
      <c r="T83" s="404">
        <v>0</v>
      </c>
      <c r="U83" s="404">
        <v>0</v>
      </c>
      <c r="V83" s="425">
        <v>10000</v>
      </c>
      <c r="W83" s="406" t="str">
        <f t="shared" si="8"/>
        <v>OK</v>
      </c>
      <c r="X83" s="28"/>
      <c r="Y83" s="85"/>
      <c r="Z83" s="85"/>
      <c r="AA83" s="86"/>
      <c r="AB83" s="331"/>
    </row>
    <row r="84" spans="1:28" x14ac:dyDescent="0.35">
      <c r="A84" s="331"/>
      <c r="B84" s="331"/>
      <c r="C84" s="29"/>
      <c r="D84" s="56" t="s">
        <v>1136</v>
      </c>
      <c r="E84" s="329"/>
      <c r="F84" s="32"/>
      <c r="G84" s="394">
        <v>30000</v>
      </c>
      <c r="H84" s="395"/>
      <c r="I84" s="402">
        <v>0</v>
      </c>
      <c r="J84" s="402">
        <v>0</v>
      </c>
      <c r="K84" s="403">
        <v>0</v>
      </c>
      <c r="L84" s="403">
        <v>0</v>
      </c>
      <c r="M84" s="403">
        <v>0</v>
      </c>
      <c r="N84" s="403">
        <v>0</v>
      </c>
      <c r="O84" s="403">
        <v>0</v>
      </c>
      <c r="P84" s="404">
        <v>0</v>
      </c>
      <c r="Q84" s="404">
        <v>6000</v>
      </c>
      <c r="R84" s="404">
        <v>0</v>
      </c>
      <c r="S84" s="404">
        <v>24000</v>
      </c>
      <c r="T84" s="404">
        <v>0</v>
      </c>
      <c r="U84" s="404">
        <v>0</v>
      </c>
      <c r="V84" s="425">
        <v>30000</v>
      </c>
      <c r="W84" s="406" t="str">
        <f t="shared" si="8"/>
        <v>OK</v>
      </c>
      <c r="X84" s="28"/>
      <c r="Y84" s="85"/>
      <c r="Z84" s="85"/>
      <c r="AA84" s="331"/>
      <c r="AB84" s="331"/>
    </row>
    <row r="85" spans="1:28" x14ac:dyDescent="0.35">
      <c r="A85" s="331"/>
      <c r="B85" s="331"/>
      <c r="C85" s="29"/>
      <c r="D85" s="43" t="s">
        <v>1137</v>
      </c>
      <c r="E85" s="57"/>
      <c r="F85" s="32"/>
      <c r="G85" s="394">
        <v>70000</v>
      </c>
      <c r="H85" s="395"/>
      <c r="I85" s="402">
        <v>0</v>
      </c>
      <c r="J85" s="402">
        <v>0</v>
      </c>
      <c r="K85" s="403">
        <v>0</v>
      </c>
      <c r="L85" s="403">
        <v>0</v>
      </c>
      <c r="M85" s="403">
        <v>0</v>
      </c>
      <c r="N85" s="403">
        <v>0</v>
      </c>
      <c r="O85" s="403">
        <v>0</v>
      </c>
      <c r="P85" s="404">
        <v>0</v>
      </c>
      <c r="Q85" s="404">
        <v>14000</v>
      </c>
      <c r="R85" s="404">
        <v>0</v>
      </c>
      <c r="S85" s="404">
        <v>56000</v>
      </c>
      <c r="T85" s="404">
        <v>0</v>
      </c>
      <c r="U85" s="404">
        <v>0</v>
      </c>
      <c r="V85" s="425">
        <v>70000</v>
      </c>
      <c r="W85" s="406" t="str">
        <f t="shared" si="8"/>
        <v>OK</v>
      </c>
      <c r="X85" s="28"/>
      <c r="Y85" s="85"/>
      <c r="Z85" s="85"/>
      <c r="AA85" s="331"/>
      <c r="AB85" s="331"/>
    </row>
    <row r="86" spans="1:28" x14ac:dyDescent="0.35">
      <c r="A86" s="331"/>
      <c r="B86" s="331"/>
      <c r="C86" s="29"/>
      <c r="D86" s="43" t="s">
        <v>1138</v>
      </c>
      <c r="E86" s="57"/>
      <c r="F86" s="32"/>
      <c r="G86" s="394">
        <v>150000</v>
      </c>
      <c r="H86" s="395"/>
      <c r="I86" s="402">
        <v>0</v>
      </c>
      <c r="J86" s="402">
        <v>0</v>
      </c>
      <c r="K86" s="403">
        <v>0</v>
      </c>
      <c r="L86" s="403">
        <v>0</v>
      </c>
      <c r="M86" s="403">
        <v>0</v>
      </c>
      <c r="N86" s="403">
        <v>0</v>
      </c>
      <c r="O86" s="403">
        <v>0</v>
      </c>
      <c r="P86" s="404">
        <v>0</v>
      </c>
      <c r="Q86" s="404">
        <v>30000</v>
      </c>
      <c r="R86" s="404">
        <v>0</v>
      </c>
      <c r="S86" s="404">
        <v>120000</v>
      </c>
      <c r="T86" s="404">
        <v>0</v>
      </c>
      <c r="U86" s="404">
        <v>0</v>
      </c>
      <c r="V86" s="425">
        <v>150000</v>
      </c>
      <c r="W86" s="406" t="str">
        <f t="shared" si="8"/>
        <v>OK</v>
      </c>
      <c r="X86" s="28"/>
      <c r="Y86" s="85"/>
      <c r="Z86" s="85"/>
      <c r="AA86" s="331"/>
      <c r="AB86" s="331"/>
    </row>
    <row r="87" spans="1:28" x14ac:dyDescent="0.35">
      <c r="A87" s="331"/>
      <c r="B87" s="331"/>
      <c r="C87" s="29"/>
      <c r="D87" s="43" t="s">
        <v>1139</v>
      </c>
      <c r="E87" s="57"/>
      <c r="F87" s="32"/>
      <c r="G87" s="394">
        <v>50000</v>
      </c>
      <c r="H87" s="395"/>
      <c r="I87" s="402">
        <v>0</v>
      </c>
      <c r="J87" s="402">
        <v>0</v>
      </c>
      <c r="K87" s="403">
        <v>0</v>
      </c>
      <c r="L87" s="403">
        <v>0</v>
      </c>
      <c r="M87" s="403">
        <v>0</v>
      </c>
      <c r="N87" s="403">
        <v>0</v>
      </c>
      <c r="O87" s="403">
        <v>0</v>
      </c>
      <c r="P87" s="404">
        <v>0</v>
      </c>
      <c r="Q87" s="404">
        <v>10000</v>
      </c>
      <c r="R87" s="404">
        <v>0</v>
      </c>
      <c r="S87" s="404">
        <v>40000</v>
      </c>
      <c r="T87" s="404">
        <v>0</v>
      </c>
      <c r="U87" s="404">
        <v>0</v>
      </c>
      <c r="V87" s="425">
        <v>50000</v>
      </c>
      <c r="W87" s="406" t="str">
        <f t="shared" si="8"/>
        <v>OK</v>
      </c>
      <c r="X87" s="28"/>
      <c r="Y87" s="85"/>
      <c r="Z87" s="85"/>
      <c r="AA87" s="331"/>
      <c r="AB87" s="331"/>
    </row>
    <row r="88" spans="1:28" x14ac:dyDescent="0.35">
      <c r="A88" s="331"/>
      <c r="B88" s="331"/>
      <c r="C88" s="29"/>
      <c r="D88" s="43" t="s">
        <v>1140</v>
      </c>
      <c r="E88" s="57"/>
      <c r="F88" s="32"/>
      <c r="G88" s="394">
        <v>30000</v>
      </c>
      <c r="H88" s="395"/>
      <c r="I88" s="402">
        <v>0</v>
      </c>
      <c r="J88" s="402">
        <v>0</v>
      </c>
      <c r="K88" s="403">
        <v>0</v>
      </c>
      <c r="L88" s="403">
        <v>0</v>
      </c>
      <c r="M88" s="403">
        <v>0</v>
      </c>
      <c r="N88" s="403">
        <v>0</v>
      </c>
      <c r="O88" s="403">
        <v>0</v>
      </c>
      <c r="P88" s="404">
        <v>0</v>
      </c>
      <c r="Q88" s="404">
        <v>6000</v>
      </c>
      <c r="R88" s="404">
        <v>0</v>
      </c>
      <c r="S88" s="404">
        <v>24000</v>
      </c>
      <c r="T88" s="404">
        <v>0</v>
      </c>
      <c r="U88" s="404">
        <v>0</v>
      </c>
      <c r="V88" s="425">
        <v>30000</v>
      </c>
      <c r="W88" s="406" t="str">
        <f t="shared" si="8"/>
        <v>OK</v>
      </c>
      <c r="X88" s="28"/>
      <c r="Y88" s="85"/>
      <c r="Z88" s="85"/>
      <c r="AA88" s="331"/>
      <c r="AB88" s="331"/>
    </row>
    <row r="89" spans="1:28" x14ac:dyDescent="0.35">
      <c r="A89" s="331"/>
      <c r="B89" s="331"/>
      <c r="C89" s="29"/>
      <c r="D89" s="43" t="s">
        <v>1141</v>
      </c>
      <c r="E89" s="57"/>
      <c r="F89" s="32"/>
      <c r="G89" s="394">
        <v>5000</v>
      </c>
      <c r="H89" s="395"/>
      <c r="I89" s="402">
        <v>0</v>
      </c>
      <c r="J89" s="402">
        <v>0</v>
      </c>
      <c r="K89" s="403">
        <v>0</v>
      </c>
      <c r="L89" s="403">
        <v>0</v>
      </c>
      <c r="M89" s="403">
        <v>0</v>
      </c>
      <c r="N89" s="403">
        <v>0</v>
      </c>
      <c r="O89" s="403">
        <v>0</v>
      </c>
      <c r="P89" s="404">
        <v>0</v>
      </c>
      <c r="Q89" s="404">
        <v>1000</v>
      </c>
      <c r="R89" s="404">
        <v>0</v>
      </c>
      <c r="S89" s="404">
        <v>4000</v>
      </c>
      <c r="T89" s="404">
        <v>0</v>
      </c>
      <c r="U89" s="404">
        <v>0</v>
      </c>
      <c r="V89" s="425">
        <v>5000</v>
      </c>
      <c r="W89" s="406" t="str">
        <f t="shared" si="8"/>
        <v>OK</v>
      </c>
      <c r="X89" s="28"/>
      <c r="Y89" s="85"/>
      <c r="Z89" s="85"/>
      <c r="AA89" s="331"/>
      <c r="AB89" s="331"/>
    </row>
    <row r="90" spans="1:28" x14ac:dyDescent="0.35">
      <c r="A90" s="331"/>
      <c r="B90" s="331"/>
      <c r="C90" s="29"/>
      <c r="D90" s="43" t="s">
        <v>1142</v>
      </c>
      <c r="E90" s="57"/>
      <c r="F90" s="32"/>
      <c r="G90" s="394">
        <v>25000</v>
      </c>
      <c r="H90" s="395"/>
      <c r="I90" s="402">
        <v>0</v>
      </c>
      <c r="J90" s="402">
        <v>0</v>
      </c>
      <c r="K90" s="403">
        <v>0</v>
      </c>
      <c r="L90" s="403">
        <v>0</v>
      </c>
      <c r="M90" s="403">
        <v>0</v>
      </c>
      <c r="N90" s="403">
        <v>0</v>
      </c>
      <c r="O90" s="403">
        <v>0</v>
      </c>
      <c r="P90" s="404">
        <v>0</v>
      </c>
      <c r="Q90" s="404">
        <v>5000</v>
      </c>
      <c r="R90" s="404">
        <v>0</v>
      </c>
      <c r="S90" s="404">
        <v>20000</v>
      </c>
      <c r="T90" s="404">
        <v>0</v>
      </c>
      <c r="U90" s="404">
        <v>0</v>
      </c>
      <c r="V90" s="425">
        <v>25000</v>
      </c>
      <c r="W90" s="406" t="str">
        <f t="shared" si="8"/>
        <v>OK</v>
      </c>
      <c r="X90" s="28"/>
      <c r="Y90" s="85"/>
      <c r="Z90" s="85"/>
      <c r="AA90" s="331"/>
      <c r="AB90" s="331"/>
    </row>
    <row r="91" spans="1:28" x14ac:dyDescent="0.35">
      <c r="A91" s="331"/>
      <c r="B91" s="331"/>
      <c r="C91" s="29"/>
      <c r="D91" s="43" t="s">
        <v>1143</v>
      </c>
      <c r="E91" s="57"/>
      <c r="F91" s="32"/>
      <c r="G91" s="394">
        <v>50000</v>
      </c>
      <c r="H91" s="395"/>
      <c r="I91" s="402">
        <v>0</v>
      </c>
      <c r="J91" s="402">
        <v>0</v>
      </c>
      <c r="K91" s="403">
        <v>0</v>
      </c>
      <c r="L91" s="403">
        <v>0</v>
      </c>
      <c r="M91" s="403">
        <v>0</v>
      </c>
      <c r="N91" s="403">
        <v>0</v>
      </c>
      <c r="O91" s="403">
        <v>0</v>
      </c>
      <c r="P91" s="404">
        <v>0</v>
      </c>
      <c r="Q91" s="404">
        <v>10000</v>
      </c>
      <c r="R91" s="404">
        <v>0</v>
      </c>
      <c r="S91" s="404">
        <v>40000</v>
      </c>
      <c r="T91" s="404">
        <v>0</v>
      </c>
      <c r="U91" s="404">
        <v>0</v>
      </c>
      <c r="V91" s="425">
        <v>50000</v>
      </c>
      <c r="W91" s="406" t="str">
        <f t="shared" si="8"/>
        <v>OK</v>
      </c>
      <c r="X91" s="28"/>
      <c r="Y91" s="85"/>
      <c r="Z91" s="85"/>
      <c r="AA91" s="331"/>
      <c r="AB91" s="331"/>
    </row>
    <row r="92" spans="1:28" x14ac:dyDescent="0.35">
      <c r="A92" s="331"/>
      <c r="B92" s="331"/>
      <c r="C92" s="29"/>
      <c r="D92" s="43" t="s">
        <v>1144</v>
      </c>
      <c r="E92" s="329"/>
      <c r="F92" s="32"/>
      <c r="G92" s="394">
        <v>30000</v>
      </c>
      <c r="H92" s="395"/>
      <c r="I92" s="402">
        <v>0</v>
      </c>
      <c r="J92" s="402">
        <v>0</v>
      </c>
      <c r="K92" s="403">
        <v>0</v>
      </c>
      <c r="L92" s="403">
        <v>0</v>
      </c>
      <c r="M92" s="403">
        <v>0</v>
      </c>
      <c r="N92" s="403">
        <v>0</v>
      </c>
      <c r="O92" s="403">
        <v>0</v>
      </c>
      <c r="P92" s="404">
        <v>0</v>
      </c>
      <c r="Q92" s="404">
        <v>0</v>
      </c>
      <c r="R92" s="404">
        <v>0</v>
      </c>
      <c r="S92" s="404">
        <v>0</v>
      </c>
      <c r="T92" s="404">
        <v>30000</v>
      </c>
      <c r="U92" s="404">
        <v>0</v>
      </c>
      <c r="V92" s="425">
        <v>30000</v>
      </c>
      <c r="W92" s="406" t="str">
        <f t="shared" si="8"/>
        <v>OK</v>
      </c>
      <c r="X92" s="28"/>
      <c r="Y92" s="85"/>
      <c r="Z92" s="85"/>
      <c r="AA92" s="331"/>
      <c r="AB92" s="331"/>
    </row>
    <row r="93" spans="1:28" x14ac:dyDescent="0.35">
      <c r="A93" s="331"/>
      <c r="B93" s="331"/>
      <c r="C93" s="29"/>
      <c r="D93" s="43" t="s">
        <v>1145</v>
      </c>
      <c r="E93" s="329"/>
      <c r="F93" s="32"/>
      <c r="G93" s="394">
        <v>50000</v>
      </c>
      <c r="H93" s="395"/>
      <c r="I93" s="402">
        <v>0</v>
      </c>
      <c r="J93" s="402">
        <v>0</v>
      </c>
      <c r="K93" s="403">
        <v>0</v>
      </c>
      <c r="L93" s="403">
        <v>0</v>
      </c>
      <c r="M93" s="403">
        <v>0</v>
      </c>
      <c r="N93" s="403">
        <v>0</v>
      </c>
      <c r="O93" s="403">
        <v>0</v>
      </c>
      <c r="P93" s="404">
        <v>0</v>
      </c>
      <c r="Q93" s="404">
        <v>0</v>
      </c>
      <c r="R93" s="404">
        <v>0</v>
      </c>
      <c r="S93" s="404">
        <v>0</v>
      </c>
      <c r="T93" s="404">
        <v>50000</v>
      </c>
      <c r="U93" s="404">
        <v>0</v>
      </c>
      <c r="V93" s="425">
        <v>50000</v>
      </c>
      <c r="W93" s="406" t="str">
        <f t="shared" si="8"/>
        <v>OK</v>
      </c>
      <c r="X93" s="28"/>
      <c r="Y93" s="85"/>
      <c r="Z93" s="85"/>
      <c r="AA93" s="331"/>
      <c r="AB93" s="331"/>
    </row>
    <row r="94" spans="1:28" x14ac:dyDescent="0.35">
      <c r="A94" s="331"/>
      <c r="B94" s="331"/>
      <c r="C94" s="29"/>
      <c r="D94" s="43" t="s">
        <v>1146</v>
      </c>
      <c r="E94" s="329"/>
      <c r="F94" s="32"/>
      <c r="G94" s="394"/>
      <c r="H94" s="395"/>
      <c r="I94" s="402">
        <v>0</v>
      </c>
      <c r="J94" s="402">
        <v>0</v>
      </c>
      <c r="K94" s="403">
        <v>0</v>
      </c>
      <c r="L94" s="403">
        <v>0</v>
      </c>
      <c r="M94" s="403">
        <v>0</v>
      </c>
      <c r="N94" s="403">
        <v>0</v>
      </c>
      <c r="O94" s="403">
        <v>0</v>
      </c>
      <c r="P94" s="404">
        <v>0</v>
      </c>
      <c r="Q94" s="404">
        <v>0</v>
      </c>
      <c r="R94" s="404">
        <v>0</v>
      </c>
      <c r="S94" s="404">
        <v>0</v>
      </c>
      <c r="T94" s="404">
        <v>0</v>
      </c>
      <c r="U94" s="404">
        <v>0</v>
      </c>
      <c r="V94" s="425">
        <v>0</v>
      </c>
      <c r="W94" s="406" t="str">
        <f t="shared" si="8"/>
        <v>OK</v>
      </c>
      <c r="X94" s="28"/>
      <c r="Y94" s="85"/>
      <c r="Z94" s="85"/>
      <c r="AA94" s="331"/>
      <c r="AB94" s="331"/>
    </row>
    <row r="95" spans="1:28" x14ac:dyDescent="0.35">
      <c r="A95" s="331"/>
      <c r="B95" s="331"/>
      <c r="C95" s="29"/>
      <c r="D95" s="43" t="s">
        <v>1147</v>
      </c>
      <c r="E95" s="329"/>
      <c r="F95" s="32"/>
      <c r="G95" s="394"/>
      <c r="H95" s="395"/>
      <c r="I95" s="402">
        <v>0</v>
      </c>
      <c r="J95" s="402">
        <v>0</v>
      </c>
      <c r="K95" s="403">
        <v>0</v>
      </c>
      <c r="L95" s="403">
        <v>0</v>
      </c>
      <c r="M95" s="403">
        <v>0</v>
      </c>
      <c r="N95" s="403">
        <v>0</v>
      </c>
      <c r="O95" s="403">
        <v>0</v>
      </c>
      <c r="P95" s="404">
        <v>0</v>
      </c>
      <c r="Q95" s="404">
        <v>0</v>
      </c>
      <c r="R95" s="404">
        <v>0</v>
      </c>
      <c r="S95" s="404">
        <v>0</v>
      </c>
      <c r="T95" s="404">
        <v>0</v>
      </c>
      <c r="U95" s="404">
        <v>0</v>
      </c>
      <c r="V95" s="425">
        <v>0</v>
      </c>
      <c r="W95" s="406" t="str">
        <f t="shared" si="8"/>
        <v>OK</v>
      </c>
      <c r="X95" s="28"/>
      <c r="Y95" s="85"/>
      <c r="Z95" s="85"/>
      <c r="AA95" s="331"/>
      <c r="AB95" s="331"/>
    </row>
    <row r="96" spans="1:28" x14ac:dyDescent="0.35">
      <c r="A96" s="331"/>
      <c r="B96" s="331"/>
      <c r="C96" s="29"/>
      <c r="D96" s="43" t="s">
        <v>1148</v>
      </c>
      <c r="E96" s="329"/>
      <c r="F96" s="32"/>
      <c r="G96" s="394">
        <v>100000</v>
      </c>
      <c r="H96" s="395"/>
      <c r="I96" s="402">
        <v>0</v>
      </c>
      <c r="J96" s="402">
        <v>0</v>
      </c>
      <c r="K96" s="403">
        <v>0</v>
      </c>
      <c r="L96" s="403">
        <v>0</v>
      </c>
      <c r="M96" s="403">
        <v>0</v>
      </c>
      <c r="N96" s="403">
        <v>0</v>
      </c>
      <c r="O96" s="403">
        <v>0</v>
      </c>
      <c r="P96" s="404">
        <v>0</v>
      </c>
      <c r="Q96" s="404">
        <v>0</v>
      </c>
      <c r="R96" s="404">
        <v>0</v>
      </c>
      <c r="S96" s="404">
        <v>20000</v>
      </c>
      <c r="T96" s="404">
        <v>0</v>
      </c>
      <c r="U96" s="404">
        <v>80000</v>
      </c>
      <c r="V96" s="425">
        <v>100000</v>
      </c>
      <c r="W96" s="406" t="str">
        <f t="shared" si="8"/>
        <v>OK</v>
      </c>
      <c r="X96" s="28"/>
      <c r="Y96" s="85"/>
      <c r="Z96" s="85"/>
      <c r="AA96" s="331"/>
      <c r="AB96" s="331"/>
    </row>
    <row r="97" spans="1:28" x14ac:dyDescent="0.35">
      <c r="A97" s="331"/>
      <c r="B97" s="331"/>
      <c r="C97" s="29"/>
      <c r="D97" s="43" t="s">
        <v>1149</v>
      </c>
      <c r="E97" s="329"/>
      <c r="F97" s="32"/>
      <c r="G97" s="394">
        <v>70000</v>
      </c>
      <c r="H97" s="395"/>
      <c r="I97" s="402">
        <v>0</v>
      </c>
      <c r="J97" s="402">
        <v>0</v>
      </c>
      <c r="K97" s="403">
        <v>0</v>
      </c>
      <c r="L97" s="403">
        <v>0</v>
      </c>
      <c r="M97" s="403">
        <v>0</v>
      </c>
      <c r="N97" s="403">
        <v>0</v>
      </c>
      <c r="O97" s="403">
        <v>0</v>
      </c>
      <c r="P97" s="404">
        <v>0</v>
      </c>
      <c r="Q97" s="404">
        <v>0</v>
      </c>
      <c r="R97" s="404">
        <v>70000</v>
      </c>
      <c r="S97" s="404">
        <v>0</v>
      </c>
      <c r="T97" s="404">
        <v>0</v>
      </c>
      <c r="U97" s="404">
        <v>0</v>
      </c>
      <c r="V97" s="425">
        <v>70000</v>
      </c>
      <c r="W97" s="406" t="str">
        <f t="shared" si="8"/>
        <v>OK</v>
      </c>
      <c r="X97" s="28"/>
      <c r="Y97" s="85"/>
      <c r="Z97" s="85"/>
      <c r="AA97" s="331"/>
      <c r="AB97" s="331"/>
    </row>
    <row r="98" spans="1:28" ht="15" customHeight="1" thickBot="1" x14ac:dyDescent="0.4">
      <c r="A98" s="331"/>
      <c r="B98" s="331"/>
      <c r="C98" s="29"/>
      <c r="D98" s="43" t="s">
        <v>1150</v>
      </c>
      <c r="E98" s="329"/>
      <c r="F98" s="32"/>
      <c r="G98" s="394">
        <v>0</v>
      </c>
      <c r="H98" s="395"/>
      <c r="I98" s="402">
        <v>0</v>
      </c>
      <c r="J98" s="402">
        <v>0</v>
      </c>
      <c r="K98" s="403">
        <v>0</v>
      </c>
      <c r="L98" s="403">
        <v>0</v>
      </c>
      <c r="M98" s="403">
        <v>0</v>
      </c>
      <c r="N98" s="403">
        <v>0</v>
      </c>
      <c r="O98" s="403">
        <v>0</v>
      </c>
      <c r="P98" s="404">
        <v>0</v>
      </c>
      <c r="Q98" s="404">
        <v>0</v>
      </c>
      <c r="R98" s="404">
        <v>0</v>
      </c>
      <c r="S98" s="404">
        <v>0</v>
      </c>
      <c r="T98" s="404">
        <v>0</v>
      </c>
      <c r="U98" s="404">
        <v>0</v>
      </c>
      <c r="V98" s="425">
        <v>0</v>
      </c>
      <c r="W98" s="406" t="str">
        <f>IF(ABS(V98-G98)&lt;1,"OK","Check")</f>
        <v>OK</v>
      </c>
      <c r="X98" s="28"/>
      <c r="Y98" s="85"/>
      <c r="Z98" s="85"/>
      <c r="AA98" s="331"/>
      <c r="AB98" s="331"/>
    </row>
    <row r="99" spans="1:28" ht="15" customHeight="1" thickTop="1" x14ac:dyDescent="0.35">
      <c r="A99" s="331"/>
      <c r="B99" s="331"/>
      <c r="C99" s="37"/>
      <c r="D99" s="37" t="s">
        <v>1151</v>
      </c>
      <c r="E99" s="38" t="s">
        <v>173</v>
      </c>
      <c r="F99" s="38"/>
      <c r="G99" s="396">
        <f>SUM(G96:G98)</f>
        <v>170000</v>
      </c>
      <c r="H99" s="397"/>
      <c r="I99" s="402">
        <f t="shared" ref="I99:V99" si="9">SUM(I71:I98)</f>
        <v>0</v>
      </c>
      <c r="J99" s="402">
        <f t="shared" si="9"/>
        <v>0</v>
      </c>
      <c r="K99" s="403">
        <f t="shared" si="9"/>
        <v>0</v>
      </c>
      <c r="L99" s="403">
        <f t="shared" si="9"/>
        <v>0</v>
      </c>
      <c r="M99" s="403">
        <f t="shared" si="9"/>
        <v>0</v>
      </c>
      <c r="N99" s="403">
        <f t="shared" si="9"/>
        <v>0</v>
      </c>
      <c r="O99" s="403">
        <f t="shared" si="9"/>
        <v>60000</v>
      </c>
      <c r="P99" s="404">
        <f t="shared" si="9"/>
        <v>20000</v>
      </c>
      <c r="Q99" s="404">
        <f t="shared" si="9"/>
        <v>82000</v>
      </c>
      <c r="R99" s="404">
        <f t="shared" si="9"/>
        <v>102000</v>
      </c>
      <c r="S99" s="404">
        <f t="shared" si="9"/>
        <v>676000</v>
      </c>
      <c r="T99" s="404">
        <f t="shared" si="9"/>
        <v>160000</v>
      </c>
      <c r="U99" s="404">
        <f t="shared" si="9"/>
        <v>100000</v>
      </c>
      <c r="V99" s="425">
        <f t="shared" si="9"/>
        <v>1200000</v>
      </c>
      <c r="W99" s="426" t="str">
        <f>IFERROR(IF(SUM(V71:V98)=G99, "OK", "Check"),"")</f>
        <v>Check</v>
      </c>
      <c r="X99" s="28"/>
      <c r="Y99" s="85"/>
      <c r="Z99" s="85"/>
      <c r="AA99" s="331"/>
      <c r="AB99" s="331"/>
    </row>
    <row r="100" spans="1:28" x14ac:dyDescent="0.35">
      <c r="A100" s="331"/>
      <c r="B100" s="331"/>
      <c r="C100" s="37"/>
      <c r="D100" s="37"/>
      <c r="E100" s="38"/>
      <c r="F100" s="38"/>
      <c r="G100" s="397"/>
      <c r="H100" s="397"/>
      <c r="I100" s="402"/>
      <c r="J100" s="402"/>
      <c r="K100" s="403"/>
      <c r="L100" s="403"/>
      <c r="M100" s="403"/>
      <c r="N100" s="403"/>
      <c r="O100" s="403"/>
      <c r="P100" s="404"/>
      <c r="Q100" s="404"/>
      <c r="R100" s="404"/>
      <c r="S100" s="404"/>
      <c r="T100" s="404"/>
      <c r="U100" s="404"/>
      <c r="V100" s="425"/>
      <c r="W100" s="406"/>
      <c r="X100" s="28"/>
      <c r="Y100" s="85"/>
      <c r="Z100" s="85"/>
      <c r="AA100" s="331"/>
      <c r="AB100" s="331"/>
    </row>
    <row r="101" spans="1:28" x14ac:dyDescent="0.35">
      <c r="A101" s="331"/>
      <c r="B101" s="331"/>
      <c r="C101" s="33" t="s">
        <v>1152</v>
      </c>
      <c r="D101" s="31"/>
      <c r="E101" s="28"/>
      <c r="F101" s="28"/>
      <c r="G101" s="44"/>
      <c r="H101" s="44"/>
      <c r="I101" s="402"/>
      <c r="J101" s="402"/>
      <c r="K101" s="403"/>
      <c r="L101" s="403"/>
      <c r="M101" s="403"/>
      <c r="N101" s="403"/>
      <c r="O101" s="403"/>
      <c r="P101" s="404"/>
      <c r="Q101" s="404"/>
      <c r="R101" s="404"/>
      <c r="S101" s="404"/>
      <c r="T101" s="404"/>
      <c r="U101" s="404"/>
      <c r="V101" s="425"/>
      <c r="W101" s="28"/>
      <c r="X101" s="28"/>
      <c r="Y101" s="85"/>
      <c r="Z101" s="85"/>
      <c r="AA101" s="86"/>
      <c r="AB101" s="331"/>
    </row>
    <row r="102" spans="1:28" x14ac:dyDescent="0.35">
      <c r="A102" s="331"/>
      <c r="B102" s="331"/>
      <c r="C102" s="29"/>
      <c r="D102" s="43" t="s">
        <v>1153</v>
      </c>
      <c r="E102" s="57"/>
      <c r="F102" s="32"/>
      <c r="G102" s="394">
        <v>3000000</v>
      </c>
      <c r="H102" s="395"/>
      <c r="I102" s="402">
        <v>0</v>
      </c>
      <c r="J102" s="402">
        <v>0</v>
      </c>
      <c r="K102" s="403">
        <v>0</v>
      </c>
      <c r="L102" s="403">
        <v>0</v>
      </c>
      <c r="M102" s="403">
        <v>0</v>
      </c>
      <c r="N102" s="403">
        <v>300000</v>
      </c>
      <c r="O102" s="403">
        <v>0</v>
      </c>
      <c r="P102" s="404">
        <v>0</v>
      </c>
      <c r="Q102" s="404">
        <v>900000</v>
      </c>
      <c r="R102" s="404">
        <v>1200000</v>
      </c>
      <c r="S102" s="404">
        <v>600000</v>
      </c>
      <c r="T102" s="404">
        <v>0</v>
      </c>
      <c r="U102" s="404">
        <v>0</v>
      </c>
      <c r="V102" s="425">
        <v>3000000</v>
      </c>
      <c r="W102" s="406" t="str">
        <f t="shared" ref="W102:W110" si="10">IFERROR(IF(V102=G102, "OK", "Check"),"")</f>
        <v>OK</v>
      </c>
      <c r="X102" s="28"/>
      <c r="Y102" s="85"/>
      <c r="Z102" s="85"/>
      <c r="AA102" s="331"/>
      <c r="AB102" s="331"/>
    </row>
    <row r="103" spans="1:28" x14ac:dyDescent="0.35">
      <c r="A103" s="331"/>
      <c r="B103" s="331"/>
      <c r="C103" s="29"/>
      <c r="D103" s="43" t="s">
        <v>1154</v>
      </c>
      <c r="E103" s="57"/>
      <c r="F103" s="32"/>
      <c r="G103" s="394">
        <v>0</v>
      </c>
      <c r="H103" s="395"/>
      <c r="I103" s="402">
        <v>0</v>
      </c>
      <c r="J103" s="402">
        <v>0</v>
      </c>
      <c r="K103" s="403">
        <v>0</v>
      </c>
      <c r="L103" s="403">
        <v>0</v>
      </c>
      <c r="M103" s="403">
        <v>0</v>
      </c>
      <c r="N103" s="403">
        <v>0</v>
      </c>
      <c r="O103" s="403">
        <v>0</v>
      </c>
      <c r="P103" s="404">
        <v>0</v>
      </c>
      <c r="Q103" s="404">
        <v>0</v>
      </c>
      <c r="R103" s="404">
        <v>0</v>
      </c>
      <c r="S103" s="404">
        <v>0</v>
      </c>
      <c r="T103" s="404">
        <v>0</v>
      </c>
      <c r="U103" s="404">
        <v>0</v>
      </c>
      <c r="V103" s="425">
        <v>0</v>
      </c>
      <c r="W103" s="406" t="str">
        <f t="shared" si="10"/>
        <v>OK</v>
      </c>
      <c r="X103" s="28"/>
      <c r="Y103" s="85"/>
      <c r="Z103" s="85"/>
      <c r="AA103" s="331"/>
      <c r="AB103" s="331"/>
    </row>
    <row r="104" spans="1:28" x14ac:dyDescent="0.35">
      <c r="A104" s="331"/>
      <c r="B104" s="331"/>
      <c r="C104" s="29"/>
      <c r="D104" s="43" t="s">
        <v>1155</v>
      </c>
      <c r="E104" s="57"/>
      <c r="F104" s="32"/>
      <c r="G104" s="394">
        <v>800000</v>
      </c>
      <c r="H104" s="395"/>
      <c r="I104" s="402">
        <v>0</v>
      </c>
      <c r="J104" s="402">
        <v>0</v>
      </c>
      <c r="K104" s="403">
        <v>0</v>
      </c>
      <c r="L104" s="403">
        <v>0</v>
      </c>
      <c r="M104" s="403">
        <v>0</v>
      </c>
      <c r="N104" s="403">
        <v>320000</v>
      </c>
      <c r="O104" s="403">
        <v>0</v>
      </c>
      <c r="P104" s="404">
        <v>0</v>
      </c>
      <c r="Q104" s="404">
        <v>0</v>
      </c>
      <c r="R104" s="404">
        <v>0</v>
      </c>
      <c r="S104" s="404">
        <v>480000</v>
      </c>
      <c r="T104" s="404">
        <v>0</v>
      </c>
      <c r="U104" s="404">
        <v>0</v>
      </c>
      <c r="V104" s="425">
        <v>800000</v>
      </c>
      <c r="W104" s="406" t="str">
        <f t="shared" si="10"/>
        <v>OK</v>
      </c>
      <c r="X104" s="28"/>
      <c r="Y104" s="85"/>
      <c r="Z104" s="85"/>
      <c r="AA104" s="331"/>
      <c r="AB104" s="331"/>
    </row>
    <row r="105" spans="1:28" x14ac:dyDescent="0.35">
      <c r="A105" s="331"/>
      <c r="B105" s="331"/>
      <c r="C105" s="29"/>
      <c r="D105" s="43" t="s">
        <v>1156</v>
      </c>
      <c r="E105" s="57"/>
      <c r="F105" s="32"/>
      <c r="G105" s="394">
        <v>100000</v>
      </c>
      <c r="H105" s="395"/>
      <c r="I105" s="402">
        <v>0</v>
      </c>
      <c r="J105" s="402">
        <v>0</v>
      </c>
      <c r="K105" s="403">
        <v>0</v>
      </c>
      <c r="L105" s="403">
        <v>0</v>
      </c>
      <c r="M105" s="403">
        <v>0</v>
      </c>
      <c r="N105" s="403">
        <v>0</v>
      </c>
      <c r="O105" s="403">
        <v>0</v>
      </c>
      <c r="P105" s="404">
        <v>0</v>
      </c>
      <c r="Q105" s="404">
        <v>0</v>
      </c>
      <c r="R105" s="404">
        <v>0</v>
      </c>
      <c r="S105" s="404">
        <v>100000</v>
      </c>
      <c r="T105" s="404">
        <v>0</v>
      </c>
      <c r="U105" s="404">
        <v>0</v>
      </c>
      <c r="V105" s="425">
        <v>100000</v>
      </c>
      <c r="W105" s="406" t="str">
        <f t="shared" si="10"/>
        <v>OK</v>
      </c>
      <c r="X105" s="28"/>
      <c r="Y105" s="85"/>
      <c r="Z105" s="85"/>
      <c r="AA105" s="331"/>
      <c r="AB105" s="331"/>
    </row>
    <row r="106" spans="1:28" x14ac:dyDescent="0.35">
      <c r="A106" s="331"/>
      <c r="B106" s="331"/>
      <c r="C106" s="29"/>
      <c r="D106" s="43" t="s">
        <v>1157</v>
      </c>
      <c r="E106" s="57"/>
      <c r="F106" s="32"/>
      <c r="G106" s="394">
        <v>100000</v>
      </c>
      <c r="H106" s="395"/>
      <c r="I106" s="402">
        <v>0</v>
      </c>
      <c r="J106" s="402">
        <v>0</v>
      </c>
      <c r="K106" s="403">
        <v>0</v>
      </c>
      <c r="L106" s="403">
        <v>0</v>
      </c>
      <c r="M106" s="403">
        <v>0</v>
      </c>
      <c r="N106" s="403">
        <v>0</v>
      </c>
      <c r="O106" s="403">
        <v>0</v>
      </c>
      <c r="P106" s="404">
        <v>0</v>
      </c>
      <c r="Q106" s="404">
        <v>0</v>
      </c>
      <c r="R106" s="404">
        <v>0</v>
      </c>
      <c r="S106" s="404">
        <v>100000</v>
      </c>
      <c r="T106" s="404">
        <v>0</v>
      </c>
      <c r="U106" s="404">
        <v>0</v>
      </c>
      <c r="V106" s="425">
        <v>100000</v>
      </c>
      <c r="W106" s="406" t="str">
        <f t="shared" si="10"/>
        <v>OK</v>
      </c>
      <c r="X106" s="28"/>
      <c r="Y106" s="85"/>
      <c r="Z106" s="85"/>
      <c r="AA106" s="331"/>
      <c r="AB106" s="331"/>
    </row>
    <row r="107" spans="1:28" x14ac:dyDescent="0.35">
      <c r="A107" s="331"/>
      <c r="B107" s="331"/>
      <c r="C107" s="29"/>
      <c r="D107" s="43" t="s">
        <v>1158</v>
      </c>
      <c r="E107" s="57"/>
      <c r="F107" s="32"/>
      <c r="G107" s="394">
        <v>50000</v>
      </c>
      <c r="H107" s="395"/>
      <c r="I107" s="402">
        <v>0</v>
      </c>
      <c r="J107" s="402">
        <v>0</v>
      </c>
      <c r="K107" s="403">
        <v>0</v>
      </c>
      <c r="L107" s="403">
        <v>0</v>
      </c>
      <c r="M107" s="403">
        <v>0</v>
      </c>
      <c r="N107" s="403">
        <v>0</v>
      </c>
      <c r="O107" s="403">
        <v>0</v>
      </c>
      <c r="P107" s="404">
        <v>0</v>
      </c>
      <c r="Q107" s="404">
        <v>0</v>
      </c>
      <c r="R107" s="404">
        <v>0</v>
      </c>
      <c r="S107" s="404">
        <v>50000</v>
      </c>
      <c r="T107" s="404">
        <v>0</v>
      </c>
      <c r="U107" s="404">
        <v>0</v>
      </c>
      <c r="V107" s="425">
        <v>50000</v>
      </c>
      <c r="W107" s="406" t="str">
        <f t="shared" si="10"/>
        <v>OK</v>
      </c>
      <c r="X107" s="28"/>
      <c r="Y107" s="85"/>
      <c r="Z107" s="85"/>
      <c r="AA107" s="331"/>
      <c r="AB107" s="331"/>
    </row>
    <row r="108" spans="1:28" x14ac:dyDescent="0.35">
      <c r="A108" s="331"/>
      <c r="B108" s="331"/>
      <c r="C108" s="29"/>
      <c r="D108" s="43" t="s">
        <v>1159</v>
      </c>
      <c r="E108" s="57"/>
      <c r="F108" s="32"/>
      <c r="G108" s="394">
        <v>700000</v>
      </c>
      <c r="H108" s="395"/>
      <c r="I108" s="402">
        <v>0</v>
      </c>
      <c r="J108" s="402">
        <v>0</v>
      </c>
      <c r="K108" s="403">
        <v>0</v>
      </c>
      <c r="L108" s="403">
        <v>0</v>
      </c>
      <c r="M108" s="403">
        <v>0</v>
      </c>
      <c r="N108" s="403">
        <v>0</v>
      </c>
      <c r="O108" s="403">
        <v>0</v>
      </c>
      <c r="P108" s="404">
        <v>0</v>
      </c>
      <c r="Q108" s="404">
        <v>0</v>
      </c>
      <c r="R108" s="404">
        <v>140000</v>
      </c>
      <c r="S108" s="404">
        <v>560000</v>
      </c>
      <c r="T108" s="404">
        <v>0</v>
      </c>
      <c r="U108" s="404">
        <v>0</v>
      </c>
      <c r="V108" s="425">
        <v>700000</v>
      </c>
      <c r="W108" s="406" t="str">
        <f t="shared" si="10"/>
        <v>OK</v>
      </c>
      <c r="X108" s="28"/>
      <c r="Y108" s="85"/>
      <c r="Z108" s="85"/>
      <c r="AA108" s="331"/>
      <c r="AB108" s="331"/>
    </row>
    <row r="109" spans="1:28" x14ac:dyDescent="0.35">
      <c r="A109" s="331"/>
      <c r="B109" s="331"/>
      <c r="C109" s="29"/>
      <c r="D109" s="43" t="s">
        <v>1160</v>
      </c>
      <c r="E109" s="57"/>
      <c r="F109" s="32"/>
      <c r="G109" s="394">
        <v>100000</v>
      </c>
      <c r="H109" s="395"/>
      <c r="I109" s="402">
        <v>0</v>
      </c>
      <c r="J109" s="402">
        <v>0</v>
      </c>
      <c r="K109" s="403">
        <v>0</v>
      </c>
      <c r="L109" s="403">
        <v>0</v>
      </c>
      <c r="M109" s="403">
        <v>0</v>
      </c>
      <c r="N109" s="403">
        <v>0</v>
      </c>
      <c r="O109" s="403">
        <v>0</v>
      </c>
      <c r="P109" s="404">
        <v>0</v>
      </c>
      <c r="Q109" s="404">
        <v>0</v>
      </c>
      <c r="R109" s="404">
        <v>100000</v>
      </c>
      <c r="S109" s="404">
        <v>0</v>
      </c>
      <c r="T109" s="404">
        <v>0</v>
      </c>
      <c r="U109" s="404">
        <v>0</v>
      </c>
      <c r="V109" s="425">
        <v>100000</v>
      </c>
      <c r="W109" s="406" t="str">
        <f t="shared" si="10"/>
        <v>OK</v>
      </c>
      <c r="X109" s="28"/>
      <c r="Y109" s="85"/>
      <c r="Z109" s="85"/>
      <c r="AA109" s="331"/>
      <c r="AB109" s="331"/>
    </row>
    <row r="110" spans="1:28" x14ac:dyDescent="0.35">
      <c r="A110" s="331"/>
      <c r="B110" s="331"/>
      <c r="C110" s="29"/>
      <c r="D110" s="43" t="s">
        <v>1161</v>
      </c>
      <c r="E110" s="57"/>
      <c r="F110" s="32"/>
      <c r="G110" s="394">
        <v>0</v>
      </c>
      <c r="H110" s="395"/>
      <c r="I110" s="402">
        <v>0</v>
      </c>
      <c r="J110" s="402">
        <v>0</v>
      </c>
      <c r="K110" s="403">
        <v>0</v>
      </c>
      <c r="L110" s="403">
        <v>0</v>
      </c>
      <c r="M110" s="403">
        <v>0</v>
      </c>
      <c r="N110" s="403">
        <v>0</v>
      </c>
      <c r="O110" s="403">
        <v>0</v>
      </c>
      <c r="P110" s="404">
        <v>0</v>
      </c>
      <c r="Q110" s="404">
        <v>0</v>
      </c>
      <c r="R110" s="404">
        <v>0</v>
      </c>
      <c r="S110" s="404">
        <v>0</v>
      </c>
      <c r="T110" s="404">
        <v>0</v>
      </c>
      <c r="U110" s="404">
        <v>0</v>
      </c>
      <c r="V110" s="425">
        <v>0</v>
      </c>
      <c r="W110" s="406" t="str">
        <f t="shared" si="10"/>
        <v>OK</v>
      </c>
      <c r="X110" s="28"/>
      <c r="Y110" s="85"/>
      <c r="Z110" s="85"/>
      <c r="AA110" s="331"/>
      <c r="AB110" s="331"/>
    </row>
    <row r="111" spans="1:28" ht="15" customHeight="1" thickBot="1" x14ac:dyDescent="0.4">
      <c r="A111" s="331"/>
      <c r="B111" s="331"/>
      <c r="C111" s="29"/>
      <c r="D111" s="43" t="s">
        <v>1162</v>
      </c>
      <c r="E111" s="57"/>
      <c r="F111" s="32"/>
      <c r="G111" s="394">
        <v>100000</v>
      </c>
      <c r="H111" s="395"/>
      <c r="I111" s="402">
        <v>0</v>
      </c>
      <c r="J111" s="402">
        <v>0</v>
      </c>
      <c r="K111" s="403">
        <v>0</v>
      </c>
      <c r="L111" s="403">
        <v>0</v>
      </c>
      <c r="M111" s="403">
        <v>0</v>
      </c>
      <c r="N111" s="403">
        <v>0</v>
      </c>
      <c r="O111" s="403">
        <v>0</v>
      </c>
      <c r="P111" s="404">
        <v>0</v>
      </c>
      <c r="Q111" s="404">
        <v>0</v>
      </c>
      <c r="R111" s="404">
        <v>0</v>
      </c>
      <c r="S111" s="404">
        <v>100000</v>
      </c>
      <c r="T111" s="404">
        <v>0</v>
      </c>
      <c r="U111" s="404">
        <v>0</v>
      </c>
      <c r="V111" s="425">
        <v>100000</v>
      </c>
      <c r="W111" s="406" t="str">
        <f>IF(ABS(V111-G111)&lt;1,"OK","Check")</f>
        <v>OK</v>
      </c>
      <c r="X111" s="28"/>
      <c r="Y111" s="85"/>
      <c r="Z111" s="85"/>
      <c r="AA111" s="331"/>
      <c r="AB111" s="331"/>
    </row>
    <row r="112" spans="1:28" ht="15" customHeight="1" thickTop="1" x14ac:dyDescent="0.35">
      <c r="A112" s="331"/>
      <c r="B112" s="331"/>
      <c r="C112" s="37"/>
      <c r="D112" s="37" t="s">
        <v>1163</v>
      </c>
      <c r="E112" s="38" t="s">
        <v>173</v>
      </c>
      <c r="F112" s="38"/>
      <c r="G112" s="396">
        <v>4950000</v>
      </c>
      <c r="H112" s="397"/>
      <c r="I112" s="402">
        <f t="shared" ref="I112:V112" si="11">SUM(I102:I111)</f>
        <v>0</v>
      </c>
      <c r="J112" s="402">
        <f t="shared" si="11"/>
        <v>0</v>
      </c>
      <c r="K112" s="403">
        <f t="shared" si="11"/>
        <v>0</v>
      </c>
      <c r="L112" s="403">
        <f t="shared" si="11"/>
        <v>0</v>
      </c>
      <c r="M112" s="403">
        <f t="shared" si="11"/>
        <v>0</v>
      </c>
      <c r="N112" s="403">
        <f t="shared" si="11"/>
        <v>620000</v>
      </c>
      <c r="O112" s="403">
        <f t="shared" si="11"/>
        <v>0</v>
      </c>
      <c r="P112" s="404">
        <f t="shared" si="11"/>
        <v>0</v>
      </c>
      <c r="Q112" s="404">
        <f t="shared" si="11"/>
        <v>900000</v>
      </c>
      <c r="R112" s="404">
        <f t="shared" si="11"/>
        <v>1440000</v>
      </c>
      <c r="S112" s="404">
        <f t="shared" si="11"/>
        <v>1990000</v>
      </c>
      <c r="T112" s="404">
        <f t="shared" si="11"/>
        <v>0</v>
      </c>
      <c r="U112" s="404">
        <f t="shared" si="11"/>
        <v>0</v>
      </c>
      <c r="V112" s="425">
        <f t="shared" si="11"/>
        <v>4950000</v>
      </c>
      <c r="W112" s="406" t="str">
        <f>IFERROR(IF(SUM(V102:V111)=G112, "OK", "Check"),"")</f>
        <v>OK</v>
      </c>
      <c r="X112" s="28"/>
      <c r="Y112" s="85"/>
      <c r="Z112" s="85"/>
      <c r="AA112" s="331"/>
      <c r="AB112" s="331"/>
    </row>
    <row r="113" spans="1:28" x14ac:dyDescent="0.35">
      <c r="A113" s="331"/>
      <c r="B113" s="331"/>
      <c r="C113" s="29"/>
      <c r="D113" s="29"/>
      <c r="E113" s="28"/>
      <c r="F113" s="28"/>
      <c r="G113" s="44"/>
      <c r="H113" s="44"/>
      <c r="I113" s="402"/>
      <c r="J113" s="402"/>
      <c r="K113" s="403"/>
      <c r="L113" s="403"/>
      <c r="M113" s="403"/>
      <c r="N113" s="403"/>
      <c r="O113" s="403"/>
      <c r="P113" s="404"/>
      <c r="Q113" s="404"/>
      <c r="R113" s="404"/>
      <c r="S113" s="404"/>
      <c r="T113" s="404"/>
      <c r="U113" s="404"/>
      <c r="V113" s="425"/>
      <c r="W113" s="29"/>
      <c r="X113" s="29"/>
      <c r="Y113" s="85"/>
      <c r="Z113" s="85"/>
      <c r="AA113" s="331"/>
      <c r="AB113" s="331"/>
    </row>
    <row r="114" spans="1:28" x14ac:dyDescent="0.35">
      <c r="A114" s="331"/>
      <c r="B114" s="331"/>
      <c r="C114" s="33" t="s">
        <v>1164</v>
      </c>
      <c r="D114" s="29"/>
      <c r="E114" s="28"/>
      <c r="F114" s="28"/>
      <c r="G114" s="44"/>
      <c r="H114" s="44"/>
      <c r="I114" s="402"/>
      <c r="J114" s="402"/>
      <c r="K114" s="403"/>
      <c r="L114" s="403"/>
      <c r="M114" s="403"/>
      <c r="N114" s="403"/>
      <c r="O114" s="403"/>
      <c r="P114" s="404"/>
      <c r="Q114" s="404"/>
      <c r="R114" s="404"/>
      <c r="S114" s="404"/>
      <c r="T114" s="404"/>
      <c r="U114" s="404"/>
      <c r="V114" s="425"/>
      <c r="W114" s="28"/>
      <c r="X114" s="28"/>
      <c r="Y114" s="85"/>
      <c r="Z114" s="85"/>
      <c r="AA114" s="331"/>
      <c r="AB114" s="331"/>
    </row>
    <row r="115" spans="1:28" x14ac:dyDescent="0.35">
      <c r="A115" s="331"/>
      <c r="B115" s="331"/>
      <c r="C115" s="29"/>
      <c r="D115" s="59" t="s">
        <v>1165</v>
      </c>
      <c r="E115" s="32"/>
      <c r="F115" s="32"/>
      <c r="G115" s="394">
        <v>120000</v>
      </c>
      <c r="H115" s="395"/>
      <c r="I115" s="402">
        <v>0</v>
      </c>
      <c r="J115" s="402">
        <v>0</v>
      </c>
      <c r="K115" s="403">
        <v>0</v>
      </c>
      <c r="L115" s="403">
        <v>0</v>
      </c>
      <c r="M115" s="403">
        <v>0</v>
      </c>
      <c r="N115" s="403">
        <v>0</v>
      </c>
      <c r="O115" s="403">
        <v>0</v>
      </c>
      <c r="P115" s="404">
        <v>0</v>
      </c>
      <c r="Q115" s="404">
        <v>0</v>
      </c>
      <c r="R115" s="404">
        <v>0</v>
      </c>
      <c r="S115" s="404">
        <v>120000</v>
      </c>
      <c r="T115" s="404">
        <v>0</v>
      </c>
      <c r="U115" s="404">
        <v>0</v>
      </c>
      <c r="V115" s="425">
        <v>120000</v>
      </c>
      <c r="W115" s="406" t="str">
        <f>IFERROR(IF(V115=G115, "OK", "Check"),"")</f>
        <v>OK</v>
      </c>
      <c r="X115" s="28"/>
      <c r="Y115" s="85"/>
      <c r="Z115" s="85"/>
      <c r="AA115" s="331"/>
      <c r="AB115" s="331"/>
    </row>
    <row r="116" spans="1:28" ht="15.65" customHeight="1" x14ac:dyDescent="0.35">
      <c r="A116" s="331"/>
      <c r="B116" s="331"/>
      <c r="C116" s="29"/>
      <c r="D116" s="59" t="s">
        <v>1166</v>
      </c>
      <c r="E116" s="32"/>
      <c r="F116" s="32"/>
      <c r="G116" s="394">
        <v>100000</v>
      </c>
      <c r="H116" s="395"/>
      <c r="I116" s="402">
        <v>0</v>
      </c>
      <c r="J116" s="402">
        <v>0</v>
      </c>
      <c r="K116" s="403">
        <v>0</v>
      </c>
      <c r="L116" s="403">
        <v>0</v>
      </c>
      <c r="M116" s="403">
        <v>0</v>
      </c>
      <c r="N116" s="403">
        <v>0</v>
      </c>
      <c r="O116" s="403">
        <v>0</v>
      </c>
      <c r="P116" s="404">
        <v>0</v>
      </c>
      <c r="Q116" s="404">
        <v>20000</v>
      </c>
      <c r="R116" s="404">
        <v>0</v>
      </c>
      <c r="S116" s="404">
        <v>80000</v>
      </c>
      <c r="T116" s="404">
        <v>0</v>
      </c>
      <c r="U116" s="404">
        <v>0</v>
      </c>
      <c r="V116" s="425">
        <v>100000</v>
      </c>
      <c r="W116" s="406" t="str">
        <f>IFERROR(IF(V116=G116, "OK", "Check"),"")</f>
        <v>OK</v>
      </c>
      <c r="X116" s="26"/>
      <c r="Y116" s="85"/>
      <c r="Z116" s="85"/>
      <c r="AA116" s="331"/>
      <c r="AB116" s="331"/>
    </row>
    <row r="117" spans="1:28" ht="15" customHeight="1" thickBot="1" x14ac:dyDescent="0.4">
      <c r="A117" s="331"/>
      <c r="B117" s="331"/>
      <c r="C117" s="29"/>
      <c r="D117" s="59" t="s">
        <v>1167</v>
      </c>
      <c r="E117" s="32"/>
      <c r="F117" s="32"/>
      <c r="G117" s="394">
        <v>0</v>
      </c>
      <c r="H117" s="392"/>
      <c r="I117" s="402">
        <v>0</v>
      </c>
      <c r="J117" s="402">
        <v>0</v>
      </c>
      <c r="K117" s="403">
        <v>0</v>
      </c>
      <c r="L117" s="403">
        <v>0</v>
      </c>
      <c r="M117" s="403">
        <v>0</v>
      </c>
      <c r="N117" s="403">
        <v>0</v>
      </c>
      <c r="O117" s="403">
        <v>0</v>
      </c>
      <c r="P117" s="404">
        <v>0</v>
      </c>
      <c r="Q117" s="404">
        <v>0</v>
      </c>
      <c r="R117" s="404">
        <v>0</v>
      </c>
      <c r="S117" s="404">
        <v>0</v>
      </c>
      <c r="T117" s="404">
        <v>0</v>
      </c>
      <c r="U117" s="404">
        <v>0</v>
      </c>
      <c r="V117" s="425">
        <v>0</v>
      </c>
      <c r="W117" s="406" t="str">
        <f>IFERROR(IF(V117=G117, "OK", "Check"),"")</f>
        <v>OK</v>
      </c>
      <c r="X117" s="28"/>
      <c r="Y117" s="85"/>
      <c r="Z117" s="85"/>
      <c r="AA117" s="331"/>
      <c r="AB117" s="331"/>
    </row>
    <row r="118" spans="1:28" ht="15" customHeight="1" thickTop="1" x14ac:dyDescent="0.35">
      <c r="A118" s="331"/>
      <c r="B118" s="331"/>
      <c r="C118" s="37"/>
      <c r="D118" s="37" t="s">
        <v>1168</v>
      </c>
      <c r="E118" s="38" t="s">
        <v>173</v>
      </c>
      <c r="F118" s="38"/>
      <c r="G118" s="396">
        <f>SUM(G112)</f>
        <v>4950000</v>
      </c>
      <c r="H118" s="397"/>
      <c r="I118" s="402">
        <f t="shared" ref="I118:V118" si="12">SUM(I115:I117)</f>
        <v>0</v>
      </c>
      <c r="J118" s="402">
        <f t="shared" si="12"/>
        <v>0</v>
      </c>
      <c r="K118" s="403">
        <f t="shared" si="12"/>
        <v>0</v>
      </c>
      <c r="L118" s="403">
        <f t="shared" si="12"/>
        <v>0</v>
      </c>
      <c r="M118" s="403">
        <f t="shared" si="12"/>
        <v>0</v>
      </c>
      <c r="N118" s="403">
        <f t="shared" si="12"/>
        <v>0</v>
      </c>
      <c r="O118" s="403">
        <f t="shared" si="12"/>
        <v>0</v>
      </c>
      <c r="P118" s="404">
        <f t="shared" si="12"/>
        <v>0</v>
      </c>
      <c r="Q118" s="404">
        <f t="shared" si="12"/>
        <v>20000</v>
      </c>
      <c r="R118" s="404">
        <f t="shared" si="12"/>
        <v>0</v>
      </c>
      <c r="S118" s="404">
        <f t="shared" si="12"/>
        <v>200000</v>
      </c>
      <c r="T118" s="404">
        <f t="shared" si="12"/>
        <v>0</v>
      </c>
      <c r="U118" s="404">
        <f t="shared" si="12"/>
        <v>0</v>
      </c>
      <c r="V118" s="427">
        <f t="shared" si="12"/>
        <v>220000</v>
      </c>
      <c r="W118" s="406" t="str">
        <f>IF(ABS(V118-G118)&lt;1,"OK","Check")</f>
        <v>Check</v>
      </c>
      <c r="X118" s="28"/>
      <c r="Y118" s="85"/>
      <c r="Z118" s="85"/>
      <c r="AA118" s="331"/>
      <c r="AB118" s="331"/>
    </row>
    <row r="119" spans="1:28" x14ac:dyDescent="0.35">
      <c r="A119" s="331"/>
      <c r="B119" s="331"/>
      <c r="C119" s="37"/>
      <c r="D119" s="37"/>
      <c r="E119" s="38"/>
      <c r="F119" s="38"/>
      <c r="G119" s="329"/>
      <c r="H119" s="397"/>
      <c r="I119" s="402"/>
      <c r="J119" s="402"/>
      <c r="K119" s="403"/>
      <c r="L119" s="403"/>
      <c r="M119" s="403"/>
      <c r="N119" s="403"/>
      <c r="O119" s="403"/>
      <c r="P119" s="404"/>
      <c r="Q119" s="404"/>
      <c r="R119" s="404"/>
      <c r="S119" s="404"/>
      <c r="T119" s="404"/>
      <c r="U119" s="404"/>
      <c r="V119" s="427"/>
      <c r="W119" s="406"/>
      <c r="X119" s="28"/>
      <c r="Y119" s="85"/>
      <c r="Z119" s="85"/>
      <c r="AA119" s="331"/>
      <c r="AB119" s="331"/>
    </row>
    <row r="120" spans="1:28" x14ac:dyDescent="0.35">
      <c r="A120" s="331"/>
      <c r="B120" s="331"/>
      <c r="C120" s="37"/>
      <c r="D120" s="37"/>
      <c r="E120" s="38"/>
      <c r="F120" s="38"/>
      <c r="G120" s="329"/>
      <c r="H120" s="397"/>
      <c r="I120" s="402"/>
      <c r="J120" s="402"/>
      <c r="K120" s="403"/>
      <c r="L120" s="403"/>
      <c r="M120" s="403"/>
      <c r="N120" s="403"/>
      <c r="O120" s="403"/>
      <c r="P120" s="404"/>
      <c r="Q120" s="404"/>
      <c r="R120" s="404"/>
      <c r="S120" s="404"/>
      <c r="T120" s="404"/>
      <c r="U120" s="404"/>
      <c r="V120" s="427"/>
      <c r="W120" s="406"/>
      <c r="X120" s="28"/>
      <c r="Y120" s="85"/>
      <c r="Z120" s="85"/>
      <c r="AA120" s="331"/>
      <c r="AB120" s="331"/>
    </row>
    <row r="121" spans="1:28" x14ac:dyDescent="0.35">
      <c r="A121" s="331"/>
      <c r="B121" s="331"/>
      <c r="C121" s="25" t="s">
        <v>1053</v>
      </c>
      <c r="D121" s="37"/>
      <c r="E121" s="38"/>
      <c r="F121" s="38"/>
      <c r="G121" s="329"/>
      <c r="H121" s="397"/>
      <c r="I121" s="402"/>
      <c r="J121" s="402"/>
      <c r="K121" s="403"/>
      <c r="L121" s="403"/>
      <c r="M121" s="403"/>
      <c r="N121" s="403"/>
      <c r="O121" s="403"/>
      <c r="P121" s="404"/>
      <c r="Q121" s="404"/>
      <c r="R121" s="404"/>
      <c r="S121" s="404"/>
      <c r="T121" s="404"/>
      <c r="U121" s="404"/>
      <c r="V121" s="427"/>
      <c r="W121" s="406"/>
      <c r="X121" s="28"/>
      <c r="Y121" s="85"/>
      <c r="Z121" s="85"/>
      <c r="AA121" s="331"/>
      <c r="AB121" s="331"/>
    </row>
    <row r="122" spans="1:28" x14ac:dyDescent="0.35">
      <c r="A122" s="331"/>
      <c r="B122" s="331"/>
      <c r="C122" s="329"/>
      <c r="D122" s="60" t="s">
        <v>716</v>
      </c>
      <c r="E122" s="38"/>
      <c r="F122" s="38"/>
      <c r="G122" s="394">
        <v>80000</v>
      </c>
      <c r="H122" s="397"/>
      <c r="I122" s="402">
        <v>0</v>
      </c>
      <c r="J122" s="402">
        <v>0</v>
      </c>
      <c r="K122" s="403">
        <v>0</v>
      </c>
      <c r="L122" s="403">
        <v>0</v>
      </c>
      <c r="M122" s="403">
        <v>10000</v>
      </c>
      <c r="N122" s="403">
        <v>0</v>
      </c>
      <c r="O122" s="403">
        <v>0</v>
      </c>
      <c r="P122" s="404">
        <v>20000</v>
      </c>
      <c r="Q122" s="404">
        <v>0</v>
      </c>
      <c r="R122" s="404">
        <v>0</v>
      </c>
      <c r="S122" s="404">
        <v>0</v>
      </c>
      <c r="T122" s="404">
        <v>0</v>
      </c>
      <c r="U122" s="404">
        <v>50000</v>
      </c>
      <c r="V122" s="427">
        <f>SUM(I122:U122)</f>
        <v>80000</v>
      </c>
      <c r="W122" s="406"/>
      <c r="X122" s="28"/>
      <c r="Y122" s="85"/>
      <c r="Z122" s="85"/>
      <c r="AA122" s="331"/>
      <c r="AB122" s="331"/>
    </row>
    <row r="123" spans="1:28" x14ac:dyDescent="0.35">
      <c r="A123" s="331"/>
      <c r="B123" s="331"/>
      <c r="C123" s="329"/>
      <c r="D123" s="60" t="s">
        <v>1169</v>
      </c>
      <c r="E123" s="38"/>
      <c r="F123" s="38"/>
      <c r="G123" s="394">
        <v>50000</v>
      </c>
      <c r="H123" s="397"/>
      <c r="I123" s="402">
        <v>30000</v>
      </c>
      <c r="J123" s="402">
        <v>0</v>
      </c>
      <c r="K123" s="403">
        <v>0</v>
      </c>
      <c r="L123" s="403">
        <v>0</v>
      </c>
      <c r="M123" s="403">
        <v>0</v>
      </c>
      <c r="N123" s="403">
        <v>20000</v>
      </c>
      <c r="O123" s="403">
        <v>0</v>
      </c>
      <c r="P123" s="404">
        <v>0</v>
      </c>
      <c r="Q123" s="404">
        <v>0</v>
      </c>
      <c r="R123" s="404">
        <v>0</v>
      </c>
      <c r="S123" s="404">
        <v>0</v>
      </c>
      <c r="T123" s="404">
        <v>0</v>
      </c>
      <c r="U123" s="404">
        <v>0</v>
      </c>
      <c r="V123" s="427">
        <f>SUM(I123:U123)</f>
        <v>50000</v>
      </c>
      <c r="W123" s="406"/>
      <c r="X123" s="28"/>
      <c r="Y123" s="85"/>
      <c r="Z123" s="85"/>
      <c r="AA123" s="331"/>
      <c r="AB123" s="331"/>
    </row>
    <row r="124" spans="1:28" ht="15" customHeight="1" thickBot="1" x14ac:dyDescent="0.4">
      <c r="A124" s="331"/>
      <c r="B124" s="331"/>
      <c r="C124" s="329"/>
      <c r="D124" s="60" t="s">
        <v>1170</v>
      </c>
      <c r="E124" s="38"/>
      <c r="F124" s="38"/>
      <c r="G124" s="394">
        <v>0</v>
      </c>
      <c r="H124" s="397"/>
      <c r="I124" s="402">
        <v>0</v>
      </c>
      <c r="J124" s="402">
        <v>0</v>
      </c>
      <c r="K124" s="403">
        <v>0</v>
      </c>
      <c r="L124" s="403">
        <v>0</v>
      </c>
      <c r="M124" s="403">
        <v>0</v>
      </c>
      <c r="N124" s="403">
        <v>0</v>
      </c>
      <c r="O124" s="403">
        <v>0</v>
      </c>
      <c r="P124" s="404">
        <v>0</v>
      </c>
      <c r="Q124" s="404">
        <v>0</v>
      </c>
      <c r="R124" s="404">
        <v>0</v>
      </c>
      <c r="S124" s="404">
        <v>0</v>
      </c>
      <c r="T124" s="404">
        <v>0</v>
      </c>
      <c r="U124" s="404">
        <v>0</v>
      </c>
      <c r="V124" s="427">
        <f>SUM(I124:U124)</f>
        <v>0</v>
      </c>
      <c r="W124" s="406"/>
      <c r="X124" s="28"/>
      <c r="Y124" s="85"/>
      <c r="Z124" s="85"/>
      <c r="AA124" s="331"/>
      <c r="AB124" s="331"/>
    </row>
    <row r="125" spans="1:28" ht="15" customHeight="1" thickTop="1" x14ac:dyDescent="0.35">
      <c r="A125" s="331"/>
      <c r="B125" s="331"/>
      <c r="C125" s="37"/>
      <c r="D125" s="37"/>
      <c r="E125" s="38"/>
      <c r="F125" s="38"/>
      <c r="G125" s="396">
        <f>SUM(G122:G124)</f>
        <v>130000</v>
      </c>
      <c r="H125" s="397"/>
      <c r="I125" s="329"/>
      <c r="J125" s="329"/>
      <c r="K125" s="329"/>
      <c r="L125" s="329"/>
      <c r="M125" s="329"/>
      <c r="N125" s="329"/>
      <c r="O125" s="329"/>
      <c r="P125" s="329"/>
      <c r="Q125" s="329"/>
      <c r="R125" s="329"/>
      <c r="S125" s="329"/>
      <c r="T125" s="329"/>
      <c r="U125" s="329"/>
      <c r="V125" s="329"/>
      <c r="W125" s="329"/>
      <c r="X125" s="329"/>
      <c r="Y125" s="329"/>
      <c r="Z125" s="85"/>
      <c r="AA125" s="331"/>
      <c r="AB125" s="331"/>
    </row>
    <row r="126" spans="1:28" x14ac:dyDescent="0.35">
      <c r="A126" s="331"/>
      <c r="B126" s="331"/>
      <c r="C126" s="37"/>
      <c r="D126" s="37"/>
      <c r="E126" s="38"/>
      <c r="F126" s="38"/>
      <c r="G126" s="329"/>
      <c r="H126" s="397"/>
      <c r="I126" s="329"/>
      <c r="J126" s="329"/>
      <c r="K126" s="329"/>
      <c r="L126" s="329"/>
      <c r="M126" s="329"/>
      <c r="N126" s="329"/>
      <c r="O126" s="329"/>
      <c r="P126" s="329"/>
      <c r="Q126" s="329"/>
      <c r="R126" s="329"/>
      <c r="S126" s="329"/>
      <c r="T126" s="329"/>
      <c r="U126" s="329"/>
      <c r="V126" s="329"/>
      <c r="W126" s="329"/>
      <c r="X126" s="329"/>
      <c r="Y126" s="329"/>
      <c r="Z126" s="85"/>
      <c r="AA126" s="331"/>
      <c r="AB126" s="331"/>
    </row>
    <row r="127" spans="1:28" x14ac:dyDescent="0.35">
      <c r="A127" s="331"/>
      <c r="B127" s="331"/>
      <c r="C127" s="37"/>
      <c r="D127" s="37"/>
      <c r="E127" s="38"/>
      <c r="F127" s="38"/>
      <c r="G127" s="329"/>
      <c r="H127" s="397"/>
      <c r="I127" s="329"/>
      <c r="J127" s="329"/>
      <c r="K127" s="329"/>
      <c r="L127" s="329"/>
      <c r="M127" s="329"/>
      <c r="N127" s="329"/>
      <c r="O127" s="329"/>
      <c r="P127" s="329"/>
      <c r="Q127" s="329"/>
      <c r="R127" s="329"/>
      <c r="S127" s="329"/>
      <c r="T127" s="329"/>
      <c r="U127" s="329"/>
      <c r="V127" s="329"/>
      <c r="W127" s="329"/>
      <c r="X127" s="329"/>
      <c r="Y127" s="329"/>
      <c r="Z127" s="85"/>
      <c r="AA127" s="331"/>
      <c r="AB127" s="331"/>
    </row>
    <row r="128" spans="1:28" x14ac:dyDescent="0.35">
      <c r="A128" s="331"/>
      <c r="B128" s="331"/>
      <c r="C128" s="37"/>
      <c r="D128" s="37"/>
      <c r="E128" s="38"/>
      <c r="F128" s="38"/>
      <c r="G128" s="397"/>
      <c r="H128" s="397"/>
      <c r="I128" s="329"/>
      <c r="J128" s="329"/>
      <c r="K128" s="329"/>
      <c r="L128" s="329"/>
      <c r="M128" s="329"/>
      <c r="N128" s="329"/>
      <c r="O128" s="329"/>
      <c r="P128" s="329"/>
      <c r="Q128" s="329"/>
      <c r="R128" s="329"/>
      <c r="S128" s="329"/>
      <c r="T128" s="329"/>
      <c r="U128" s="329"/>
      <c r="V128" s="329"/>
      <c r="W128" s="329"/>
      <c r="X128" s="329"/>
      <c r="Y128" s="329"/>
      <c r="Z128" s="85"/>
      <c r="AA128" s="331"/>
      <c r="AB128" s="331"/>
    </row>
    <row r="129" spans="1:28" x14ac:dyDescent="0.35">
      <c r="A129" s="331"/>
      <c r="B129" s="331"/>
      <c r="C129" s="33" t="s">
        <v>1171</v>
      </c>
      <c r="D129" s="29"/>
      <c r="E129" s="28"/>
      <c r="F129" s="28"/>
      <c r="G129" s="44"/>
      <c r="H129" s="44"/>
      <c r="I129" s="44"/>
      <c r="J129" s="44"/>
      <c r="K129" s="44"/>
      <c r="L129" s="44"/>
      <c r="M129" s="44"/>
      <c r="N129" s="44"/>
      <c r="O129" s="44"/>
      <c r="P129" s="44"/>
      <c r="Q129" s="44"/>
      <c r="R129" s="44"/>
      <c r="S129" s="44"/>
      <c r="T129" s="392"/>
      <c r="U129" s="329"/>
      <c r="V129" s="393"/>
      <c r="W129" s="28"/>
      <c r="X129" s="28"/>
      <c r="Y129" s="85"/>
      <c r="Z129" s="85"/>
      <c r="AA129" s="331"/>
      <c r="AB129" s="331"/>
    </row>
    <row r="130" spans="1:28" ht="15" customHeight="1" thickBot="1" x14ac:dyDescent="0.4">
      <c r="A130" s="331"/>
      <c r="B130" s="331"/>
      <c r="C130" s="29"/>
      <c r="D130" s="43" t="s">
        <v>1172</v>
      </c>
      <c r="E130" s="32" t="s">
        <v>1173</v>
      </c>
      <c r="F130" s="32"/>
      <c r="G130" s="394">
        <v>500000</v>
      </c>
      <c r="H130" s="395"/>
      <c r="I130" s="395"/>
      <c r="J130" s="395"/>
      <c r="K130" s="395"/>
      <c r="L130" s="395"/>
      <c r="M130" s="395"/>
      <c r="N130" s="395"/>
      <c r="O130" s="395"/>
      <c r="P130" s="395"/>
      <c r="Q130" s="395"/>
      <c r="R130" s="395"/>
      <c r="S130" s="395"/>
      <c r="T130" s="392"/>
      <c r="U130" s="329"/>
      <c r="V130" s="393"/>
      <c r="W130" s="28"/>
      <c r="X130" s="28"/>
      <c r="Y130" s="85"/>
      <c r="Z130" s="85"/>
      <c r="AA130" s="331"/>
      <c r="AB130" s="331"/>
    </row>
    <row r="131" spans="1:28" ht="15" customHeight="1" thickTop="1" x14ac:dyDescent="0.35">
      <c r="A131" s="331"/>
      <c r="B131" s="331"/>
      <c r="C131" s="37"/>
      <c r="D131" s="37" t="s">
        <v>1174</v>
      </c>
      <c r="E131" s="38" t="s">
        <v>1173</v>
      </c>
      <c r="F131" s="38"/>
      <c r="G131" s="396">
        <v>500000</v>
      </c>
      <c r="H131" s="397"/>
      <c r="I131" s="397"/>
      <c r="J131" s="397"/>
      <c r="K131" s="397"/>
      <c r="L131" s="397"/>
      <c r="M131" s="397"/>
      <c r="N131" s="397"/>
      <c r="O131" s="397"/>
      <c r="P131" s="397"/>
      <c r="Q131" s="397"/>
      <c r="R131" s="397"/>
      <c r="S131" s="397"/>
      <c r="T131" s="392"/>
      <c r="U131" s="329"/>
      <c r="V131" s="393"/>
      <c r="W131" s="28"/>
      <c r="X131" s="28"/>
      <c r="Y131" s="85"/>
      <c r="Z131" s="85"/>
      <c r="AA131" s="331"/>
      <c r="AB131" s="331"/>
    </row>
    <row r="132" spans="1:28" x14ac:dyDescent="0.35">
      <c r="A132" s="331"/>
      <c r="B132" s="331"/>
      <c r="C132" s="29"/>
      <c r="D132" s="29"/>
      <c r="E132" s="28"/>
      <c r="F132" s="28"/>
      <c r="G132" s="44"/>
      <c r="H132" s="44"/>
      <c r="I132" s="44"/>
      <c r="J132" s="44"/>
      <c r="K132" s="44"/>
      <c r="L132" s="44"/>
      <c r="M132" s="44"/>
      <c r="N132" s="44"/>
      <c r="O132" s="44"/>
      <c r="P132" s="44"/>
      <c r="Q132" s="44"/>
      <c r="R132" s="44"/>
      <c r="S132" s="44"/>
      <c r="T132" s="392"/>
      <c r="U132" s="329"/>
      <c r="V132" s="393"/>
      <c r="W132" s="28" t="str">
        <f>IF(ABS(V132-G132)&lt;1,"OK","Check")</f>
        <v>OK</v>
      </c>
      <c r="X132" s="28"/>
      <c r="Y132" s="85"/>
      <c r="Z132" s="85"/>
      <c r="AA132" s="331"/>
      <c r="AB132" s="331"/>
    </row>
    <row r="133" spans="1:28" x14ac:dyDescent="0.35">
      <c r="A133" s="72" t="s">
        <v>1055</v>
      </c>
      <c r="B133" s="65"/>
      <c r="C133" s="37"/>
      <c r="D133" s="29"/>
      <c r="E133" s="38"/>
      <c r="F133" s="38" t="s">
        <v>1175</v>
      </c>
      <c r="G133" s="428">
        <v>17075000</v>
      </c>
      <c r="H133" s="397"/>
      <c r="I133" s="397"/>
      <c r="J133" s="397"/>
      <c r="K133" s="397"/>
      <c r="L133" s="397"/>
      <c r="M133" s="397"/>
      <c r="N133" s="397"/>
      <c r="O133" s="397"/>
      <c r="P133" s="397"/>
      <c r="Q133" s="397"/>
      <c r="R133" s="397"/>
      <c r="S133" s="397"/>
      <c r="T133" s="392"/>
      <c r="U133" s="329"/>
      <c r="V133" s="393"/>
      <c r="W133" s="28"/>
      <c r="X133" s="28"/>
      <c r="Y133" s="85"/>
      <c r="Z133" s="85"/>
      <c r="AA133" s="331"/>
      <c r="AB133" s="331"/>
    </row>
    <row r="134" spans="1:28" x14ac:dyDescent="0.35">
      <c r="A134" s="331"/>
      <c r="B134" s="331"/>
      <c r="C134" s="29"/>
      <c r="D134" s="29"/>
      <c r="E134" s="28"/>
      <c r="F134" s="28"/>
      <c r="G134" s="44"/>
      <c r="H134" s="44"/>
      <c r="I134" s="44"/>
      <c r="J134" s="44"/>
      <c r="K134" s="44"/>
      <c r="L134" s="44"/>
      <c r="M134" s="44"/>
      <c r="N134" s="44"/>
      <c r="O134" s="44"/>
      <c r="P134" s="44"/>
      <c r="Q134" s="44"/>
      <c r="R134" s="44"/>
      <c r="S134" s="44"/>
      <c r="T134" s="392"/>
      <c r="U134" s="329"/>
      <c r="V134" s="393"/>
      <c r="W134" s="28"/>
      <c r="X134" s="28"/>
      <c r="Y134" s="85"/>
      <c r="Z134" s="85"/>
      <c r="AA134" s="331"/>
      <c r="AB134" s="331"/>
    </row>
    <row r="135" spans="1:28" x14ac:dyDescent="0.35">
      <c r="A135" s="331"/>
      <c r="B135" s="331"/>
      <c r="C135" s="29"/>
      <c r="D135" s="29"/>
      <c r="E135" s="28"/>
      <c r="F135" s="28"/>
      <c r="G135" s="44"/>
      <c r="H135" s="44"/>
      <c r="I135" s="44"/>
      <c r="J135" s="44"/>
      <c r="K135" s="44"/>
      <c r="L135" s="44"/>
      <c r="M135" s="44"/>
      <c r="N135" s="44"/>
      <c r="O135" s="44"/>
      <c r="P135" s="44"/>
      <c r="Q135" s="44"/>
      <c r="R135" s="44"/>
      <c r="S135" s="44"/>
      <c r="T135" s="392"/>
      <c r="U135" s="329"/>
      <c r="V135" s="393"/>
      <c r="W135" s="329"/>
      <c r="X135" s="329"/>
      <c r="Y135" s="85"/>
      <c r="Z135" s="85"/>
      <c r="AA135" s="331"/>
      <c r="AB135" s="331"/>
    </row>
    <row r="136" spans="1:28" x14ac:dyDescent="0.35">
      <c r="A136" s="329"/>
      <c r="B136" s="329"/>
      <c r="C136" s="329"/>
      <c r="D136" s="329"/>
      <c r="E136" s="329"/>
      <c r="F136" s="329"/>
      <c r="G136" s="329"/>
      <c r="H136" s="329"/>
      <c r="I136" s="329"/>
      <c r="J136" s="329"/>
      <c r="K136" s="329"/>
      <c r="L136" s="329"/>
      <c r="M136" s="329"/>
      <c r="N136" s="329"/>
      <c r="O136" s="329"/>
      <c r="P136" s="329"/>
      <c r="Q136" s="329"/>
      <c r="R136" s="329"/>
      <c r="S136" s="329"/>
      <c r="T136" s="329"/>
      <c r="U136" s="329"/>
      <c r="V136" s="330"/>
      <c r="W136" s="329"/>
      <c r="X136" s="329"/>
      <c r="Y136" s="329"/>
      <c r="Z136" s="329"/>
      <c r="AA136" s="329"/>
      <c r="AB136" s="329"/>
    </row>
    <row r="137" spans="1:28" x14ac:dyDescent="0.35">
      <c r="A137" s="329"/>
      <c r="B137" s="329"/>
      <c r="C137" s="329"/>
      <c r="D137" s="329"/>
      <c r="E137" s="329"/>
      <c r="F137" s="329"/>
      <c r="G137" s="329"/>
      <c r="H137" s="329"/>
      <c r="I137" s="329"/>
      <c r="J137" s="329"/>
      <c r="K137" s="329"/>
      <c r="L137" s="329"/>
      <c r="M137" s="329"/>
      <c r="N137" s="329"/>
      <c r="O137" s="329"/>
      <c r="P137" s="329"/>
      <c r="Q137" s="329"/>
      <c r="R137" s="329"/>
      <c r="S137" s="329"/>
      <c r="T137" s="329"/>
      <c r="U137" s="329"/>
      <c r="V137" s="330"/>
      <c r="W137" s="329"/>
      <c r="X137" s="329"/>
      <c r="Y137" s="329"/>
      <c r="Z137" s="329"/>
      <c r="AA137" s="329"/>
      <c r="AB137" s="329"/>
    </row>
    <row r="138" spans="1:28" x14ac:dyDescent="0.35">
      <c r="A138" s="329"/>
      <c r="B138" s="329"/>
      <c r="C138" s="329"/>
      <c r="D138" s="329"/>
      <c r="E138" s="329"/>
      <c r="F138" s="329"/>
      <c r="G138" s="329"/>
      <c r="H138" s="329"/>
      <c r="I138" s="329"/>
      <c r="J138" s="329"/>
      <c r="K138" s="329"/>
      <c r="L138" s="329"/>
      <c r="M138" s="329"/>
      <c r="N138" s="329"/>
      <c r="O138" s="329"/>
      <c r="P138" s="329"/>
      <c r="Q138" s="329"/>
      <c r="R138" s="329"/>
      <c r="S138" s="329"/>
      <c r="T138" s="329"/>
      <c r="U138" s="329"/>
      <c r="V138" s="330"/>
      <c r="W138" s="329"/>
      <c r="X138" s="329"/>
      <c r="Y138" s="329"/>
      <c r="Z138" s="329"/>
      <c r="AA138" s="329"/>
      <c r="AB138" s="329"/>
    </row>
    <row r="139" spans="1:28" x14ac:dyDescent="0.35">
      <c r="A139" s="329"/>
      <c r="B139" s="329"/>
      <c r="C139" s="329"/>
      <c r="D139" s="329"/>
      <c r="E139" s="329"/>
      <c r="F139" s="329"/>
      <c r="G139" s="329"/>
      <c r="H139" s="329"/>
      <c r="I139" s="329"/>
      <c r="J139" s="329"/>
      <c r="K139" s="329"/>
      <c r="L139" s="329"/>
      <c r="M139" s="329"/>
      <c r="N139" s="329"/>
      <c r="O139" s="329"/>
      <c r="P139" s="329"/>
      <c r="Q139" s="329"/>
      <c r="R139" s="329"/>
      <c r="S139" s="329"/>
      <c r="T139" s="329"/>
      <c r="U139" s="329"/>
      <c r="V139" s="330"/>
      <c r="W139" s="329"/>
      <c r="X139" s="329"/>
      <c r="Y139" s="329"/>
      <c r="Z139" s="329"/>
      <c r="AA139" s="329"/>
      <c r="AB139" s="329"/>
    </row>
    <row r="140" spans="1:28" ht="16" customHeight="1" x14ac:dyDescent="0.4">
      <c r="A140" s="170" t="s">
        <v>1176</v>
      </c>
      <c r="B140" s="170"/>
      <c r="C140" s="170"/>
      <c r="D140" s="170"/>
      <c r="E140" s="170"/>
      <c r="F140" s="170"/>
      <c r="G140" s="170"/>
      <c r="H140" s="329"/>
      <c r="I140" s="329"/>
      <c r="J140" s="329"/>
      <c r="K140" s="329"/>
      <c r="L140" s="329"/>
      <c r="M140" s="329"/>
      <c r="N140" s="329"/>
      <c r="O140" s="329"/>
      <c r="P140" s="329"/>
      <c r="Q140" s="329"/>
      <c r="R140" s="329"/>
      <c r="S140" s="329"/>
      <c r="T140" s="329"/>
      <c r="U140" s="329"/>
      <c r="V140" s="330"/>
      <c r="W140" s="329"/>
      <c r="X140" s="329"/>
      <c r="Y140" s="329"/>
      <c r="Z140" s="329"/>
      <c r="AA140" s="329"/>
      <c r="AB140" s="329"/>
    </row>
    <row r="141" spans="1:28" x14ac:dyDescent="0.35">
      <c r="A141" s="329"/>
      <c r="B141" s="329"/>
      <c r="C141" s="329"/>
      <c r="D141" s="329"/>
      <c r="E141" s="329"/>
      <c r="F141" s="329"/>
      <c r="G141" s="329"/>
      <c r="H141" s="329"/>
      <c r="I141" s="329"/>
      <c r="J141" s="329"/>
      <c r="K141" s="329"/>
      <c r="L141" s="329"/>
      <c r="M141" s="329"/>
      <c r="N141" s="329"/>
      <c r="O141" s="329"/>
      <c r="P141" s="329"/>
      <c r="Q141" s="329"/>
      <c r="R141" s="329"/>
      <c r="S141" s="329"/>
      <c r="T141" s="329"/>
      <c r="U141" s="329"/>
      <c r="V141" s="330"/>
      <c r="W141" s="329"/>
      <c r="X141" s="329"/>
      <c r="Y141" s="329"/>
      <c r="Z141" s="329"/>
      <c r="AA141" s="329"/>
      <c r="AB141" s="329"/>
    </row>
    <row r="142" spans="1:28" x14ac:dyDescent="0.35">
      <c r="A142" s="171" t="s">
        <v>1177</v>
      </c>
      <c r="B142" s="171"/>
      <c r="C142" s="171"/>
      <c r="D142" s="171"/>
      <c r="E142" s="171"/>
      <c r="F142" s="171"/>
      <c r="G142" s="171"/>
      <c r="H142" s="329"/>
      <c r="I142" s="329"/>
      <c r="J142" s="329"/>
      <c r="K142" s="329"/>
      <c r="L142" s="329"/>
      <c r="M142" s="329"/>
      <c r="N142" s="329"/>
      <c r="O142" s="329"/>
      <c r="P142" s="329"/>
      <c r="Q142" s="329"/>
      <c r="R142" s="329"/>
      <c r="S142" s="329"/>
      <c r="T142" s="329"/>
      <c r="U142" s="329"/>
      <c r="V142" s="330"/>
      <c r="W142" s="329"/>
      <c r="X142" s="329"/>
      <c r="Y142" s="329"/>
      <c r="Z142" s="329"/>
      <c r="AA142" s="329"/>
      <c r="AB142" s="329"/>
    </row>
    <row r="143" spans="1:28" x14ac:dyDescent="0.35">
      <c r="A143" s="329" t="s">
        <v>1178</v>
      </c>
      <c r="B143" s="197" t="s">
        <v>108</v>
      </c>
      <c r="C143" s="429">
        <f>Inputs!E18</f>
        <v>46420</v>
      </c>
      <c r="D143" s="329"/>
      <c r="E143" s="329"/>
      <c r="F143" s="329"/>
      <c r="G143" s="329"/>
      <c r="H143" s="329"/>
      <c r="I143" s="329"/>
      <c r="J143" s="329"/>
      <c r="K143" s="329"/>
      <c r="L143" s="329"/>
      <c r="M143" s="329"/>
      <c r="N143" s="329"/>
      <c r="O143" s="329"/>
      <c r="P143" s="329"/>
      <c r="Q143" s="329"/>
      <c r="R143" s="329"/>
      <c r="S143" s="329"/>
      <c r="T143" s="329"/>
      <c r="U143" s="329"/>
      <c r="V143" s="330"/>
      <c r="W143" s="329"/>
      <c r="X143" s="329"/>
      <c r="Y143" s="329"/>
      <c r="Z143" s="329"/>
      <c r="AA143" s="329"/>
      <c r="AB143" s="329"/>
    </row>
    <row r="144" spans="1:28" x14ac:dyDescent="0.35">
      <c r="A144" s="329" t="s">
        <v>1179</v>
      </c>
      <c r="B144" s="197" t="s">
        <v>108</v>
      </c>
      <c r="C144" s="430">
        <f>Inputs!E19</f>
        <v>46568</v>
      </c>
      <c r="D144" s="329"/>
      <c r="E144" s="329"/>
      <c r="F144" s="329"/>
      <c r="G144" s="329"/>
      <c r="H144" s="329"/>
      <c r="I144" s="329"/>
      <c r="J144" s="329"/>
      <c r="K144" s="329"/>
      <c r="L144" s="329"/>
      <c r="M144" s="329"/>
      <c r="N144" s="329"/>
      <c r="O144" s="329"/>
      <c r="P144" s="329"/>
      <c r="Q144" s="329"/>
      <c r="R144" s="329"/>
      <c r="S144" s="329"/>
      <c r="T144" s="329"/>
      <c r="U144" s="329"/>
      <c r="V144" s="330"/>
      <c r="W144" s="329"/>
      <c r="X144" s="329"/>
      <c r="Y144" s="329"/>
      <c r="Z144" s="329"/>
      <c r="AA144" s="329"/>
      <c r="AB144" s="329"/>
    </row>
    <row r="145" spans="1:16" x14ac:dyDescent="0.35">
      <c r="A145" s="329" t="s">
        <v>1180</v>
      </c>
      <c r="B145" s="197" t="s">
        <v>108</v>
      </c>
      <c r="C145" s="430">
        <f>Inputs!E22</f>
        <v>46569</v>
      </c>
      <c r="D145" s="329"/>
      <c r="E145" s="329"/>
      <c r="F145" s="329"/>
      <c r="G145" s="329"/>
      <c r="H145" s="329"/>
      <c r="I145" s="329"/>
      <c r="J145" s="329"/>
      <c r="K145" s="329"/>
      <c r="L145" s="329"/>
      <c r="M145" s="329"/>
      <c r="N145" s="329"/>
      <c r="O145" s="329"/>
      <c r="P145" s="329"/>
    </row>
    <row r="146" spans="1:16" x14ac:dyDescent="0.35">
      <c r="A146" s="329" t="s">
        <v>560</v>
      </c>
      <c r="B146" s="197" t="s">
        <v>173</v>
      </c>
      <c r="C146" s="431">
        <f>Inputs!E113</f>
        <v>17075000</v>
      </c>
      <c r="D146" s="329"/>
      <c r="E146" s="329"/>
      <c r="F146" s="329"/>
      <c r="G146" s="329"/>
      <c r="H146" s="329"/>
      <c r="I146" s="329"/>
      <c r="J146" s="329"/>
      <c r="K146" s="329"/>
      <c r="L146" s="329"/>
      <c r="M146" s="329"/>
      <c r="N146" s="329"/>
      <c r="O146" s="329"/>
      <c r="P146" s="329"/>
    </row>
    <row r="147" spans="1:16" x14ac:dyDescent="0.35">
      <c r="A147" s="329" t="s">
        <v>1181</v>
      </c>
      <c r="B147" s="197" t="s">
        <v>173</v>
      </c>
      <c r="C147" s="431">
        <f>Inputs!E34</f>
        <v>780000</v>
      </c>
      <c r="D147" s="329"/>
      <c r="E147" s="329"/>
      <c r="F147" s="329"/>
      <c r="G147" s="329"/>
      <c r="H147" s="329"/>
      <c r="I147" s="329"/>
      <c r="J147" s="329"/>
      <c r="K147" s="329"/>
      <c r="L147" s="329"/>
      <c r="M147" s="329"/>
      <c r="N147" s="329"/>
      <c r="O147" s="329"/>
      <c r="P147" s="329"/>
    </row>
    <row r="148" spans="1:16" s="166" customFormat="1" x14ac:dyDescent="0.35">
      <c r="A148" s="329" t="str">
        <f>Inputs!C16</f>
        <v>Major Capex Start</v>
      </c>
      <c r="B148" s="197" t="s">
        <v>108</v>
      </c>
      <c r="C148" s="239">
        <f>Inputs!E16</f>
        <v>46266</v>
      </c>
      <c r="D148" s="329"/>
      <c r="E148" s="329"/>
      <c r="F148" s="329"/>
      <c r="G148" s="329"/>
      <c r="H148" s="329"/>
      <c r="I148" s="329"/>
      <c r="J148" s="329"/>
      <c r="K148" s="329"/>
      <c r="L148" s="329"/>
      <c r="M148" s="329"/>
      <c r="N148" s="329"/>
      <c r="O148" s="329"/>
      <c r="P148" s="329"/>
    </row>
    <row r="149" spans="1:16" s="166" customFormat="1" x14ac:dyDescent="0.35">
      <c r="A149" s="329" t="str">
        <f>Inputs!C17</f>
        <v>Major Capex End</v>
      </c>
      <c r="B149" s="197" t="s">
        <v>108</v>
      </c>
      <c r="C149" s="239">
        <f>Inputs!E17</f>
        <v>46568</v>
      </c>
      <c r="D149" s="329"/>
      <c r="E149" s="329"/>
      <c r="F149" s="329"/>
      <c r="G149" s="329"/>
      <c r="H149" s="329"/>
      <c r="I149" s="329"/>
      <c r="J149" s="329"/>
      <c r="K149" s="329"/>
      <c r="L149" s="329"/>
      <c r="M149" s="329"/>
      <c r="N149" s="329"/>
      <c r="O149" s="329"/>
      <c r="P149" s="329"/>
    </row>
    <row r="150" spans="1:16" x14ac:dyDescent="0.35">
      <c r="A150" s="329" t="s">
        <v>794</v>
      </c>
      <c r="B150" s="197" t="s">
        <v>407</v>
      </c>
      <c r="C150" s="172">
        <f>Inputs!E292</f>
        <v>20</v>
      </c>
      <c r="D150" s="329"/>
      <c r="E150" s="329"/>
      <c r="F150" s="329"/>
      <c r="G150" s="329"/>
      <c r="H150" s="329"/>
      <c r="I150" s="329"/>
      <c r="J150" s="329"/>
      <c r="K150" s="329"/>
      <c r="L150" s="329"/>
      <c r="M150" s="329"/>
      <c r="N150" s="329"/>
      <c r="O150" s="329"/>
      <c r="P150" s="329"/>
    </row>
    <row r="151" spans="1:16" x14ac:dyDescent="0.35">
      <c r="A151" s="329" t="s">
        <v>792</v>
      </c>
      <c r="B151" s="197" t="s">
        <v>456</v>
      </c>
      <c r="C151" s="173">
        <f>Inputs!E291</f>
        <v>0.08</v>
      </c>
      <c r="D151" s="329"/>
      <c r="E151" s="329"/>
      <c r="F151" s="329"/>
      <c r="G151" s="329"/>
      <c r="H151" s="329"/>
      <c r="I151" s="329"/>
      <c r="J151" s="329"/>
      <c r="K151" s="329"/>
      <c r="L151" s="329"/>
      <c r="M151" s="329"/>
      <c r="N151" s="329"/>
      <c r="O151" s="329"/>
      <c r="P151" s="329"/>
    </row>
    <row r="152" spans="1:16" x14ac:dyDescent="0.35">
      <c r="A152" s="174" t="s">
        <v>1182</v>
      </c>
      <c r="B152" s="174"/>
      <c r="C152" s="174"/>
      <c r="D152" s="174"/>
      <c r="E152" s="174"/>
      <c r="F152" s="174"/>
      <c r="G152" s="174"/>
      <c r="H152" s="174"/>
      <c r="I152" s="174"/>
      <c r="J152" s="174"/>
      <c r="K152" s="174"/>
      <c r="L152" s="174"/>
      <c r="M152" s="174"/>
      <c r="N152" s="174"/>
      <c r="O152" s="174"/>
      <c r="P152" s="174"/>
    </row>
    <row r="153" spans="1:16" x14ac:dyDescent="0.35">
      <c r="A153" s="175" t="s">
        <v>1183</v>
      </c>
      <c r="B153" s="175"/>
      <c r="C153" s="175"/>
      <c r="D153" s="176" t="str">
        <f>'P&amp;L'!H6</f>
        <v>FY25</v>
      </c>
      <c r="E153" s="176" t="str">
        <f>'P&amp;L'!I6</f>
        <v>FY26</v>
      </c>
      <c r="F153" s="176" t="str">
        <f>'P&amp;L'!J6</f>
        <v>FY27</v>
      </c>
      <c r="G153" s="176" t="str">
        <f>'P&amp;L'!K6</f>
        <v>FY28</v>
      </c>
      <c r="H153" s="176" t="str">
        <f>'P&amp;L'!L6</f>
        <v>FY29</v>
      </c>
      <c r="I153" s="176" t="str">
        <f>'P&amp;L'!M6</f>
        <v>FY30</v>
      </c>
      <c r="J153" s="176" t="str">
        <f>'P&amp;L'!N6</f>
        <v>FY31</v>
      </c>
      <c r="K153" s="176" t="str">
        <f>'P&amp;L'!O6</f>
        <v>FY32</v>
      </c>
      <c r="L153" s="176" t="str">
        <f>'P&amp;L'!P6</f>
        <v>FY33</v>
      </c>
      <c r="M153" s="176" t="str">
        <f>'P&amp;L'!Q6</f>
        <v>FY34</v>
      </c>
      <c r="N153" s="176" t="str">
        <f>'P&amp;L'!R6</f>
        <v>FY35</v>
      </c>
      <c r="O153" s="176" t="str">
        <f>'P&amp;L'!S6</f>
        <v>FY36</v>
      </c>
      <c r="P153" s="175" t="s">
        <v>416</v>
      </c>
    </row>
    <row r="154" spans="1:16" x14ac:dyDescent="0.35">
      <c r="A154" s="329" t="s">
        <v>1184</v>
      </c>
      <c r="B154" s="329"/>
      <c r="C154" s="329"/>
      <c r="D154" s="370">
        <f>'P&amp;L'!H4</f>
        <v>45715</v>
      </c>
      <c r="E154" s="370">
        <f>'P&amp;L'!I4</f>
        <v>45839</v>
      </c>
      <c r="F154" s="370">
        <f>'P&amp;L'!J4</f>
        <v>46204</v>
      </c>
      <c r="G154" s="370">
        <f>'P&amp;L'!K4</f>
        <v>46569</v>
      </c>
      <c r="H154" s="370">
        <f>'P&amp;L'!L4</f>
        <v>46935</v>
      </c>
      <c r="I154" s="370">
        <f>'P&amp;L'!M4</f>
        <v>47300</v>
      </c>
      <c r="J154" s="370">
        <f>'P&amp;L'!N4</f>
        <v>47665</v>
      </c>
      <c r="K154" s="370">
        <f>'P&amp;L'!O4</f>
        <v>48030</v>
      </c>
      <c r="L154" s="370">
        <f>'P&amp;L'!P4</f>
        <v>48396</v>
      </c>
      <c r="M154" s="370">
        <f>'P&amp;L'!Q4</f>
        <v>48761</v>
      </c>
      <c r="N154" s="370">
        <f>'P&amp;L'!R4</f>
        <v>49126</v>
      </c>
      <c r="O154" s="370">
        <f>'P&amp;L'!S4</f>
        <v>49491</v>
      </c>
      <c r="P154" s="329"/>
    </row>
    <row r="155" spans="1:16" x14ac:dyDescent="0.35">
      <c r="A155" s="329" t="s">
        <v>1185</v>
      </c>
      <c r="B155" s="329"/>
      <c r="C155" s="329"/>
      <c r="D155" s="370">
        <f>'P&amp;L'!H5</f>
        <v>45838</v>
      </c>
      <c r="E155" s="370">
        <f>'P&amp;L'!I5</f>
        <v>46203</v>
      </c>
      <c r="F155" s="370">
        <f>'P&amp;L'!J5</f>
        <v>46568</v>
      </c>
      <c r="G155" s="370">
        <f>'P&amp;L'!K5</f>
        <v>46934</v>
      </c>
      <c r="H155" s="370">
        <f>'P&amp;L'!L5</f>
        <v>47299</v>
      </c>
      <c r="I155" s="370">
        <f>'P&amp;L'!M5</f>
        <v>47664</v>
      </c>
      <c r="J155" s="370">
        <f>'P&amp;L'!N5</f>
        <v>48029</v>
      </c>
      <c r="K155" s="370">
        <f>'P&amp;L'!O5</f>
        <v>48395</v>
      </c>
      <c r="L155" s="370">
        <f>'P&amp;L'!P5</f>
        <v>48760</v>
      </c>
      <c r="M155" s="370">
        <f>'P&amp;L'!Q5</f>
        <v>49125</v>
      </c>
      <c r="N155" s="370">
        <f>'P&amp;L'!R5</f>
        <v>49490</v>
      </c>
      <c r="O155" s="370">
        <f>'P&amp;L'!S5</f>
        <v>49856</v>
      </c>
      <c r="P155" s="329"/>
    </row>
    <row r="156" spans="1:16" x14ac:dyDescent="0.35">
      <c r="A156" s="329" t="s">
        <v>1186</v>
      </c>
      <c r="B156" s="329"/>
      <c r="C156" s="329"/>
      <c r="D156" s="329">
        <f>IF(AND(D163&gt;0, SUM($D163:D163)=D163), 1, 0)</f>
        <v>0</v>
      </c>
      <c r="E156" s="329">
        <f>IF(AND(E163&gt;0, D163=0), 1, 0)</f>
        <v>0</v>
      </c>
      <c r="F156" s="329">
        <f>IF(AND(F163&gt;0, SUM($D163:E163)=0), 1, 0)</f>
        <v>0</v>
      </c>
      <c r="G156" s="329">
        <f>IF(AND(G163&gt;0, SUM($D163:F163)=0), 1, 0)</f>
        <v>1</v>
      </c>
      <c r="H156" s="329">
        <f>IF(AND(H163&gt;0, SUM($D163:G163)=0), 1, 0)</f>
        <v>0</v>
      </c>
      <c r="I156" s="329">
        <f>IF(AND(I163&gt;0, SUM($D163:H163)=0), 1, 0)</f>
        <v>0</v>
      </c>
      <c r="J156" s="329">
        <f>IF(AND(J163&gt;0, SUM($D163:I163)=0), 1, 0)</f>
        <v>0</v>
      </c>
      <c r="K156" s="329">
        <f>IF(AND(K163&gt;0, SUM($D163:J163)=0), 1, 0)</f>
        <v>0</v>
      </c>
      <c r="L156" s="329">
        <f>IF(AND(L163&gt;0, SUM($D163:K163)=0), 1, 0)</f>
        <v>0</v>
      </c>
      <c r="M156" s="329">
        <f>IF(AND(M163&gt;0, SUM($D163:L163)=0), 1, 0)</f>
        <v>0</v>
      </c>
      <c r="N156" s="329">
        <f>IF(AND(N163&gt;0, SUM($D163:M163)=0), 1, 0)</f>
        <v>0</v>
      </c>
      <c r="O156" s="329">
        <f>IF(AND(O163&gt;0, SUM($D163:N163)=0), 1, 0)</f>
        <v>0</v>
      </c>
      <c r="P156" s="329"/>
    </row>
    <row r="157" spans="1:16" x14ac:dyDescent="0.35">
      <c r="A157" s="329" t="s">
        <v>1187</v>
      </c>
      <c r="B157" s="329"/>
      <c r="C157" s="329"/>
      <c r="D157" s="329">
        <f t="shared" ref="D157:O157" si="13">IF(D154&gt;=$C$145, 1, 0)</f>
        <v>0</v>
      </c>
      <c r="E157" s="329">
        <f t="shared" si="13"/>
        <v>0</v>
      </c>
      <c r="F157" s="329">
        <f t="shared" si="13"/>
        <v>0</v>
      </c>
      <c r="G157" s="329">
        <f t="shared" si="13"/>
        <v>1</v>
      </c>
      <c r="H157" s="329">
        <f t="shared" si="13"/>
        <v>1</v>
      </c>
      <c r="I157" s="329">
        <f t="shared" si="13"/>
        <v>1</v>
      </c>
      <c r="J157" s="329">
        <f t="shared" si="13"/>
        <v>1</v>
      </c>
      <c r="K157" s="329">
        <f t="shared" si="13"/>
        <v>1</v>
      </c>
      <c r="L157" s="329">
        <f t="shared" si="13"/>
        <v>1</v>
      </c>
      <c r="M157" s="329">
        <f t="shared" si="13"/>
        <v>1</v>
      </c>
      <c r="N157" s="329">
        <f t="shared" si="13"/>
        <v>1</v>
      </c>
      <c r="O157" s="329">
        <f t="shared" si="13"/>
        <v>1</v>
      </c>
      <c r="P157" s="329"/>
    </row>
    <row r="158" spans="1:16" s="166" customFormat="1" x14ac:dyDescent="0.35">
      <c r="A158" s="329" t="str">
        <f>A148</f>
        <v>Major Capex Start</v>
      </c>
      <c r="B158" s="329"/>
      <c r="C158" s="329"/>
      <c r="D158" s="329">
        <f t="shared" ref="D158:O158" si="14">IF(D154&gt;=$C$148, 1, 0)</f>
        <v>0</v>
      </c>
      <c r="E158" s="329">
        <f t="shared" si="14"/>
        <v>0</v>
      </c>
      <c r="F158" s="329">
        <f t="shared" si="14"/>
        <v>0</v>
      </c>
      <c r="G158" s="329">
        <f t="shared" si="14"/>
        <v>1</v>
      </c>
      <c r="H158" s="329">
        <f t="shared" si="14"/>
        <v>1</v>
      </c>
      <c r="I158" s="329">
        <f t="shared" si="14"/>
        <v>1</v>
      </c>
      <c r="J158" s="329">
        <f t="shared" si="14"/>
        <v>1</v>
      </c>
      <c r="K158" s="329">
        <f t="shared" si="14"/>
        <v>1</v>
      </c>
      <c r="L158" s="329">
        <f t="shared" si="14"/>
        <v>1</v>
      </c>
      <c r="M158" s="329">
        <f t="shared" si="14"/>
        <v>1</v>
      </c>
      <c r="N158" s="329">
        <f t="shared" si="14"/>
        <v>1</v>
      </c>
      <c r="O158" s="329">
        <f t="shared" si="14"/>
        <v>1</v>
      </c>
      <c r="P158" s="329"/>
    </row>
    <row r="159" spans="1:16" s="166" customFormat="1" x14ac:dyDescent="0.35">
      <c r="A159" s="329" t="str">
        <f>A149</f>
        <v>Major Capex End</v>
      </c>
      <c r="B159" s="329"/>
      <c r="C159" s="329"/>
      <c r="D159" s="329">
        <f t="shared" ref="D159:O159" si="15">IF(D154&gt;=$C$149, 1, 0)</f>
        <v>0</v>
      </c>
      <c r="E159" s="329">
        <f t="shared" si="15"/>
        <v>0</v>
      </c>
      <c r="F159" s="329">
        <f t="shared" si="15"/>
        <v>0</v>
      </c>
      <c r="G159" s="329">
        <f t="shared" si="15"/>
        <v>1</v>
      </c>
      <c r="H159" s="329">
        <f t="shared" si="15"/>
        <v>1</v>
      </c>
      <c r="I159" s="329">
        <f t="shared" si="15"/>
        <v>1</v>
      </c>
      <c r="J159" s="329">
        <f t="shared" si="15"/>
        <v>1</v>
      </c>
      <c r="K159" s="329">
        <f t="shared" si="15"/>
        <v>1</v>
      </c>
      <c r="L159" s="329">
        <f t="shared" si="15"/>
        <v>1</v>
      </c>
      <c r="M159" s="329">
        <f t="shared" si="15"/>
        <v>1</v>
      </c>
      <c r="N159" s="329">
        <f t="shared" si="15"/>
        <v>1</v>
      </c>
      <c r="O159" s="329">
        <f t="shared" si="15"/>
        <v>1</v>
      </c>
      <c r="P159" s="329"/>
    </row>
    <row r="161" spans="1:16" x14ac:dyDescent="0.35">
      <c r="A161" s="171" t="s">
        <v>1188</v>
      </c>
      <c r="B161" s="171"/>
      <c r="C161" s="171"/>
      <c r="D161" s="171"/>
      <c r="E161" s="171"/>
      <c r="F161" s="171"/>
      <c r="G161" s="171"/>
      <c r="H161" s="171"/>
      <c r="I161" s="171"/>
      <c r="J161" s="171"/>
      <c r="K161" s="171"/>
      <c r="L161" s="171"/>
      <c r="M161" s="171"/>
      <c r="N161" s="171"/>
      <c r="O161" s="171"/>
      <c r="P161" s="171"/>
    </row>
    <row r="162" spans="1:16" x14ac:dyDescent="0.35">
      <c r="A162" s="329" t="s">
        <v>1189</v>
      </c>
      <c r="B162" s="329"/>
      <c r="C162" s="329"/>
      <c r="D162" s="169">
        <v>0</v>
      </c>
      <c r="E162" s="169">
        <f t="shared" ref="E162:O162" si="16">D166</f>
        <v>0</v>
      </c>
      <c r="F162" s="169">
        <f t="shared" si="16"/>
        <v>0</v>
      </c>
      <c r="G162" s="169">
        <f t="shared" si="16"/>
        <v>0</v>
      </c>
      <c r="H162" s="169">
        <f t="shared" si="16"/>
        <v>17758000</v>
      </c>
      <c r="I162" s="169">
        <f t="shared" si="16"/>
        <v>17758000</v>
      </c>
      <c r="J162" s="169">
        <f t="shared" si="16"/>
        <v>17758000</v>
      </c>
      <c r="K162" s="169">
        <f t="shared" si="16"/>
        <v>17758000</v>
      </c>
      <c r="L162" s="169">
        <f t="shared" si="16"/>
        <v>17758000</v>
      </c>
      <c r="M162" s="169">
        <f t="shared" si="16"/>
        <v>17758000</v>
      </c>
      <c r="N162" s="169">
        <f t="shared" si="16"/>
        <v>17758000</v>
      </c>
      <c r="O162" s="169">
        <f t="shared" si="16"/>
        <v>17758000</v>
      </c>
      <c r="P162" s="169"/>
    </row>
    <row r="163" spans="1:16" x14ac:dyDescent="0.35">
      <c r="A163" s="329" t="s">
        <v>1190</v>
      </c>
      <c r="B163" s="329"/>
      <c r="C163" s="329"/>
      <c r="D163" s="169">
        <f t="shared" ref="D163:O163" si="17">IF(AND(D158=1,C158=0),$C$146,0)</f>
        <v>0</v>
      </c>
      <c r="E163" s="169">
        <f t="shared" si="17"/>
        <v>0</v>
      </c>
      <c r="F163" s="169">
        <f t="shared" si="17"/>
        <v>0</v>
      </c>
      <c r="G163" s="169">
        <f t="shared" si="17"/>
        <v>17075000</v>
      </c>
      <c r="H163" s="169">
        <f t="shared" si="17"/>
        <v>0</v>
      </c>
      <c r="I163" s="169">
        <f t="shared" si="17"/>
        <v>0</v>
      </c>
      <c r="J163" s="169">
        <f t="shared" si="17"/>
        <v>0</v>
      </c>
      <c r="K163" s="169">
        <f t="shared" si="17"/>
        <v>0</v>
      </c>
      <c r="L163" s="169">
        <f t="shared" si="17"/>
        <v>0</v>
      </c>
      <c r="M163" s="169">
        <f t="shared" si="17"/>
        <v>0</v>
      </c>
      <c r="N163" s="169">
        <f t="shared" si="17"/>
        <v>0</v>
      </c>
      <c r="O163" s="169">
        <f t="shared" si="17"/>
        <v>0</v>
      </c>
      <c r="P163" s="169">
        <f>SUM(D163:O163)</f>
        <v>17075000</v>
      </c>
    </row>
    <row r="164" spans="1:16" x14ac:dyDescent="0.35">
      <c r="A164" s="329" t="s">
        <v>1191</v>
      </c>
      <c r="B164" s="329"/>
      <c r="C164" s="329"/>
      <c r="D164" s="169">
        <f t="shared" ref="D164:O164" si="18">IF(D156=1, (D162+D163/2)*$C$151, 0)</f>
        <v>0</v>
      </c>
      <c r="E164" s="169">
        <f t="shared" si="18"/>
        <v>0</v>
      </c>
      <c r="F164" s="169">
        <f t="shared" si="18"/>
        <v>0</v>
      </c>
      <c r="G164" s="169">
        <f t="shared" si="18"/>
        <v>683000</v>
      </c>
      <c r="H164" s="169">
        <f t="shared" si="18"/>
        <v>0</v>
      </c>
      <c r="I164" s="169">
        <f t="shared" si="18"/>
        <v>0</v>
      </c>
      <c r="J164" s="169">
        <f t="shared" si="18"/>
        <v>0</v>
      </c>
      <c r="K164" s="169">
        <f t="shared" si="18"/>
        <v>0</v>
      </c>
      <c r="L164" s="169">
        <f t="shared" si="18"/>
        <v>0</v>
      </c>
      <c r="M164" s="169">
        <f t="shared" si="18"/>
        <v>0</v>
      </c>
      <c r="N164" s="169">
        <f t="shared" si="18"/>
        <v>0</v>
      </c>
      <c r="O164" s="169">
        <f t="shared" si="18"/>
        <v>0</v>
      </c>
      <c r="P164" s="169">
        <f>SUM(D164:O164)</f>
        <v>683000</v>
      </c>
    </row>
    <row r="165" spans="1:16" x14ac:dyDescent="0.35">
      <c r="A165" s="329" t="s">
        <v>1192</v>
      </c>
      <c r="B165" s="329"/>
      <c r="C165" s="329"/>
      <c r="D165" s="169">
        <f>0</f>
        <v>0</v>
      </c>
      <c r="E165" s="169">
        <f t="shared" ref="E165:O165" si="19">IF(AND(E157=1,D157=0),-D166,0)</f>
        <v>0</v>
      </c>
      <c r="F165" s="169">
        <f t="shared" si="19"/>
        <v>0</v>
      </c>
      <c r="G165" s="169">
        <f t="shared" si="19"/>
        <v>0</v>
      </c>
      <c r="H165" s="169">
        <f t="shared" si="19"/>
        <v>0</v>
      </c>
      <c r="I165" s="169">
        <f t="shared" si="19"/>
        <v>0</v>
      </c>
      <c r="J165" s="169">
        <f t="shared" si="19"/>
        <v>0</v>
      </c>
      <c r="K165" s="169">
        <f t="shared" si="19"/>
        <v>0</v>
      </c>
      <c r="L165" s="169">
        <f t="shared" si="19"/>
        <v>0</v>
      </c>
      <c r="M165" s="169">
        <f t="shared" si="19"/>
        <v>0</v>
      </c>
      <c r="N165" s="169">
        <f t="shared" si="19"/>
        <v>0</v>
      </c>
      <c r="O165" s="169">
        <f t="shared" si="19"/>
        <v>0</v>
      </c>
      <c r="P165" s="169"/>
    </row>
    <row r="166" spans="1:16" x14ac:dyDescent="0.35">
      <c r="A166" s="177" t="s">
        <v>1193</v>
      </c>
      <c r="B166" s="177"/>
      <c r="C166" s="177"/>
      <c r="D166" s="178">
        <f t="shared" ref="D166:O166" si="20">D162+D163+D164+D165</f>
        <v>0</v>
      </c>
      <c r="E166" s="178">
        <f t="shared" si="20"/>
        <v>0</v>
      </c>
      <c r="F166" s="178">
        <f t="shared" si="20"/>
        <v>0</v>
      </c>
      <c r="G166" s="178">
        <f t="shared" si="20"/>
        <v>17758000</v>
      </c>
      <c r="H166" s="178">
        <f t="shared" si="20"/>
        <v>17758000</v>
      </c>
      <c r="I166" s="178">
        <f t="shared" si="20"/>
        <v>17758000</v>
      </c>
      <c r="J166" s="178">
        <f t="shared" si="20"/>
        <v>17758000</v>
      </c>
      <c r="K166" s="178">
        <f t="shared" si="20"/>
        <v>17758000</v>
      </c>
      <c r="L166" s="178">
        <f t="shared" si="20"/>
        <v>17758000</v>
      </c>
      <c r="M166" s="178">
        <f t="shared" si="20"/>
        <v>17758000</v>
      </c>
      <c r="N166" s="178">
        <f t="shared" si="20"/>
        <v>17758000</v>
      </c>
      <c r="O166" s="178">
        <f t="shared" si="20"/>
        <v>17758000</v>
      </c>
      <c r="P166" s="178"/>
    </row>
    <row r="167" spans="1:16" x14ac:dyDescent="0.35">
      <c r="A167" s="329"/>
      <c r="B167" s="329"/>
      <c r="C167" s="329"/>
      <c r="D167" s="432"/>
      <c r="E167" s="432"/>
      <c r="F167" s="432"/>
      <c r="G167" s="432"/>
      <c r="H167" s="432"/>
      <c r="I167" s="432"/>
      <c r="J167" s="432"/>
      <c r="K167" s="432"/>
      <c r="L167" s="432"/>
      <c r="M167" s="432"/>
      <c r="N167" s="432"/>
      <c r="O167" s="432"/>
      <c r="P167" s="432"/>
    </row>
    <row r="168" spans="1:16" x14ac:dyDescent="0.35">
      <c r="A168" s="171" t="s">
        <v>1194</v>
      </c>
      <c r="B168" s="171"/>
      <c r="C168" s="171"/>
      <c r="D168" s="433"/>
      <c r="E168" s="433"/>
      <c r="F168" s="433"/>
      <c r="G168" s="433"/>
      <c r="H168" s="433"/>
      <c r="I168" s="433"/>
      <c r="J168" s="433"/>
      <c r="K168" s="433"/>
      <c r="L168" s="433"/>
      <c r="M168" s="433"/>
      <c r="N168" s="433"/>
      <c r="O168" s="433"/>
      <c r="P168" s="433"/>
    </row>
    <row r="169" spans="1:16" x14ac:dyDescent="0.35">
      <c r="A169" s="329" t="s">
        <v>1195</v>
      </c>
      <c r="B169" s="329"/>
      <c r="C169" s="329"/>
      <c r="D169" s="169">
        <f>IF(D155&gt;=Inputs!$E$14,$C$147,0)</f>
        <v>0</v>
      </c>
      <c r="E169" s="169">
        <f>IF(AND(E155&gt;=Inputs!$E$14,D169=0),$C$147,0)</f>
        <v>780000</v>
      </c>
      <c r="F169" s="169">
        <f>IF(AND(F155&gt;=Inputs!$E$14,SUM($D169:E169)=0),$C$147,0)</f>
        <v>0</v>
      </c>
      <c r="G169" s="169">
        <f>IF(AND(G155&gt;=Inputs!$E$14,SUM($D169:F169)=0),$C$147,0)</f>
        <v>0</v>
      </c>
      <c r="H169" s="169">
        <f>IF(AND(H155&gt;=Inputs!$E$14,SUM($D169:G169)=0),$C$147,0)</f>
        <v>0</v>
      </c>
      <c r="I169" s="169">
        <f>IF(AND(I155&gt;=Inputs!$E$14,SUM($D169:H169)=0),$C$147,0)</f>
        <v>0</v>
      </c>
      <c r="J169" s="169">
        <f>IF(AND(J155&gt;=Inputs!$E$14,SUM($D169:I169)=0),$C$147,0)</f>
        <v>0</v>
      </c>
      <c r="K169" s="169">
        <f>IF(AND(K155&gt;=Inputs!$E$14,SUM($D169:J169)=0),$C$147,0)</f>
        <v>0</v>
      </c>
      <c r="L169" s="169">
        <f>IF(AND(L155&gt;=Inputs!$E$14,SUM($D169:K169)=0),$C$147,0)</f>
        <v>0</v>
      </c>
      <c r="M169" s="169">
        <f>IF(AND(M155&gt;=Inputs!$E$14,SUM($D169:L169)=0),$C$147,0)</f>
        <v>0</v>
      </c>
      <c r="N169" s="169">
        <f>IF(AND(N155&gt;=Inputs!$E$14,SUM($D169:M169)=0),$C$147,0)</f>
        <v>0</v>
      </c>
      <c r="O169" s="169">
        <f>IF(AND(O155&gt;=Inputs!$E$14,SUM($D169:N169)=0),$C$147,0)</f>
        <v>0</v>
      </c>
      <c r="P169" s="169">
        <f>SUM(D169:O169)</f>
        <v>780000</v>
      </c>
    </row>
    <row r="170" spans="1:16" x14ac:dyDescent="0.35">
      <c r="A170" s="329" t="s">
        <v>1196</v>
      </c>
      <c r="B170" s="329"/>
      <c r="C170" s="329"/>
      <c r="D170" s="169">
        <f>D169</f>
        <v>0</v>
      </c>
      <c r="E170" s="169">
        <f t="shared" ref="E170:O170" si="21">D170+E169</f>
        <v>780000</v>
      </c>
      <c r="F170" s="169">
        <f t="shared" si="21"/>
        <v>780000</v>
      </c>
      <c r="G170" s="169">
        <f t="shared" si="21"/>
        <v>780000</v>
      </c>
      <c r="H170" s="169">
        <f t="shared" si="21"/>
        <v>780000</v>
      </c>
      <c r="I170" s="169">
        <f t="shared" si="21"/>
        <v>780000</v>
      </c>
      <c r="J170" s="169">
        <f t="shared" si="21"/>
        <v>780000</v>
      </c>
      <c r="K170" s="169">
        <f t="shared" si="21"/>
        <v>780000</v>
      </c>
      <c r="L170" s="169">
        <f t="shared" si="21"/>
        <v>780000</v>
      </c>
      <c r="M170" s="169">
        <f t="shared" si="21"/>
        <v>780000</v>
      </c>
      <c r="N170" s="169">
        <f t="shared" si="21"/>
        <v>780000</v>
      </c>
      <c r="O170" s="169">
        <f t="shared" si="21"/>
        <v>780000</v>
      </c>
      <c r="P170" s="169"/>
    </row>
    <row r="171" spans="1:16" x14ac:dyDescent="0.35">
      <c r="A171" s="329"/>
      <c r="B171" s="329"/>
      <c r="C171" s="329"/>
      <c r="D171" s="432"/>
      <c r="E171" s="432"/>
      <c r="F171" s="432"/>
      <c r="G171" s="432"/>
      <c r="H171" s="432"/>
      <c r="I171" s="432"/>
      <c r="J171" s="432"/>
      <c r="K171" s="432"/>
      <c r="L171" s="432"/>
      <c r="M171" s="432"/>
      <c r="N171" s="432"/>
      <c r="O171" s="432"/>
      <c r="P171" s="432"/>
    </row>
    <row r="172" spans="1:16" x14ac:dyDescent="0.35">
      <c r="A172" s="179" t="s">
        <v>1197</v>
      </c>
      <c r="B172" s="179"/>
      <c r="C172" s="179"/>
      <c r="D172" s="180">
        <f t="shared" ref="D172:O172" si="22">D163+D169</f>
        <v>0</v>
      </c>
      <c r="E172" s="180">
        <f t="shared" si="22"/>
        <v>780000</v>
      </c>
      <c r="F172" s="180">
        <f t="shared" si="22"/>
        <v>0</v>
      </c>
      <c r="G172" s="180">
        <f t="shared" si="22"/>
        <v>17075000</v>
      </c>
      <c r="H172" s="180">
        <f t="shared" si="22"/>
        <v>0</v>
      </c>
      <c r="I172" s="180">
        <f t="shared" si="22"/>
        <v>0</v>
      </c>
      <c r="J172" s="180">
        <f t="shared" si="22"/>
        <v>0</v>
      </c>
      <c r="K172" s="180">
        <f t="shared" si="22"/>
        <v>0</v>
      </c>
      <c r="L172" s="180">
        <f t="shared" si="22"/>
        <v>0</v>
      </c>
      <c r="M172" s="180">
        <f t="shared" si="22"/>
        <v>0</v>
      </c>
      <c r="N172" s="180">
        <f t="shared" si="22"/>
        <v>0</v>
      </c>
      <c r="O172" s="180">
        <f t="shared" si="22"/>
        <v>0</v>
      </c>
      <c r="P172" s="180">
        <f>SUM(D172:O172)</f>
        <v>17855000</v>
      </c>
    </row>
    <row r="173" spans="1:16" x14ac:dyDescent="0.35">
      <c r="A173" s="329"/>
      <c r="B173" s="329"/>
      <c r="C173" s="329"/>
      <c r="D173" s="432"/>
      <c r="E173" s="432"/>
      <c r="F173" s="432"/>
      <c r="G173" s="432"/>
      <c r="H173" s="432"/>
      <c r="I173" s="432"/>
      <c r="J173" s="432"/>
      <c r="K173" s="432"/>
      <c r="L173" s="432"/>
      <c r="M173" s="432"/>
      <c r="N173" s="432"/>
      <c r="O173" s="432"/>
      <c r="P173" s="432"/>
    </row>
    <row r="174" spans="1:16" x14ac:dyDescent="0.35">
      <c r="A174" s="174" t="s">
        <v>1198</v>
      </c>
      <c r="B174" s="174"/>
      <c r="C174" s="174"/>
      <c r="D174" s="434"/>
      <c r="E174" s="434"/>
      <c r="F174" s="434"/>
      <c r="G174" s="434"/>
      <c r="H174" s="434"/>
      <c r="I174" s="434"/>
      <c r="J174" s="434"/>
      <c r="K174" s="434"/>
      <c r="L174" s="434"/>
      <c r="M174" s="434"/>
      <c r="N174" s="434"/>
      <c r="O174" s="434"/>
      <c r="P174" s="434"/>
    </row>
    <row r="175" spans="1:16" x14ac:dyDescent="0.35">
      <c r="A175" s="329" t="s">
        <v>1199</v>
      </c>
      <c r="B175" s="329"/>
      <c r="C175" s="329"/>
      <c r="D175" s="169">
        <v>0</v>
      </c>
      <c r="E175" s="169">
        <f t="shared" ref="E175:O175" si="23">D177</f>
        <v>0</v>
      </c>
      <c r="F175" s="169">
        <f t="shared" si="23"/>
        <v>0</v>
      </c>
      <c r="G175" s="169">
        <f t="shared" si="23"/>
        <v>0</v>
      </c>
      <c r="H175" s="169">
        <f t="shared" si="23"/>
        <v>0</v>
      </c>
      <c r="I175" s="169">
        <f t="shared" si="23"/>
        <v>0</v>
      </c>
      <c r="J175" s="169">
        <f t="shared" si="23"/>
        <v>0</v>
      </c>
      <c r="K175" s="169">
        <f t="shared" si="23"/>
        <v>0</v>
      </c>
      <c r="L175" s="169">
        <f t="shared" si="23"/>
        <v>0</v>
      </c>
      <c r="M175" s="169">
        <f t="shared" si="23"/>
        <v>0</v>
      </c>
      <c r="N175" s="169">
        <f t="shared" si="23"/>
        <v>0</v>
      </c>
      <c r="O175" s="169">
        <f t="shared" si="23"/>
        <v>0</v>
      </c>
      <c r="P175" s="169"/>
    </row>
    <row r="176" spans="1:16" x14ac:dyDescent="0.35">
      <c r="A176" s="329" t="s">
        <v>1200</v>
      </c>
      <c r="B176" s="329"/>
      <c r="C176" s="329"/>
      <c r="D176" s="169">
        <f t="shared" ref="D176:O176" si="24">-D165</f>
        <v>0</v>
      </c>
      <c r="E176" s="169">
        <f t="shared" si="24"/>
        <v>0</v>
      </c>
      <c r="F176" s="169">
        <f t="shared" si="24"/>
        <v>0</v>
      </c>
      <c r="G176" s="169">
        <f t="shared" si="24"/>
        <v>0</v>
      </c>
      <c r="H176" s="169">
        <f t="shared" si="24"/>
        <v>0</v>
      </c>
      <c r="I176" s="169">
        <f t="shared" si="24"/>
        <v>0</v>
      </c>
      <c r="J176" s="169">
        <f t="shared" si="24"/>
        <v>0</v>
      </c>
      <c r="K176" s="169">
        <f t="shared" si="24"/>
        <v>0</v>
      </c>
      <c r="L176" s="169">
        <f t="shared" si="24"/>
        <v>0</v>
      </c>
      <c r="M176" s="169">
        <f t="shared" si="24"/>
        <v>0</v>
      </c>
      <c r="N176" s="169">
        <f t="shared" si="24"/>
        <v>0</v>
      </c>
      <c r="O176" s="169">
        <f t="shared" si="24"/>
        <v>0</v>
      </c>
      <c r="P176" s="169"/>
    </row>
    <row r="177" spans="1:16" x14ac:dyDescent="0.35">
      <c r="A177" s="181" t="s">
        <v>1201</v>
      </c>
      <c r="B177" s="181"/>
      <c r="C177" s="181"/>
      <c r="D177" s="182">
        <f t="shared" ref="D177:O177" si="25">D175+D176</f>
        <v>0</v>
      </c>
      <c r="E177" s="182">
        <f t="shared" si="25"/>
        <v>0</v>
      </c>
      <c r="F177" s="182">
        <f t="shared" si="25"/>
        <v>0</v>
      </c>
      <c r="G177" s="182">
        <f t="shared" si="25"/>
        <v>0</v>
      </c>
      <c r="H177" s="182">
        <f t="shared" si="25"/>
        <v>0</v>
      </c>
      <c r="I177" s="182">
        <f t="shared" si="25"/>
        <v>0</v>
      </c>
      <c r="J177" s="182">
        <f t="shared" si="25"/>
        <v>0</v>
      </c>
      <c r="K177" s="182">
        <f t="shared" si="25"/>
        <v>0</v>
      </c>
      <c r="L177" s="182">
        <f t="shared" si="25"/>
        <v>0</v>
      </c>
      <c r="M177" s="182">
        <f t="shared" si="25"/>
        <v>0</v>
      </c>
      <c r="N177" s="182">
        <f t="shared" si="25"/>
        <v>0</v>
      </c>
      <c r="O177" s="182">
        <f t="shared" si="25"/>
        <v>0</v>
      </c>
      <c r="P177" s="182"/>
    </row>
    <row r="178" spans="1:16" x14ac:dyDescent="0.35">
      <c r="A178" s="329"/>
      <c r="B178" s="329"/>
      <c r="C178" s="329"/>
      <c r="D178" s="169"/>
      <c r="E178" s="169"/>
      <c r="F178" s="169"/>
      <c r="G178" s="169"/>
      <c r="H178" s="169"/>
      <c r="I178" s="169"/>
      <c r="J178" s="169"/>
      <c r="K178" s="169"/>
      <c r="L178" s="169"/>
      <c r="M178" s="169"/>
      <c r="N178" s="169"/>
      <c r="O178" s="169"/>
      <c r="P178" s="169"/>
    </row>
    <row r="179" spans="1:16" x14ac:dyDescent="0.35">
      <c r="A179" s="329" t="s">
        <v>1202</v>
      </c>
      <c r="B179" s="329"/>
      <c r="C179" s="329"/>
      <c r="D179" s="169">
        <v>0</v>
      </c>
      <c r="E179" s="169">
        <f t="shared" ref="E179:O179" si="26">D181</f>
        <v>0</v>
      </c>
      <c r="F179" s="169">
        <f t="shared" si="26"/>
        <v>0</v>
      </c>
      <c r="G179" s="169">
        <f t="shared" si="26"/>
        <v>0</v>
      </c>
      <c r="H179" s="169">
        <f t="shared" si="26"/>
        <v>0</v>
      </c>
      <c r="I179" s="169">
        <f t="shared" si="26"/>
        <v>0</v>
      </c>
      <c r="J179" s="169">
        <f t="shared" si="26"/>
        <v>0</v>
      </c>
      <c r="K179" s="169">
        <f t="shared" si="26"/>
        <v>0</v>
      </c>
      <c r="L179" s="169">
        <f t="shared" si="26"/>
        <v>0</v>
      </c>
      <c r="M179" s="169">
        <f t="shared" si="26"/>
        <v>0</v>
      </c>
      <c r="N179" s="169">
        <f t="shared" si="26"/>
        <v>0</v>
      </c>
      <c r="O179" s="169">
        <f t="shared" si="26"/>
        <v>0</v>
      </c>
      <c r="P179" s="169"/>
    </row>
    <row r="180" spans="1:16" x14ac:dyDescent="0.35">
      <c r="A180" s="329" t="s">
        <v>1203</v>
      </c>
      <c r="B180" s="329"/>
      <c r="C180" s="329"/>
      <c r="D180" s="169">
        <f t="shared" ref="D180:O180" si="27">IF(D157=1, D177/$C$150, 0)</f>
        <v>0</v>
      </c>
      <c r="E180" s="169">
        <f t="shared" si="27"/>
        <v>0</v>
      </c>
      <c r="F180" s="169">
        <f t="shared" si="27"/>
        <v>0</v>
      </c>
      <c r="G180" s="169">
        <f t="shared" si="27"/>
        <v>0</v>
      </c>
      <c r="H180" s="169">
        <f t="shared" si="27"/>
        <v>0</v>
      </c>
      <c r="I180" s="169">
        <f t="shared" si="27"/>
        <v>0</v>
      </c>
      <c r="J180" s="169">
        <f t="shared" si="27"/>
        <v>0</v>
      </c>
      <c r="K180" s="169">
        <f t="shared" si="27"/>
        <v>0</v>
      </c>
      <c r="L180" s="169">
        <f t="shared" si="27"/>
        <v>0</v>
      </c>
      <c r="M180" s="169">
        <f t="shared" si="27"/>
        <v>0</v>
      </c>
      <c r="N180" s="169">
        <f t="shared" si="27"/>
        <v>0</v>
      </c>
      <c r="O180" s="169">
        <f t="shared" si="27"/>
        <v>0</v>
      </c>
      <c r="P180" s="169">
        <f>SUM(D180:O180)</f>
        <v>0</v>
      </c>
    </row>
    <row r="181" spans="1:16" x14ac:dyDescent="0.35">
      <c r="A181" s="181" t="s">
        <v>1204</v>
      </c>
      <c r="B181" s="181"/>
      <c r="C181" s="181"/>
      <c r="D181" s="182">
        <f t="shared" ref="D181:O181" si="28">D179+D180</f>
        <v>0</v>
      </c>
      <c r="E181" s="182">
        <f t="shared" si="28"/>
        <v>0</v>
      </c>
      <c r="F181" s="182">
        <f t="shared" si="28"/>
        <v>0</v>
      </c>
      <c r="G181" s="182">
        <f t="shared" si="28"/>
        <v>0</v>
      </c>
      <c r="H181" s="182">
        <f t="shared" si="28"/>
        <v>0</v>
      </c>
      <c r="I181" s="182">
        <f t="shared" si="28"/>
        <v>0</v>
      </c>
      <c r="J181" s="182">
        <f t="shared" si="28"/>
        <v>0</v>
      </c>
      <c r="K181" s="182">
        <f t="shared" si="28"/>
        <v>0</v>
      </c>
      <c r="L181" s="182">
        <f t="shared" si="28"/>
        <v>0</v>
      </c>
      <c r="M181" s="182">
        <f t="shared" si="28"/>
        <v>0</v>
      </c>
      <c r="N181" s="182">
        <f t="shared" si="28"/>
        <v>0</v>
      </c>
      <c r="O181" s="182">
        <f t="shared" si="28"/>
        <v>0</v>
      </c>
      <c r="P181" s="182"/>
    </row>
    <row r="182" spans="1:16" x14ac:dyDescent="0.35">
      <c r="A182" s="329"/>
      <c r="B182" s="329"/>
      <c r="C182" s="329"/>
      <c r="D182" s="169"/>
      <c r="E182" s="169"/>
      <c r="F182" s="169"/>
      <c r="G182" s="169"/>
      <c r="H182" s="169"/>
      <c r="I182" s="169"/>
      <c r="J182" s="169"/>
      <c r="K182" s="169"/>
      <c r="L182" s="169"/>
      <c r="M182" s="169"/>
      <c r="N182" s="169"/>
      <c r="O182" s="169"/>
      <c r="P182" s="169"/>
    </row>
    <row r="183" spans="1:16" x14ac:dyDescent="0.35">
      <c r="A183" s="179" t="s">
        <v>1205</v>
      </c>
      <c r="B183" s="179"/>
      <c r="C183" s="179"/>
      <c r="D183" s="180">
        <f t="shared" ref="D183:O183" si="29">D177-D181</f>
        <v>0</v>
      </c>
      <c r="E183" s="180">
        <f t="shared" si="29"/>
        <v>0</v>
      </c>
      <c r="F183" s="180">
        <f t="shared" si="29"/>
        <v>0</v>
      </c>
      <c r="G183" s="180">
        <f t="shared" si="29"/>
        <v>0</v>
      </c>
      <c r="H183" s="180">
        <f t="shared" si="29"/>
        <v>0</v>
      </c>
      <c r="I183" s="180">
        <f t="shared" si="29"/>
        <v>0</v>
      </c>
      <c r="J183" s="180">
        <f t="shared" si="29"/>
        <v>0</v>
      </c>
      <c r="K183" s="180">
        <f t="shared" si="29"/>
        <v>0</v>
      </c>
      <c r="L183" s="180">
        <f t="shared" si="29"/>
        <v>0</v>
      </c>
      <c r="M183" s="180">
        <f t="shared" si="29"/>
        <v>0</v>
      </c>
      <c r="N183" s="180">
        <f t="shared" si="29"/>
        <v>0</v>
      </c>
      <c r="O183" s="180">
        <f t="shared" si="29"/>
        <v>0</v>
      </c>
      <c r="P183" s="180"/>
    </row>
    <row r="184" spans="1:16" x14ac:dyDescent="0.35">
      <c r="A184" s="329"/>
      <c r="B184" s="329"/>
      <c r="C184" s="329"/>
      <c r="D184" s="329"/>
      <c r="E184" s="329"/>
      <c r="F184" s="329"/>
      <c r="G184" s="329"/>
      <c r="H184" s="329"/>
      <c r="I184" s="329"/>
      <c r="J184" s="329"/>
      <c r="K184" s="329"/>
      <c r="L184" s="329"/>
      <c r="M184" s="329"/>
      <c r="N184" s="329"/>
      <c r="O184" s="329"/>
      <c r="P184" s="329"/>
    </row>
    <row r="185" spans="1:16" x14ac:dyDescent="0.35">
      <c r="A185" s="188" t="s">
        <v>1206</v>
      </c>
      <c r="B185" s="184"/>
      <c r="C185" s="184"/>
      <c r="D185" s="184"/>
      <c r="E185" s="190"/>
      <c r="F185" s="183"/>
      <c r="G185" s="183"/>
      <c r="H185" s="183"/>
      <c r="I185" s="183"/>
      <c r="J185" s="183"/>
      <c r="K185" s="183"/>
      <c r="L185" s="183"/>
      <c r="M185" s="183"/>
      <c r="N185" s="183"/>
      <c r="O185" s="183"/>
      <c r="P185" s="183"/>
    </row>
    <row r="186" spans="1:16" x14ac:dyDescent="0.35">
      <c r="A186" s="189" t="s">
        <v>1207</v>
      </c>
      <c r="B186" s="186">
        <f>P164</f>
        <v>683000</v>
      </c>
      <c r="C186" s="185"/>
      <c r="D186" s="187" t="s">
        <v>1208</v>
      </c>
      <c r="E186" s="191">
        <f>$C$151</f>
        <v>0.08</v>
      </c>
      <c r="F186" s="329"/>
      <c r="G186" s="329"/>
      <c r="H186" s="329"/>
      <c r="I186" s="329"/>
      <c r="J186" s="329"/>
      <c r="K186" s="329"/>
      <c r="L186" s="329"/>
      <c r="M186" s="329"/>
      <c r="N186" s="329"/>
      <c r="O186" s="329"/>
      <c r="P186" s="329"/>
    </row>
    <row r="187" spans="1:16" x14ac:dyDescent="0.35">
      <c r="A187" s="189" t="s">
        <v>1209</v>
      </c>
      <c r="B187" s="186">
        <f>P163</f>
        <v>17075000</v>
      </c>
      <c r="C187" s="185" t="s">
        <v>1210</v>
      </c>
      <c r="D187" s="186">
        <f>$C$146</f>
        <v>17075000</v>
      </c>
      <c r="E187" s="192" t="str">
        <f>IF(B187=D187,"✓ OK","✗ CHECK")</f>
        <v>✓ OK</v>
      </c>
      <c r="F187" s="329"/>
      <c r="G187" s="329"/>
      <c r="H187" s="329"/>
      <c r="I187" s="329"/>
      <c r="J187" s="329"/>
      <c r="K187" s="329"/>
      <c r="L187" s="329"/>
      <c r="M187" s="329"/>
      <c r="N187" s="329"/>
      <c r="O187" s="329"/>
      <c r="P187" s="329"/>
    </row>
    <row r="188" spans="1:16" x14ac:dyDescent="0.35">
      <c r="A188" s="189" t="s">
        <v>1211</v>
      </c>
      <c r="B188" s="186">
        <f>P172</f>
        <v>17855000</v>
      </c>
      <c r="C188" s="185"/>
      <c r="D188" s="185"/>
      <c r="E188" s="192"/>
      <c r="F188" s="329"/>
      <c r="G188" s="329"/>
      <c r="H188" s="329"/>
      <c r="I188" s="329"/>
      <c r="J188" s="329"/>
      <c r="K188" s="329"/>
      <c r="L188" s="329"/>
      <c r="M188" s="329"/>
      <c r="N188" s="329"/>
      <c r="O188" s="329"/>
      <c r="P188" s="329"/>
    </row>
    <row r="189" spans="1:16" x14ac:dyDescent="0.35">
      <c r="A189" s="189" t="s">
        <v>1212</v>
      </c>
      <c r="B189" s="185">
        <f>O166</f>
        <v>17758000</v>
      </c>
      <c r="C189" s="185" t="s">
        <v>1213</v>
      </c>
      <c r="D189" s="185" t="str">
        <f>IF(B189=0,"✓ Cleared","✗ Check")</f>
        <v>✗ Check</v>
      </c>
      <c r="E189" s="192"/>
      <c r="F189" s="329"/>
      <c r="G189" s="329"/>
      <c r="H189" s="329"/>
      <c r="I189" s="329"/>
      <c r="J189" s="329"/>
      <c r="K189" s="329"/>
      <c r="L189" s="329"/>
      <c r="M189" s="329"/>
      <c r="N189" s="329"/>
      <c r="O189" s="329"/>
      <c r="P189" s="329"/>
    </row>
    <row r="190" spans="1:16" x14ac:dyDescent="0.35">
      <c r="A190" s="193" t="s">
        <v>1214</v>
      </c>
      <c r="B190" s="194"/>
      <c r="C190" s="194"/>
      <c r="D190" s="194"/>
      <c r="E190" s="195"/>
      <c r="F190" s="196"/>
      <c r="G190" s="196"/>
      <c r="H190" s="196"/>
      <c r="I190" s="196"/>
      <c r="J190" s="196"/>
      <c r="K190" s="196"/>
      <c r="L190" s="196"/>
      <c r="M190" s="196"/>
      <c r="N190" s="196"/>
      <c r="O190" s="196"/>
      <c r="P190" s="196"/>
    </row>
  </sheetData>
  <mergeCells count="3">
    <mergeCell ref="I21:J21"/>
    <mergeCell ref="K21:O21"/>
    <mergeCell ref="P21:U21"/>
  </mergeCells>
  <hyperlinks>
    <hyperlink ref="D38" r:id="rId1" xr:uid="{00000000-0004-0000-0600-000000000000}"/>
  </hyperlinks>
  <pageMargins left="0.7" right="0.7" top="0.75" bottom="0.75" header="0.3" footer="0.3"/>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C000"/>
    <pageSetUpPr fitToPage="1"/>
  </sheetPr>
  <dimension ref="A1:XFC135"/>
  <sheetViews>
    <sheetView showGridLines="0" topLeftCell="B1" workbookViewId="0">
      <selection activeCell="H5" sqref="H5:S5"/>
    </sheetView>
  </sheetViews>
  <sheetFormatPr defaultRowHeight="14.5" x14ac:dyDescent="0.35"/>
  <cols>
    <col min="1" max="1" width="17.81640625" customWidth="1"/>
    <col min="2" max="2" width="7.81640625" customWidth="1"/>
    <col min="3" max="3" width="31.453125" customWidth="1"/>
    <col min="4" max="4" width="14" bestFit="1" customWidth="1"/>
    <col min="5" max="5" width="13" customWidth="1"/>
    <col min="6" max="6" width="14" customWidth="1"/>
    <col min="7" max="7" width="13" customWidth="1"/>
    <col min="8" max="8" width="10.1796875" bestFit="1" customWidth="1"/>
    <col min="9" max="10" width="12.81640625" bestFit="1" customWidth="1"/>
    <col min="11" max="19" width="13.81640625" bestFit="1" customWidth="1"/>
    <col min="20" max="20" width="13" customWidth="1"/>
    <col min="21" max="21" width="12.453125" hidden="1" customWidth="1"/>
    <col min="22" max="16383" width="13" hidden="1" customWidth="1"/>
  </cols>
  <sheetData>
    <row r="1" spans="1:19" ht="24" customHeight="1" x14ac:dyDescent="0.5">
      <c r="A1" s="61" t="s">
        <v>1215</v>
      </c>
      <c r="B1" s="61"/>
      <c r="C1" s="61"/>
      <c r="D1" s="61"/>
      <c r="E1" s="61"/>
      <c r="F1" s="61"/>
      <c r="G1" s="61"/>
      <c r="H1" s="61"/>
      <c r="I1" s="61"/>
      <c r="J1" s="61"/>
      <c r="K1" s="61"/>
      <c r="L1" s="61"/>
      <c r="M1" s="61"/>
      <c r="N1" s="61"/>
      <c r="O1" s="61"/>
      <c r="P1" s="61"/>
      <c r="Q1" s="61"/>
      <c r="R1" s="61"/>
      <c r="S1" s="61"/>
    </row>
    <row r="2" spans="1:19" ht="16.5" customHeight="1" x14ac:dyDescent="0.35">
      <c r="A2" s="62" t="s">
        <v>10</v>
      </c>
      <c r="B2" s="62"/>
      <c r="C2" s="62"/>
      <c r="D2" s="62"/>
      <c r="E2" s="62"/>
      <c r="F2" s="62"/>
      <c r="G2" s="62"/>
      <c r="H2" s="62"/>
      <c r="I2" s="62"/>
      <c r="J2" s="62"/>
      <c r="K2" s="62"/>
      <c r="L2" s="62"/>
      <c r="M2" s="62"/>
      <c r="N2" s="62"/>
      <c r="O2" s="62"/>
      <c r="P2" s="62"/>
      <c r="Q2" s="62"/>
      <c r="R2" s="62"/>
      <c r="S2" s="62"/>
    </row>
    <row r="3" spans="1:19" ht="24" customHeight="1" x14ac:dyDescent="0.35">
      <c r="A3" s="88"/>
      <c r="B3" s="89"/>
      <c r="C3" s="89"/>
      <c r="D3" s="89"/>
      <c r="E3" s="89"/>
      <c r="F3" s="89"/>
      <c r="G3" s="89"/>
      <c r="H3" s="89"/>
      <c r="I3" s="89"/>
      <c r="J3" s="89"/>
      <c r="K3" s="89"/>
      <c r="L3" s="89"/>
      <c r="M3" s="89"/>
      <c r="N3" s="89"/>
      <c r="O3" s="89"/>
      <c r="P3" s="89"/>
      <c r="Q3" s="89"/>
      <c r="R3" s="89"/>
      <c r="S3" s="89"/>
    </row>
    <row r="4" spans="1:19" x14ac:dyDescent="0.35">
      <c r="A4" s="89"/>
      <c r="B4" s="89"/>
      <c r="C4" s="329"/>
      <c r="D4" s="89"/>
      <c r="E4" s="89"/>
      <c r="F4" s="89"/>
      <c r="G4" s="90" t="s">
        <v>1216</v>
      </c>
      <c r="H4" s="70">
        <f>Model_start</f>
        <v>45715</v>
      </c>
      <c r="I4" s="70">
        <f t="shared" ref="I4:S4" si="0">H5+1</f>
        <v>45839</v>
      </c>
      <c r="J4" s="70">
        <f t="shared" si="0"/>
        <v>46204</v>
      </c>
      <c r="K4" s="70">
        <f t="shared" si="0"/>
        <v>46569</v>
      </c>
      <c r="L4" s="70">
        <f t="shared" si="0"/>
        <v>46935</v>
      </c>
      <c r="M4" s="70">
        <f t="shared" si="0"/>
        <v>47300</v>
      </c>
      <c r="N4" s="70">
        <f t="shared" si="0"/>
        <v>47665</v>
      </c>
      <c r="O4" s="70">
        <f t="shared" si="0"/>
        <v>48030</v>
      </c>
      <c r="P4" s="70">
        <f t="shared" si="0"/>
        <v>48396</v>
      </c>
      <c r="Q4" s="70">
        <f t="shared" si="0"/>
        <v>48761</v>
      </c>
      <c r="R4" s="70">
        <f t="shared" si="0"/>
        <v>49126</v>
      </c>
      <c r="S4" s="70">
        <f t="shared" si="0"/>
        <v>49491</v>
      </c>
    </row>
    <row r="5" spans="1:19" ht="18" customHeight="1" x14ac:dyDescent="0.35">
      <c r="A5" s="89"/>
      <c r="B5" s="89"/>
      <c r="C5" s="329"/>
      <c r="D5" s="89"/>
      <c r="E5" s="89"/>
      <c r="F5" s="89"/>
      <c r="G5" s="90" t="s">
        <v>1217</v>
      </c>
      <c r="H5" s="747">
        <f t="shared" ref="H5:S5" si="1">DATE(YEAR(H4) + (MONTH(H4)&gt;=7), 6, 30)</f>
        <v>45838</v>
      </c>
      <c r="I5" s="747">
        <f t="shared" si="1"/>
        <v>46203</v>
      </c>
      <c r="J5" s="747">
        <f t="shared" si="1"/>
        <v>46568</v>
      </c>
      <c r="K5" s="747">
        <f t="shared" si="1"/>
        <v>46934</v>
      </c>
      <c r="L5" s="747">
        <f t="shared" si="1"/>
        <v>47299</v>
      </c>
      <c r="M5" s="747">
        <f t="shared" si="1"/>
        <v>47664</v>
      </c>
      <c r="N5" s="747">
        <f t="shared" si="1"/>
        <v>48029</v>
      </c>
      <c r="O5" s="747">
        <f t="shared" si="1"/>
        <v>48395</v>
      </c>
      <c r="P5" s="747">
        <f t="shared" si="1"/>
        <v>48760</v>
      </c>
      <c r="Q5" s="747">
        <f t="shared" si="1"/>
        <v>49125</v>
      </c>
      <c r="R5" s="747">
        <f t="shared" si="1"/>
        <v>49490</v>
      </c>
      <c r="S5" s="747">
        <f t="shared" si="1"/>
        <v>49856</v>
      </c>
    </row>
    <row r="6" spans="1:19" ht="18" customHeight="1" x14ac:dyDescent="0.35">
      <c r="A6" s="89"/>
      <c r="B6" s="89"/>
      <c r="C6" s="329"/>
      <c r="D6" s="89"/>
      <c r="E6" s="89"/>
      <c r="F6" s="89"/>
      <c r="G6" s="90" t="s">
        <v>464</v>
      </c>
      <c r="H6" s="70" t="str">
        <f t="shared" ref="H6:S6" si="2">"FY"&amp;RIGHT(YEAR(H5)+(MONTH(H5)&gt;6),2)</f>
        <v>FY25</v>
      </c>
      <c r="I6" s="70" t="str">
        <f t="shared" si="2"/>
        <v>FY26</v>
      </c>
      <c r="J6" s="70" t="str">
        <f t="shared" si="2"/>
        <v>FY27</v>
      </c>
      <c r="K6" s="70" t="str">
        <f t="shared" si="2"/>
        <v>FY28</v>
      </c>
      <c r="L6" s="70" t="str">
        <f t="shared" si="2"/>
        <v>FY29</v>
      </c>
      <c r="M6" s="70" t="str">
        <f t="shared" si="2"/>
        <v>FY30</v>
      </c>
      <c r="N6" s="70" t="str">
        <f t="shared" si="2"/>
        <v>FY31</v>
      </c>
      <c r="O6" s="70" t="str">
        <f t="shared" si="2"/>
        <v>FY32</v>
      </c>
      <c r="P6" s="70" t="str">
        <f t="shared" si="2"/>
        <v>FY33</v>
      </c>
      <c r="Q6" s="70" t="str">
        <f t="shared" si="2"/>
        <v>FY34</v>
      </c>
      <c r="R6" s="70" t="str">
        <f t="shared" si="2"/>
        <v>FY35</v>
      </c>
      <c r="S6" s="70" t="str">
        <f t="shared" si="2"/>
        <v>FY36</v>
      </c>
    </row>
    <row r="7" spans="1:19" x14ac:dyDescent="0.35">
      <c r="A7" s="331"/>
      <c r="B7" s="331"/>
      <c r="C7" s="331"/>
      <c r="D7" s="331"/>
      <c r="E7" s="331"/>
      <c r="F7" s="331"/>
      <c r="G7" s="331"/>
      <c r="H7" s="83"/>
      <c r="I7" s="91"/>
      <c r="J7" s="91"/>
      <c r="K7" s="91"/>
      <c r="L7" s="91"/>
      <c r="M7" s="91"/>
      <c r="N7" s="91"/>
      <c r="O7" s="91"/>
      <c r="P7" s="91"/>
      <c r="Q7" s="91"/>
      <c r="R7" s="91"/>
      <c r="S7" s="91"/>
    </row>
    <row r="8" spans="1:19" x14ac:dyDescent="0.35">
      <c r="A8" s="331"/>
      <c r="B8" s="329"/>
      <c r="C8" s="77" t="s">
        <v>1218</v>
      </c>
      <c r="D8" s="70">
        <f>Inputs!E22</f>
        <v>46569</v>
      </c>
      <c r="E8" s="331"/>
      <c r="F8" s="331"/>
      <c r="G8" s="331"/>
      <c r="H8" s="694">
        <f t="shared" ref="H8:S8" si="3">IF(H$5&gt;$D$8,1,0)</f>
        <v>0</v>
      </c>
      <c r="I8" s="694">
        <f t="shared" si="3"/>
        <v>0</v>
      </c>
      <c r="J8" s="694">
        <f t="shared" si="3"/>
        <v>0</v>
      </c>
      <c r="K8" s="694">
        <f t="shared" si="3"/>
        <v>1</v>
      </c>
      <c r="L8" s="694">
        <f t="shared" si="3"/>
        <v>1</v>
      </c>
      <c r="M8" s="694">
        <f t="shared" si="3"/>
        <v>1</v>
      </c>
      <c r="N8" s="694">
        <f t="shared" si="3"/>
        <v>1</v>
      </c>
      <c r="O8" s="694">
        <f t="shared" si="3"/>
        <v>1</v>
      </c>
      <c r="P8" s="694">
        <f t="shared" si="3"/>
        <v>1</v>
      </c>
      <c r="Q8" s="694">
        <f t="shared" si="3"/>
        <v>1</v>
      </c>
      <c r="R8" s="694">
        <f t="shared" si="3"/>
        <v>1</v>
      </c>
      <c r="S8" s="694">
        <f t="shared" si="3"/>
        <v>1</v>
      </c>
    </row>
    <row r="9" spans="1:19" x14ac:dyDescent="0.35">
      <c r="A9" s="331"/>
      <c r="B9" s="329"/>
      <c r="C9" s="77" t="s">
        <v>1219</v>
      </c>
      <c r="D9" s="70">
        <f>Inputs!E18</f>
        <v>46420</v>
      </c>
      <c r="E9" s="331"/>
      <c r="F9" s="331"/>
      <c r="G9" s="331"/>
      <c r="H9" s="81">
        <f t="shared" ref="H9:S9" si="4">IF(H8=1,0,IF(AND(H$5&gt;=$D$9,H$5&lt;=$D$10),1,0))</f>
        <v>0</v>
      </c>
      <c r="I9" s="81">
        <f t="shared" si="4"/>
        <v>0</v>
      </c>
      <c r="J9" s="81">
        <f t="shared" si="4"/>
        <v>1</v>
      </c>
      <c r="K9" s="81">
        <f t="shared" si="4"/>
        <v>0</v>
      </c>
      <c r="L9" s="81">
        <f t="shared" si="4"/>
        <v>0</v>
      </c>
      <c r="M9" s="81">
        <f t="shared" si="4"/>
        <v>0</v>
      </c>
      <c r="N9" s="81">
        <f t="shared" si="4"/>
        <v>0</v>
      </c>
      <c r="O9" s="81">
        <f t="shared" si="4"/>
        <v>0</v>
      </c>
      <c r="P9" s="81">
        <f t="shared" si="4"/>
        <v>0</v>
      </c>
      <c r="Q9" s="81">
        <f t="shared" si="4"/>
        <v>0</v>
      </c>
      <c r="R9" s="81">
        <f t="shared" si="4"/>
        <v>0</v>
      </c>
      <c r="S9" s="81">
        <f t="shared" si="4"/>
        <v>0</v>
      </c>
    </row>
    <row r="10" spans="1:19" x14ac:dyDescent="0.35">
      <c r="A10" s="331"/>
      <c r="B10" s="329"/>
      <c r="C10" s="77" t="str">
        <f>Inputs!D17</f>
        <v>Date</v>
      </c>
      <c r="D10" s="70">
        <f>Inputs!E19</f>
        <v>46568</v>
      </c>
      <c r="E10" s="331"/>
      <c r="F10" s="331"/>
      <c r="G10" s="331"/>
      <c r="H10" s="83"/>
      <c r="I10" s="83"/>
      <c r="J10" s="83"/>
      <c r="K10" s="83"/>
      <c r="L10" s="83"/>
      <c r="M10" s="83"/>
      <c r="N10" s="83"/>
      <c r="O10" s="83"/>
      <c r="P10" s="83"/>
      <c r="Q10" s="83"/>
      <c r="R10" s="83"/>
      <c r="S10" s="83"/>
    </row>
    <row r="11" spans="1:19" x14ac:dyDescent="0.35">
      <c r="A11" s="331"/>
      <c r="B11" s="331"/>
      <c r="C11" s="331"/>
      <c r="D11" s="331"/>
      <c r="E11" s="331"/>
      <c r="F11" s="331"/>
      <c r="G11" s="331"/>
      <c r="H11" s="83"/>
      <c r="I11" s="83"/>
      <c r="J11" s="83"/>
      <c r="K11" s="83"/>
      <c r="L11" s="83"/>
      <c r="M11" s="83"/>
      <c r="N11" s="83"/>
      <c r="O11" s="83"/>
      <c r="P11" s="83"/>
      <c r="Q11" s="83"/>
      <c r="R11" s="83"/>
      <c r="S11" s="83"/>
    </row>
    <row r="12" spans="1:19" x14ac:dyDescent="0.35">
      <c r="A12" s="331"/>
      <c r="B12" s="92" t="s">
        <v>1220</v>
      </c>
      <c r="C12" s="331"/>
      <c r="D12" s="331"/>
      <c r="E12" s="331"/>
      <c r="F12" s="331"/>
      <c r="G12" s="331"/>
      <c r="H12" s="83"/>
      <c r="I12" s="83"/>
      <c r="J12" s="83"/>
      <c r="K12" s="83"/>
      <c r="L12" s="83"/>
      <c r="M12" s="83"/>
      <c r="N12" s="83"/>
      <c r="O12" s="83"/>
      <c r="P12" s="83"/>
      <c r="Q12" s="83"/>
      <c r="R12" s="83"/>
      <c r="S12" s="83"/>
    </row>
    <row r="13" spans="1:19" x14ac:dyDescent="0.35">
      <c r="A13" s="331"/>
      <c r="B13" s="331"/>
      <c r="C13" s="77" t="s">
        <v>1221</v>
      </c>
      <c r="D13" s="331"/>
      <c r="E13" s="331"/>
      <c r="F13" s="331"/>
      <c r="G13" s="331"/>
      <c r="H13" s="435"/>
      <c r="I13" s="83"/>
      <c r="J13" s="83"/>
      <c r="K13" s="83"/>
      <c r="L13" s="83"/>
      <c r="M13" s="83"/>
      <c r="N13" s="83"/>
      <c r="O13" s="83"/>
      <c r="P13" s="83"/>
      <c r="Q13" s="83"/>
      <c r="R13" s="83"/>
      <c r="S13" s="83"/>
    </row>
    <row r="14" spans="1:19" x14ac:dyDescent="0.35">
      <c r="A14" s="331"/>
      <c r="B14" s="331"/>
      <c r="C14" s="77" t="s">
        <v>111</v>
      </c>
      <c r="D14" s="82"/>
      <c r="E14" s="331"/>
      <c r="F14" s="331"/>
      <c r="G14" s="331"/>
      <c r="H14" s="436">
        <f>(IF(H8=1,INDEX('Revenue Assumptions'!$F$108:$P$108,MATCH((2000+VALUE(RIGHT(H$6,2))),'Revenue Assumptions'!$F$35:$P$35,0))*Scenarios!$B$6,0))</f>
        <v>0</v>
      </c>
      <c r="I14" s="436">
        <f>(IF(I8=1,INDEX('Revenue Assumptions'!$F$108:$P$108,MATCH((2000+VALUE(RIGHT(I$6,2))),'Revenue Assumptions'!$F$35:$P$35,0))*Scenarios!$B$6,0))</f>
        <v>0</v>
      </c>
      <c r="J14" s="436">
        <f>(IF(J8=1,INDEX('Revenue Assumptions'!$F$108:$P$108,MATCH((2000+VALUE(RIGHT(J$6,2))),'Revenue Assumptions'!$F$35:$P$35,0))*Scenarios!$B$6,0))</f>
        <v>0</v>
      </c>
      <c r="K14" s="436">
        <f>(IF(K8=1,INDEX('Revenue Assumptions'!$F$108:$P$108,MATCH((2000+VALUE(RIGHT(K$6,2))),'Revenue Assumptions'!$F$35:$P$35,0))*Scenarios!$B$6,0))</f>
        <v>5428852.4531500004</v>
      </c>
      <c r="L14" s="436">
        <f>(IF(L8=1,INDEX('Revenue Assumptions'!$F$108:$P$108,MATCH((2000+VALUE(RIGHT(L$6,2))),'Revenue Assumptions'!$F$35:$P$35,0))*Scenarios!$B$6,0))</f>
        <v>5879207.4587852508</v>
      </c>
      <c r="M14" s="436">
        <f>(IF(M8=1,INDEX('Revenue Assumptions'!$F$108:$P$108,MATCH((2000+VALUE(RIGHT(M$6,2))),'Revenue Assumptions'!$F$35:$P$35,0))*Scenarios!$B$6,0))</f>
        <v>6281388.4373175018</v>
      </c>
      <c r="N14" s="436">
        <f>(IF(N8=1,INDEX('Revenue Assumptions'!$F$108:$P$108,MATCH((2000+VALUE(RIGHT(N$6,2))),'Revenue Assumptions'!$F$35:$P$35,0))*Scenarios!$B$6,0))</f>
        <v>6469770.1904370254</v>
      </c>
      <c r="O14" s="436">
        <f>(IF(O8=1,INDEX('Revenue Assumptions'!$F$108:$P$108,MATCH((2000+VALUE(RIGHT(O$6,2))),'Revenue Assumptions'!$F$35:$P$35,0))*Scenarios!$B$6,0))</f>
        <v>6663803.3661501352</v>
      </c>
      <c r="P14" s="436">
        <f>(IF(P8=1,INDEX('Revenue Assumptions'!$F$108:$P$108,MATCH((2000+VALUE(RIGHT(P$6,2))),'Revenue Assumptions'!$F$35:$P$35,0))*Scenarios!$B$6,0))</f>
        <v>6863657.5071346397</v>
      </c>
      <c r="Q14" s="436">
        <f>(IF(Q8=1,INDEX('Revenue Assumptions'!$F$108:$P$108,MATCH((2000+VALUE(RIGHT(Q$6,2))),'Revenue Assumptions'!$F$35:$P$35,0))*Scenarios!$B$6,0))</f>
        <v>7069507.2423486803</v>
      </c>
      <c r="R14" s="436">
        <f>(IF(R8=1,INDEX('Revenue Assumptions'!$F$108:$P$108,MATCH((2000+VALUE(RIGHT(R$6,2))),'Revenue Assumptions'!$F$35:$P$35,0))*Scenarios!$B$6,0))</f>
        <v>7281532.4396191388</v>
      </c>
      <c r="S14" s="436">
        <f>(IF(S8=1,INDEX('Revenue Assumptions'!$F$108:$P$108,MATCH((2000+VALUE(RIGHT(S$6,2))),'Revenue Assumptions'!$F$35:$P$35,0))*Scenarios!$B$6,0))</f>
        <v>7499918.3628077153</v>
      </c>
    </row>
    <row r="15" spans="1:19" x14ac:dyDescent="0.35">
      <c r="A15" s="331"/>
      <c r="B15" s="331"/>
      <c r="C15" s="77" t="s">
        <v>113</v>
      </c>
      <c r="D15" s="82"/>
      <c r="E15" s="331"/>
      <c r="F15" s="331"/>
      <c r="G15" s="331"/>
      <c r="H15" s="436">
        <f>(IF(H8=1,INDEX('Revenue Assumptions'!$F$124:$P$124,MATCH((2000+VALUE(RIGHT(H$6,2))),'Revenue Assumptions'!$F$35:$P$35,0))*Scenarios!$B$6,0))</f>
        <v>0</v>
      </c>
      <c r="I15" s="436">
        <f>(IF(I8=1,INDEX('Revenue Assumptions'!$F$124:$P$124,MATCH((2000+VALUE(RIGHT(I$6,2))),'Revenue Assumptions'!$F$35:$P$35,0))*Scenarios!$B$6,0))</f>
        <v>0</v>
      </c>
      <c r="J15" s="436">
        <f>(IF(J8=1,INDEX('Revenue Assumptions'!$F$124:$P$124,MATCH((2000+VALUE(RIGHT(J$6,2))),'Revenue Assumptions'!$F$35:$P$35,0))*Scenarios!$B$6,0))</f>
        <v>0</v>
      </c>
      <c r="K15" s="436">
        <f>(IF(K8=1,INDEX('Revenue Assumptions'!$F$124:$P$124,MATCH((2000+VALUE(RIGHT(K$6,2))),'Revenue Assumptions'!$F$35:$P$35,0))*Scenarios!$B$6,0))</f>
        <v>754257.02625000011</v>
      </c>
      <c r="L15" s="436">
        <f>(IF(L8=1,INDEX('Revenue Assumptions'!$F$124:$P$124,MATCH((2000+VALUE(RIGHT(L$6,2))),'Revenue Assumptions'!$F$35:$P$35,0))*Scenarios!$B$6,0))</f>
        <v>832673.88750000007</v>
      </c>
      <c r="M15" s="436">
        <f>(IF(M8=1,INDEX('Revenue Assumptions'!$F$124:$P$124,MATCH((2000+VALUE(RIGHT(M$6,2))),'Revenue Assumptions'!$F$35:$P$35,0))*Scenarios!$B$6,0))</f>
        <v>857654.10412499984</v>
      </c>
      <c r="N15" s="436">
        <f>(IF(N8=1,INDEX('Revenue Assumptions'!$F$124:$P$124,MATCH((2000+VALUE(RIGHT(N$6,2))),'Revenue Assumptions'!$F$35:$P$35,0))*Scenarios!$B$6,0))</f>
        <v>883383.72724874981</v>
      </c>
      <c r="O15" s="436">
        <f>(IF(O8=1,INDEX('Revenue Assumptions'!$F$124:$P$124,MATCH((2000+VALUE(RIGHT(O$6,2))),'Revenue Assumptions'!$F$35:$P$35,0))*Scenarios!$B$6,0))</f>
        <v>909885.23906621255</v>
      </c>
      <c r="P15" s="436">
        <f>(IF(P8=1,INDEX('Revenue Assumptions'!$F$124:$P$124,MATCH((2000+VALUE(RIGHT(P$6,2))),'Revenue Assumptions'!$F$35:$P$35,0))*Scenarios!$B$6,0))</f>
        <v>937181.79623819899</v>
      </c>
      <c r="Q15" s="436">
        <f>(IF(Q8=1,INDEX('Revenue Assumptions'!$F$124:$P$124,MATCH((2000+VALUE(RIGHT(Q$6,2))),'Revenue Assumptions'!$F$35:$P$35,0))*Scenarios!$B$6,0))</f>
        <v>965297.25012534508</v>
      </c>
      <c r="R15" s="436">
        <f>(IF(R8=1,INDEX('Revenue Assumptions'!$F$124:$P$124,MATCH((2000+VALUE(RIGHT(R$6,2))),'Revenue Assumptions'!$F$35:$P$35,0))*Scenarios!$B$6,0))</f>
        <v>994256.16762910539</v>
      </c>
      <c r="S15" s="436">
        <f>(IF(S8=1,INDEX('Revenue Assumptions'!$F$124:$P$124,MATCH((2000+VALUE(RIGHT(S$6,2))),'Revenue Assumptions'!$F$35:$P$35,0))*Scenarios!$B$6,0))</f>
        <v>1024083.8526579784</v>
      </c>
    </row>
    <row r="16" spans="1:19" x14ac:dyDescent="0.35">
      <c r="A16" s="331"/>
      <c r="B16" s="331"/>
      <c r="C16" s="77" t="s">
        <v>115</v>
      </c>
      <c r="D16" s="82"/>
      <c r="E16" s="331"/>
      <c r="F16" s="331"/>
      <c r="G16" s="331"/>
      <c r="H16" s="436">
        <f>(IF(H8=1,INDEX('Revenue Assumptions'!$F$159:$P$159,MATCH((2000+VALUE(RIGHT(H$6,2))),'Revenue Assumptions'!$F$35:$P$35,0))*Scenarios!$B$6,0))</f>
        <v>0</v>
      </c>
      <c r="I16" s="436">
        <f>(IF(I8=1,INDEX('Revenue Assumptions'!$F$159:$P$159,MATCH((2000+VALUE(RIGHT(I$6,2))),'Revenue Assumptions'!$F$35:$P$35,0))*Scenarios!$B$6,0))</f>
        <v>0</v>
      </c>
      <c r="J16" s="436">
        <f>(IF(J8=1,INDEX('Revenue Assumptions'!$F$159:$P$159,MATCH((2000+VALUE(RIGHT(J$6,2))),'Revenue Assumptions'!$F$35:$P$35,0))*Scenarios!$B$6,0))</f>
        <v>0</v>
      </c>
      <c r="K16" s="436">
        <f>(IF(K8=1,INDEX('Revenue Assumptions'!$F$159:$P$159,MATCH((2000+VALUE(RIGHT(K$6,2))),'Revenue Assumptions'!$F$35:$P$35,0))*Scenarios!$B$6,0))</f>
        <v>111570.93900000001</v>
      </c>
      <c r="L16" s="436">
        <f>(IF(L8=1,INDEX('Revenue Assumptions'!$F$159:$P$159,MATCH((2000+VALUE(RIGHT(L$6,2))),'Revenue Assumptions'!$F$35:$P$35,0))*Scenarios!$B$6,0))</f>
        <v>119583</v>
      </c>
      <c r="M16" s="436">
        <f>(IF(M8=1,INDEX('Revenue Assumptions'!$F$159:$P$159,MATCH((2000+VALUE(RIGHT(M$6,2))),'Revenue Assumptions'!$F$35:$P$35,0))*Scenarios!$B$6,0))</f>
        <v>119583</v>
      </c>
      <c r="N16" s="436">
        <f>(IF(N8=1,INDEX('Revenue Assumptions'!$F$159:$P$159,MATCH((2000+VALUE(RIGHT(N$6,2))),'Revenue Assumptions'!$F$35:$P$35,0))*Scenarios!$B$6,0))</f>
        <v>123170.49</v>
      </c>
      <c r="O16" s="436">
        <f>(IF(O8=1,INDEX('Revenue Assumptions'!$F$159:$P$159,MATCH((2000+VALUE(RIGHT(O$6,2))),'Revenue Assumptions'!$F$35:$P$35,0))*Scenarios!$B$6,0))</f>
        <v>126865.60470000001</v>
      </c>
      <c r="P16" s="436">
        <f>(IF(P8=1,INDEX('Revenue Assumptions'!$F$159:$P$159,MATCH((2000+VALUE(RIGHT(P$6,2))),'Revenue Assumptions'!$F$35:$P$35,0))*Scenarios!$B$6,0))</f>
        <v>130671.57284100002</v>
      </c>
      <c r="Q16" s="436">
        <f>(IF(Q8=1,INDEX('Revenue Assumptions'!$F$159:$P$159,MATCH((2000+VALUE(RIGHT(Q$6,2))),'Revenue Assumptions'!$F$35:$P$35,0))*Scenarios!$B$6,0))</f>
        <v>134591.72002623003</v>
      </c>
      <c r="R16" s="436">
        <f>(IF(R8=1,INDEX('Revenue Assumptions'!$F$159:$P$159,MATCH((2000+VALUE(RIGHT(R$6,2))),'Revenue Assumptions'!$F$35:$P$35,0))*Scenarios!$B$6,0))</f>
        <v>138629.4716270169</v>
      </c>
      <c r="S16" s="436">
        <f>(IF(S8=1,INDEX('Revenue Assumptions'!$F$159:$P$159,MATCH((2000+VALUE(RIGHT(S$6,2))),'Revenue Assumptions'!$F$35:$P$35,0))*Scenarios!$B$6,0))</f>
        <v>142788.35577582745</v>
      </c>
    </row>
    <row r="17" spans="1:19" x14ac:dyDescent="0.35">
      <c r="A17" s="331"/>
      <c r="B17" s="331"/>
      <c r="C17" s="77" t="s">
        <v>117</v>
      </c>
      <c r="D17" s="82"/>
      <c r="E17" s="331"/>
      <c r="F17" s="331"/>
      <c r="G17" s="331"/>
      <c r="H17" s="436">
        <f>(IF(H8=1,INDEX('Revenue Assumptions'!$F$141:$P$141,MATCH((2000+VALUE(RIGHT(H$6,2))),'Revenue Assumptions'!$F$35:$P$35,0))*Scenarios!$B$6,0))</f>
        <v>0</v>
      </c>
      <c r="I17" s="436">
        <f>(IF(I8=1,INDEX('Revenue Assumptions'!$F$141:$P$141,MATCH((2000+VALUE(RIGHT(I$6,2))),'Revenue Assumptions'!$F$35:$P$35,0))*Scenarios!$B$6,0))</f>
        <v>0</v>
      </c>
      <c r="J17" s="436">
        <f>(IF(J8=1,INDEX('Revenue Assumptions'!$F$141:$P$141,MATCH((2000+VALUE(RIGHT(J$6,2))),'Revenue Assumptions'!$F$35:$P$35,0))*Scenarios!$B$6,0))</f>
        <v>0</v>
      </c>
      <c r="K17" s="436">
        <f>'Revenue Assumptions'!F159</f>
        <v>106115.40000000001</v>
      </c>
      <c r="L17" s="436">
        <f>'Revenue Assumptions'!G159</f>
        <v>111570.93900000001</v>
      </c>
      <c r="M17" s="436">
        <f>'Revenue Assumptions'!H159</f>
        <v>119583</v>
      </c>
      <c r="N17" s="436">
        <f>'Revenue Assumptions'!I159</f>
        <v>119583</v>
      </c>
      <c r="O17" s="436">
        <f>'Revenue Assumptions'!J159</f>
        <v>123170.49</v>
      </c>
      <c r="P17" s="436">
        <f>'Revenue Assumptions'!K159</f>
        <v>126865.60470000001</v>
      </c>
      <c r="Q17" s="436">
        <f>'Revenue Assumptions'!L159</f>
        <v>130671.57284100002</v>
      </c>
      <c r="R17" s="436">
        <f>'Revenue Assumptions'!M159</f>
        <v>134591.72002623003</v>
      </c>
      <c r="S17" s="436">
        <f>'Revenue Assumptions'!N159</f>
        <v>138629.4716270169</v>
      </c>
    </row>
    <row r="18" spans="1:19" x14ac:dyDescent="0.35">
      <c r="A18" s="331"/>
      <c r="B18" s="331"/>
      <c r="C18" s="77" t="s">
        <v>119</v>
      </c>
      <c r="D18" s="82"/>
      <c r="E18" s="331"/>
      <c r="F18" s="331"/>
      <c r="G18" s="331"/>
      <c r="H18" s="436">
        <f>IF(H$8=1,INDEX('Calendar Assumptions'!$F$52:$Q$52,MATCH((2000+VALUE(RIGHT(H$6,2))),'Calendar Assumptions'!$F$2:$Q$2,0))*Inputs!$E$192*Scenarios!$B$6,0)</f>
        <v>0</v>
      </c>
      <c r="I18" s="436">
        <f>IF(I$8=1,INDEX('Calendar Assumptions'!$F$52:$Q$52,MATCH((2000+VALUE(RIGHT(I$6,2))),'Calendar Assumptions'!$F$2:$Q$2,0))*Inputs!$E$192*Scenarios!$B$6,0)</f>
        <v>0</v>
      </c>
      <c r="J18" s="436">
        <f>IF(J$8=1,INDEX('Calendar Assumptions'!$F$52:$Q$52,MATCH((2000+VALUE(RIGHT(J$6,2))),'Calendar Assumptions'!$F$2:$Q$2,0))*Inputs!$E$192*Scenarios!$B$6,0)</f>
        <v>0</v>
      </c>
      <c r="K18" s="436">
        <f>'Revenue Assumptions'!F141</f>
        <v>5342413.7</v>
      </c>
      <c r="L18" s="436">
        <f>'Revenue Assumptions'!G141</f>
        <v>5635293.4095000001</v>
      </c>
      <c r="M18" s="436">
        <f>'Revenue Assumptions'!H141</f>
        <v>6039971.5</v>
      </c>
      <c r="N18" s="436">
        <f>'Revenue Assumptions'!I141</f>
        <v>6169462.585</v>
      </c>
      <c r="O18" s="436">
        <f>'Revenue Assumptions'!J141</f>
        <v>6354546.4625500003</v>
      </c>
      <c r="P18" s="436">
        <f>'Revenue Assumptions'!K141</f>
        <v>6545182.8564264998</v>
      </c>
      <c r="Q18" s="436">
        <f>'Revenue Assumptions'!L141</f>
        <v>6741538.3421192961</v>
      </c>
      <c r="R18" s="436">
        <f>'Revenue Assumptions'!M141</f>
        <v>6943784.4923828738</v>
      </c>
      <c r="S18" s="436">
        <f>'Revenue Assumptions'!N141</f>
        <v>7152098.02715436</v>
      </c>
    </row>
    <row r="19" spans="1:19" x14ac:dyDescent="0.35">
      <c r="A19" s="331"/>
      <c r="B19" s="331"/>
      <c r="C19" s="77" t="s">
        <v>1222</v>
      </c>
      <c r="D19" s="82"/>
      <c r="E19" s="331"/>
      <c r="F19" s="331"/>
      <c r="G19" s="331"/>
      <c r="H19" s="436">
        <f>IF(H$8=1,INDEX('Calendar Assumptions'!$F$16:$Q$16,MATCH((2000+VALUE(RIGHT(H$6,2))),'Calendar Assumptions'!$F$2:$Q$2,0))*Inputs!$E$194*Scenarios!$B$6,0)</f>
        <v>0</v>
      </c>
      <c r="I19" s="436">
        <f>IF(I$8=1,INDEX('Calendar Assumptions'!$F$16:$Q$16,MATCH((2000+VALUE(RIGHT(I$6,2))),'Calendar Assumptions'!$F$2:$Q$2,0))*Inputs!$E$194*Scenarios!$B$6,0)</f>
        <v>0</v>
      </c>
      <c r="J19" s="436">
        <f>IF(J$8=1,INDEX('Calendar Assumptions'!$F$16:$Q$16,MATCH((2000+VALUE(RIGHT(J$6,2))),'Calendar Assumptions'!$F$2:$Q$2,0))*Inputs!$E$194*Scenarios!$B$6,0)</f>
        <v>0</v>
      </c>
      <c r="K19" s="436">
        <f>Inputs!$E$192*'Calendar Assumptions'!F52</f>
        <v>1635202.8585000001</v>
      </c>
      <c r="L19" s="436">
        <f>Inputs!$E$192*'Calendar Assumptions'!G52</f>
        <v>1669916.6622000001</v>
      </c>
      <c r="M19" s="436">
        <f>Inputs!$E$192*'Calendar Assumptions'!H52</f>
        <v>1704630.4659000002</v>
      </c>
      <c r="N19" s="436">
        <f>Inputs!$E$192*'Calendar Assumptions'!I52</f>
        <v>1827042.2999999998</v>
      </c>
      <c r="O19" s="436">
        <f>Inputs!$E$192*'Calendar Assumptions'!J52</f>
        <v>1827042.2999999998</v>
      </c>
      <c r="P19" s="436">
        <f>Inputs!$E$192*'Calendar Assumptions'!K52</f>
        <v>1827042.2999999998</v>
      </c>
      <c r="Q19" s="436">
        <f>Inputs!$E$192*'Calendar Assumptions'!L52</f>
        <v>1827042.2999999998</v>
      </c>
      <c r="R19" s="436">
        <f>Inputs!$E$192*'Calendar Assumptions'!M52</f>
        <v>1827042.2999999998</v>
      </c>
      <c r="S19" s="436">
        <f>Inputs!$E$192*'Calendar Assumptions'!N52</f>
        <v>1827042.2999999998</v>
      </c>
    </row>
    <row r="20" spans="1:19" x14ac:dyDescent="0.35">
      <c r="A20" s="331"/>
      <c r="B20" s="331"/>
      <c r="C20" s="77" t="s">
        <v>121</v>
      </c>
      <c r="D20" s="82"/>
      <c r="E20" s="331"/>
      <c r="F20" s="331"/>
      <c r="G20" s="331"/>
      <c r="H20" s="436">
        <f>IF(H$8=1,INDEX('Calendar Assumptions'!$F$83:$Q$83,MATCH((2000+VALUE(RIGHT(H$6,2))),'Calendar Assumptions'!$F$2:$Q$2,0))*Scenarios!$B$6,0)</f>
        <v>0</v>
      </c>
      <c r="I20" s="436">
        <f>IF(I$8=1,INDEX('Calendar Assumptions'!$F$83:$Q$83,MATCH((2000+VALUE(RIGHT(I$6,2))),'Calendar Assumptions'!$F$2:$Q$2,0))*Scenarios!$B$6,0)</f>
        <v>0</v>
      </c>
      <c r="J20" s="436">
        <f>IF(J$8=1,INDEX('Calendar Assumptions'!$F$83:$Q$83,MATCH((2000+VALUE(RIGHT(J$6,2))),'Calendar Assumptions'!$F$2:$Q$2,0))*Scenarios!$B$6,0)</f>
        <v>0</v>
      </c>
      <c r="K20" s="436">
        <f>'Calendar Assumptions'!G83</f>
        <v>2328872</v>
      </c>
      <c r="L20" s="436">
        <f>'Calendar Assumptions'!H83</f>
        <v>2377284</v>
      </c>
      <c r="M20" s="436">
        <f>'Calendar Assumptions'!I83</f>
        <v>2548000</v>
      </c>
      <c r="N20" s="436">
        <f>'Calendar Assumptions'!J83</f>
        <v>2548000</v>
      </c>
      <c r="O20" s="436">
        <f>'Calendar Assumptions'!K83</f>
        <v>2548000</v>
      </c>
      <c r="P20" s="436">
        <f>'Calendar Assumptions'!L83</f>
        <v>2548000</v>
      </c>
      <c r="Q20" s="436">
        <f>'Calendar Assumptions'!M83</f>
        <v>2548000</v>
      </c>
      <c r="R20" s="436">
        <f>'Calendar Assumptions'!N83</f>
        <v>2548000</v>
      </c>
      <c r="S20" s="436">
        <f>'Calendar Assumptions'!O83</f>
        <v>2548000</v>
      </c>
    </row>
    <row r="21" spans="1:19" x14ac:dyDescent="0.35">
      <c r="A21" s="331"/>
      <c r="B21" s="331"/>
      <c r="C21" s="79" t="str">
        <f>"Total "&amp; C13</f>
        <v>Total Event day revenue</v>
      </c>
      <c r="D21" s="82"/>
      <c r="E21" s="331"/>
      <c r="F21" s="331"/>
      <c r="G21" s="331"/>
      <c r="H21" s="436">
        <f t="shared" ref="H21:S21" si="5">SUM(H14:H20)</f>
        <v>0</v>
      </c>
      <c r="I21" s="436">
        <f t="shared" si="5"/>
        <v>0</v>
      </c>
      <c r="J21" s="436">
        <f t="shared" si="5"/>
        <v>0</v>
      </c>
      <c r="K21" s="436">
        <f t="shared" si="5"/>
        <v>15707284.376900002</v>
      </c>
      <c r="L21" s="436">
        <f t="shared" si="5"/>
        <v>16625529.356985252</v>
      </c>
      <c r="M21" s="436">
        <f t="shared" si="5"/>
        <v>17670810.507342502</v>
      </c>
      <c r="N21" s="436">
        <f t="shared" si="5"/>
        <v>18140412.292685777</v>
      </c>
      <c r="O21" s="436">
        <f t="shared" si="5"/>
        <v>18553313.462466348</v>
      </c>
      <c r="P21" s="436">
        <f t="shared" si="5"/>
        <v>18978601.637340337</v>
      </c>
      <c r="Q21" s="436">
        <f t="shared" si="5"/>
        <v>19416648.427460551</v>
      </c>
      <c r="R21" s="436">
        <f t="shared" si="5"/>
        <v>19867836.591284364</v>
      </c>
      <c r="S21" s="436">
        <f t="shared" si="5"/>
        <v>20332560.3700229</v>
      </c>
    </row>
    <row r="22" spans="1:19" x14ac:dyDescent="0.35">
      <c r="A22" s="331"/>
      <c r="B22" s="331"/>
      <c r="C22" s="331"/>
      <c r="D22" s="331"/>
      <c r="E22" s="331"/>
      <c r="F22" s="331"/>
      <c r="G22" s="331"/>
      <c r="H22" s="436"/>
      <c r="I22" s="436"/>
      <c r="J22" s="436"/>
      <c r="K22" s="436"/>
      <c r="L22" s="436"/>
      <c r="M22" s="436"/>
      <c r="N22" s="436"/>
      <c r="O22" s="436"/>
      <c r="P22" s="436"/>
      <c r="Q22" s="436"/>
      <c r="R22" s="436"/>
      <c r="S22" s="436"/>
    </row>
    <row r="23" spans="1:19" x14ac:dyDescent="0.35">
      <c r="A23" s="331"/>
      <c r="B23" s="331"/>
      <c r="C23" s="77" t="s">
        <v>1223</v>
      </c>
      <c r="D23" s="331"/>
      <c r="E23" s="331"/>
      <c r="F23" s="331"/>
      <c r="G23" s="331"/>
      <c r="H23" s="436"/>
      <c r="I23" s="436"/>
      <c r="J23" s="436"/>
      <c r="K23" s="436"/>
      <c r="L23" s="436"/>
      <c r="M23" s="436"/>
      <c r="N23" s="436"/>
      <c r="O23" s="436"/>
      <c r="P23" s="436"/>
      <c r="Q23" s="436"/>
      <c r="R23" s="436"/>
      <c r="S23" s="436"/>
    </row>
    <row r="24" spans="1:19" x14ac:dyDescent="0.35">
      <c r="A24" s="331"/>
      <c r="B24" s="331"/>
      <c r="C24" s="77" t="s">
        <v>1224</v>
      </c>
      <c r="D24" s="82"/>
      <c r="E24" s="331"/>
      <c r="F24" s="331"/>
      <c r="G24" s="331"/>
      <c r="H24" s="436">
        <f>IF(H8=1,INDEX('Revenue Assumptions'!$F$175:$P$175,MATCH((2000+VALUE(RIGHT(H$6,2))),'Revenue Assumptions'!$F$35:$P$35,0))*Scenarios!$B$6,0)</f>
        <v>0</v>
      </c>
      <c r="I24" s="436">
        <f>IF(I8=1,INDEX('Revenue Assumptions'!$F$175:$P$175,MATCH((2000+VALUE(RIGHT(I$6,2))),'Revenue Assumptions'!$F$35:$P$35,0))*Scenarios!$B$6,0)</f>
        <v>0</v>
      </c>
      <c r="J24" s="436">
        <f>IF(J8=1,INDEX('Revenue Assumptions'!$F$175:$P$175,MATCH((2000+VALUE(RIGHT(J$6,2))),'Revenue Assumptions'!$F$35:$P$35,0))*Scenarios!$B$6,0)</f>
        <v>0</v>
      </c>
      <c r="K24" s="436">
        <f>IF(K8=1,INDEX('Revenue Assumptions'!$F$175:$P$175,MATCH((2000+VALUE(RIGHT(K$6,2))),'Revenue Assumptions'!$F$35:$P$35,0))*Scenarios!$B$6,0)</f>
        <v>1896250</v>
      </c>
      <c r="L24" s="436">
        <f>IF(L8=1,INDEX('Revenue Assumptions'!$F$175:$P$175,MATCH((2000+VALUE(RIGHT(L$6,2))),'Revenue Assumptions'!$F$35:$P$35,0))*Scenarios!$B$6,0)</f>
        <v>1943656.25</v>
      </c>
      <c r="M24" s="436">
        <f>IF(M8=1,INDEX('Revenue Assumptions'!$F$175:$P$175,MATCH((2000+VALUE(RIGHT(M$6,2))),'Revenue Assumptions'!$F$35:$P$35,0))*Scenarios!$B$6,0)</f>
        <v>1992247.6562499998</v>
      </c>
      <c r="N24" s="436">
        <f>IF(N8=1,INDEX('Revenue Assumptions'!$F$175:$P$175,MATCH((2000+VALUE(RIGHT(N$6,2))),'Revenue Assumptions'!$F$35:$P$35,0))*Scenarios!$B$6,0)</f>
        <v>2042053.8476562495</v>
      </c>
      <c r="O24" s="436">
        <f>IF(O8=1,INDEX('Revenue Assumptions'!$F$175:$P$175,MATCH((2000+VALUE(RIGHT(O$6,2))),'Revenue Assumptions'!$F$35:$P$35,0))*Scenarios!$B$6,0)</f>
        <v>2093105.1938476556</v>
      </c>
      <c r="P24" s="436">
        <f>IF(P8=1,INDEX('Revenue Assumptions'!$F$175:$P$175,MATCH((2000+VALUE(RIGHT(P$6,2))),'Revenue Assumptions'!$F$35:$P$35,0))*Scenarios!$B$6,0)</f>
        <v>2145432.8236938468</v>
      </c>
      <c r="Q24" s="436">
        <f>IF(Q8=1,INDEX('Revenue Assumptions'!$F$175:$P$175,MATCH((2000+VALUE(RIGHT(Q$6,2))),'Revenue Assumptions'!$F$35:$P$35,0))*Scenarios!$B$6,0)</f>
        <v>2199068.644286193</v>
      </c>
      <c r="R24" s="436">
        <f>IF(R8=1,INDEX('Revenue Assumptions'!$F$175:$P$175,MATCH((2000+VALUE(RIGHT(R$6,2))),'Revenue Assumptions'!$F$35:$P$35,0))*Scenarios!$B$6,0)</f>
        <v>2254045.3603933472</v>
      </c>
      <c r="S24" s="436">
        <f>IF(S8=1,INDEX('Revenue Assumptions'!$F$175:$P$175,MATCH((2000+VALUE(RIGHT(S$6,2))),'Revenue Assumptions'!$F$35:$P$35,0))*Scenarios!$B$6,0)</f>
        <v>2310396.4944031811</v>
      </c>
    </row>
    <row r="25" spans="1:19" x14ac:dyDescent="0.35">
      <c r="A25" s="331"/>
      <c r="B25" s="331"/>
      <c r="C25" s="77" t="s">
        <v>125</v>
      </c>
      <c r="D25" s="82"/>
      <c r="E25" s="331"/>
      <c r="F25" s="331"/>
      <c r="G25" s="331"/>
      <c r="H25" s="436">
        <f>(IF(H8=1,INDEX('Revenue Assumptions'!$F$183:$P$183,MATCH((2000+VALUE(RIGHT(H$6,2))),'Revenue Assumptions'!$F$35:$P$35,0))*Scenarios!$B$6,0))</f>
        <v>0</v>
      </c>
      <c r="I25" s="436">
        <f>(IF(I8=1,INDEX('Revenue Assumptions'!$F$183:$P$183,MATCH((2000+VALUE(RIGHT(I$6,2))),'Revenue Assumptions'!$F$35:$P$35,0))*Scenarios!$B$6,0))</f>
        <v>0</v>
      </c>
      <c r="J25" s="436">
        <f>(IF(J8=1,INDEX('Revenue Assumptions'!$F$183:$P$183,MATCH((2000+VALUE(RIGHT(J$6,2))),'Revenue Assumptions'!$F$35:$P$35,0))*Scenarios!$B$6,0))</f>
        <v>0</v>
      </c>
      <c r="K25" s="436">
        <f>(IF(K8=1,INDEX('Revenue Assumptions'!$F$183:$P$183,MATCH((2000+VALUE(RIGHT(K$6,2))),'Revenue Assumptions'!$F$35:$P$35,0))*Scenarios!$B$6,0))</f>
        <v>589374.99999999988</v>
      </c>
      <c r="L25" s="436">
        <f>(IF(L8=1,INDEX('Revenue Assumptions'!$F$183:$P$183,MATCH((2000+VALUE(RIGHT(L$6,2))),'Revenue Assumptions'!$F$35:$P$35,0))*Scenarios!$B$6,0))</f>
        <v>604109.37499999977</v>
      </c>
      <c r="M25" s="436">
        <f>(IF(M8=1,INDEX('Revenue Assumptions'!$F$183:$P$183,MATCH((2000+VALUE(RIGHT(M$6,2))),'Revenue Assumptions'!$F$35:$P$35,0))*Scenarios!$B$6,0))</f>
        <v>619212.10937499977</v>
      </c>
      <c r="N25" s="436">
        <f>(IF(N8=1,INDEX('Revenue Assumptions'!$F$183:$P$183,MATCH((2000+VALUE(RIGHT(N$6,2))),'Revenue Assumptions'!$F$35:$P$35,0))*Scenarios!$B$6,0))</f>
        <v>634692.41210937465</v>
      </c>
      <c r="O25" s="436">
        <f>(IF(O8=1,INDEX('Revenue Assumptions'!$F$183:$P$183,MATCH((2000+VALUE(RIGHT(O$6,2))),'Revenue Assumptions'!$F$35:$P$35,0))*Scenarios!$B$6,0))</f>
        <v>650559.72241210891</v>
      </c>
      <c r="P25" s="436">
        <f>(IF(P8=1,INDEX('Revenue Assumptions'!$F$183:$P$183,MATCH((2000+VALUE(RIGHT(P$6,2))),'Revenue Assumptions'!$F$35:$P$35,0))*Scenarios!$B$6,0))</f>
        <v>666823.7154724116</v>
      </c>
      <c r="Q25" s="436">
        <f>(IF(Q8=1,INDEX('Revenue Assumptions'!$F$183:$P$183,MATCH((2000+VALUE(RIGHT(Q$6,2))),'Revenue Assumptions'!$F$35:$P$35,0))*Scenarios!$B$6,0))</f>
        <v>683494.30835922179</v>
      </c>
      <c r="R25" s="436">
        <f>(IF(R8=1,INDEX('Revenue Assumptions'!$F$183:$P$183,MATCH((2000+VALUE(RIGHT(R$6,2))),'Revenue Assumptions'!$F$35:$P$35,0))*Scenarios!$B$6,0))</f>
        <v>700581.66606820235</v>
      </c>
      <c r="S25" s="436">
        <f>(IF(S8=1,INDEX('Revenue Assumptions'!$F$183:$P$183,MATCH((2000+VALUE(RIGHT(S$6,2))),'Revenue Assumptions'!$F$35:$P$35,0))*Scenarios!$B$6,0))</f>
        <v>718096.2077199074</v>
      </c>
    </row>
    <row r="26" spans="1:19" x14ac:dyDescent="0.35">
      <c r="A26" s="331"/>
      <c r="B26" s="331"/>
      <c r="C26" s="79" t="str">
        <f>"Total "&amp; C23</f>
        <v>Total Non-event day revenue</v>
      </c>
      <c r="D26" s="82"/>
      <c r="E26" s="331"/>
      <c r="F26" s="331"/>
      <c r="G26" s="331"/>
      <c r="H26" s="436">
        <f t="shared" ref="H26:S26" si="6">H24+H25</f>
        <v>0</v>
      </c>
      <c r="I26" s="436">
        <f t="shared" si="6"/>
        <v>0</v>
      </c>
      <c r="J26" s="436">
        <f t="shared" si="6"/>
        <v>0</v>
      </c>
      <c r="K26" s="436">
        <f t="shared" si="6"/>
        <v>2485625</v>
      </c>
      <c r="L26" s="436">
        <f t="shared" si="6"/>
        <v>2547765.625</v>
      </c>
      <c r="M26" s="436">
        <f t="shared" si="6"/>
        <v>2611459.7656249995</v>
      </c>
      <c r="N26" s="436">
        <f t="shared" si="6"/>
        <v>2676746.2597656241</v>
      </c>
      <c r="O26" s="436">
        <f t="shared" si="6"/>
        <v>2743664.9162597647</v>
      </c>
      <c r="P26" s="436">
        <f t="shared" si="6"/>
        <v>2812256.5391662586</v>
      </c>
      <c r="Q26" s="436">
        <f t="shared" si="6"/>
        <v>2882562.9526454145</v>
      </c>
      <c r="R26" s="436">
        <f t="shared" si="6"/>
        <v>2954627.0264615496</v>
      </c>
      <c r="S26" s="436">
        <f t="shared" si="6"/>
        <v>3028492.7021230888</v>
      </c>
    </row>
    <row r="27" spans="1:19" x14ac:dyDescent="0.35">
      <c r="A27" s="331"/>
      <c r="B27" s="331"/>
      <c r="C27" s="331"/>
      <c r="D27" s="331"/>
      <c r="E27" s="331"/>
      <c r="F27" s="331"/>
      <c r="G27" s="331"/>
      <c r="H27" s="436"/>
      <c r="I27" s="436"/>
      <c r="J27" s="436"/>
      <c r="K27" s="436"/>
      <c r="L27" s="436"/>
      <c r="M27" s="436"/>
      <c r="N27" s="436"/>
      <c r="O27" s="436"/>
      <c r="P27" s="436"/>
      <c r="Q27" s="436"/>
      <c r="R27" s="436"/>
      <c r="S27" s="436"/>
    </row>
    <row r="28" spans="1:19" ht="15" customHeight="1" x14ac:dyDescent="0.35">
      <c r="A28" s="331"/>
      <c r="B28" s="331"/>
      <c r="C28" s="79" t="s">
        <v>92</v>
      </c>
      <c r="D28" s="82"/>
      <c r="E28" s="331"/>
      <c r="F28" s="331"/>
      <c r="G28" s="331"/>
      <c r="H28" s="436">
        <f t="shared" ref="H28:S28" si="7">H21+H26</f>
        <v>0</v>
      </c>
      <c r="I28" s="436">
        <f t="shared" si="7"/>
        <v>0</v>
      </c>
      <c r="J28" s="436">
        <f t="shared" si="7"/>
        <v>0</v>
      </c>
      <c r="K28" s="436">
        <f t="shared" si="7"/>
        <v>18192909.376900002</v>
      </c>
      <c r="L28" s="436">
        <f t="shared" si="7"/>
        <v>19173294.981985252</v>
      </c>
      <c r="M28" s="436">
        <f t="shared" si="7"/>
        <v>20282270.272967502</v>
      </c>
      <c r="N28" s="436">
        <f t="shared" si="7"/>
        <v>20817158.552451402</v>
      </c>
      <c r="O28" s="436">
        <f t="shared" si="7"/>
        <v>21296978.378726114</v>
      </c>
      <c r="P28" s="436">
        <f t="shared" si="7"/>
        <v>21790858.176506594</v>
      </c>
      <c r="Q28" s="436">
        <f t="shared" si="7"/>
        <v>22299211.380105965</v>
      </c>
      <c r="R28" s="436">
        <f t="shared" si="7"/>
        <v>22822463.617745914</v>
      </c>
      <c r="S28" s="436">
        <f t="shared" si="7"/>
        <v>23361053.072145991</v>
      </c>
    </row>
    <row r="29" spans="1:19" x14ac:dyDescent="0.35">
      <c r="A29" s="331"/>
      <c r="B29" s="331"/>
      <c r="C29" s="331"/>
      <c r="D29" s="331"/>
      <c r="E29" s="331"/>
      <c r="F29" s="331"/>
      <c r="G29" s="331"/>
      <c r="H29" s="436"/>
      <c r="I29" s="436"/>
      <c r="J29" s="436"/>
      <c r="K29" s="436"/>
      <c r="L29" s="436"/>
      <c r="M29" s="436"/>
      <c r="N29" s="436"/>
      <c r="O29" s="436"/>
      <c r="P29" s="436"/>
      <c r="Q29" s="436"/>
      <c r="R29" s="436"/>
      <c r="S29" s="436"/>
    </row>
    <row r="30" spans="1:19" x14ac:dyDescent="0.35">
      <c r="A30" s="331"/>
      <c r="B30" s="92" t="s">
        <v>1225</v>
      </c>
      <c r="C30" s="331"/>
      <c r="D30" s="331"/>
      <c r="E30" s="331"/>
      <c r="F30" s="331"/>
      <c r="G30" s="331"/>
      <c r="H30" s="436"/>
      <c r="I30" s="436"/>
      <c r="J30" s="436"/>
      <c r="K30" s="436"/>
      <c r="L30" s="436"/>
      <c r="M30" s="436"/>
      <c r="N30" s="436"/>
      <c r="O30" s="436"/>
      <c r="P30" s="436"/>
      <c r="Q30" s="436"/>
      <c r="R30" s="436"/>
      <c r="S30" s="436"/>
    </row>
    <row r="31" spans="1:19" x14ac:dyDescent="0.35">
      <c r="A31" s="331"/>
      <c r="B31" s="331"/>
      <c r="C31" s="77" t="s">
        <v>1226</v>
      </c>
      <c r="D31" s="331"/>
      <c r="E31" s="331"/>
      <c r="F31" s="331"/>
      <c r="G31" s="331"/>
      <c r="H31" s="436"/>
      <c r="I31" s="436"/>
      <c r="J31" s="436"/>
      <c r="K31" s="436"/>
      <c r="L31" s="436"/>
      <c r="M31" s="436"/>
      <c r="N31" s="436"/>
      <c r="O31" s="436"/>
      <c r="P31" s="436"/>
      <c r="Q31" s="436"/>
      <c r="R31" s="436"/>
      <c r="S31" s="436"/>
    </row>
    <row r="32" spans="1:19" x14ac:dyDescent="0.35">
      <c r="A32" s="331"/>
      <c r="B32" s="331"/>
      <c r="C32" s="77" t="s">
        <v>1227</v>
      </c>
      <c r="D32" s="82"/>
      <c r="E32" s="331"/>
      <c r="F32" s="331"/>
      <c r="G32" s="331"/>
      <c r="H32" s="436">
        <f>H17*Inputs!$E$250*Scenarios!$B$7</f>
        <v>0</v>
      </c>
      <c r="I32" s="436">
        <f>I17*Inputs!$E$250*Scenarios!$B$7</f>
        <v>0</v>
      </c>
      <c r="J32" s="436">
        <f>J17*Inputs!$E$250*Scenarios!$B$7</f>
        <v>0</v>
      </c>
      <c r="K32" s="436">
        <f>K17*Inputs!$E$250*Scenarios!$B$7</f>
        <v>31834.620000000003</v>
      </c>
      <c r="L32" s="436">
        <f>L17*Inputs!$E$250*Scenarios!$B$7</f>
        <v>33471.2817</v>
      </c>
      <c r="M32" s="436">
        <f>M17*Inputs!$E$250*Scenarios!$B$7</f>
        <v>35874.9</v>
      </c>
      <c r="N32" s="436">
        <f>N17*Inputs!$E$250*Scenarios!$B$7</f>
        <v>35874.9</v>
      </c>
      <c r="O32" s="436">
        <f>O17*Inputs!$E$250*Scenarios!$B$7</f>
        <v>36951.146999999997</v>
      </c>
      <c r="P32" s="436">
        <f>P17*Inputs!$E$250*Scenarios!$B$7</f>
        <v>38059.681410000005</v>
      </c>
      <c r="Q32" s="436">
        <f>Q17*Inputs!$E$250*Scenarios!$B$7</f>
        <v>39201.471852300005</v>
      </c>
      <c r="R32" s="436">
        <f>R17*Inputs!$E$250*Scenarios!$B$7</f>
        <v>40377.51600786901</v>
      </c>
      <c r="S32" s="436">
        <f>S17*Inputs!$E$250*Scenarios!$B$7</f>
        <v>41588.84148810507</v>
      </c>
    </row>
    <row r="33" spans="1:19" x14ac:dyDescent="0.35">
      <c r="A33" s="331"/>
      <c r="B33" s="331"/>
      <c r="C33" s="77" t="s">
        <v>1228</v>
      </c>
      <c r="D33" s="82"/>
      <c r="E33" s="331"/>
      <c r="F33" s="331"/>
      <c r="G33" s="331"/>
      <c r="H33" s="436">
        <f>H16*Inputs!$E$250*Scenarios!$B$7</f>
        <v>0</v>
      </c>
      <c r="I33" s="436">
        <f>I16*Inputs!$E$250*Scenarios!$B$7</f>
        <v>0</v>
      </c>
      <c r="J33" s="436">
        <f>J16*Inputs!$E$250*Scenarios!$B$7</f>
        <v>0</v>
      </c>
      <c r="K33" s="436">
        <f>K16*Inputs!$E$250*Scenarios!$B$7</f>
        <v>33471.2817</v>
      </c>
      <c r="L33" s="436">
        <f>L16*Inputs!$E$250*Scenarios!$B$7</f>
        <v>35874.9</v>
      </c>
      <c r="M33" s="436">
        <f>M16*Inputs!$E$250*Scenarios!$B$7</f>
        <v>35874.9</v>
      </c>
      <c r="N33" s="436">
        <f>N16*Inputs!$E$250*Scenarios!$B$7</f>
        <v>36951.146999999997</v>
      </c>
      <c r="O33" s="436">
        <f>O16*Inputs!$E$250*Scenarios!$B$7</f>
        <v>38059.681410000005</v>
      </c>
      <c r="P33" s="436">
        <f>P16*Inputs!$E$250*Scenarios!$B$7</f>
        <v>39201.471852300005</v>
      </c>
      <c r="Q33" s="436">
        <f>Q16*Inputs!$E$250*Scenarios!$B$7</f>
        <v>40377.51600786901</v>
      </c>
      <c r="R33" s="436">
        <f>R16*Inputs!$E$250*Scenarios!$B$7</f>
        <v>41588.84148810507</v>
      </c>
      <c r="S33" s="436">
        <f>S16*Inputs!$E$250*Scenarios!$B$7</f>
        <v>42836.506732748232</v>
      </c>
    </row>
    <row r="34" spans="1:19" x14ac:dyDescent="0.35">
      <c r="A34" s="331"/>
      <c r="B34" s="331"/>
      <c r="C34" s="77" t="s">
        <v>1229</v>
      </c>
      <c r="D34" s="82"/>
      <c r="E34" s="331"/>
      <c r="F34" s="331"/>
      <c r="G34" s="331"/>
      <c r="H34" s="436">
        <f>(H16+H17)*Inputs!$E$251*Scenarios!$B$7</f>
        <v>0</v>
      </c>
      <c r="I34" s="436">
        <f>(I16+I17)*Inputs!$E$251*Scenarios!$B$7</f>
        <v>0</v>
      </c>
      <c r="J34" s="436">
        <f>(J16+J17)*Inputs!$E$251*Scenarios!$B$7</f>
        <v>0</v>
      </c>
      <c r="K34" s="436">
        <f>(K16+K17)*Inputs!$E$251*Scenarios!$B$7</f>
        <v>10884.316950000002</v>
      </c>
      <c r="L34" s="436">
        <f>(L16+L17)*Inputs!$E$251*Scenarios!$B$7</f>
        <v>11557.696950000001</v>
      </c>
      <c r="M34" s="436">
        <f>(M16+M17)*Inputs!$E$251*Scenarios!$B$7</f>
        <v>11958.300000000001</v>
      </c>
      <c r="N34" s="436">
        <f>(N16+N17)*Inputs!$E$251*Scenarios!$B$7</f>
        <v>12137.674500000001</v>
      </c>
      <c r="O34" s="436">
        <f>(O16+O17)*Inputs!$E$251*Scenarios!$B$7</f>
        <v>12501.804735000002</v>
      </c>
      <c r="P34" s="436">
        <f>(P16+P17)*Inputs!$E$251*Scenarios!$B$7</f>
        <v>12876.858877050001</v>
      </c>
      <c r="Q34" s="436">
        <f>(Q16+Q17)*Inputs!$E$251*Scenarios!$B$7</f>
        <v>13263.164643361502</v>
      </c>
      <c r="R34" s="436">
        <f>(R16+R17)*Inputs!$E$251*Scenarios!$B$7</f>
        <v>13661.059582662347</v>
      </c>
      <c r="S34" s="436">
        <f>(S16+S17)*Inputs!$E$251*Scenarios!$B$7</f>
        <v>14070.891370142217</v>
      </c>
    </row>
    <row r="35" spans="1:19" x14ac:dyDescent="0.35">
      <c r="A35" s="331"/>
      <c r="B35" s="331"/>
      <c r="C35" s="77" t="s">
        <v>1230</v>
      </c>
      <c r="D35" s="82"/>
      <c r="E35" s="331"/>
      <c r="F35" s="331"/>
      <c r="G35" s="331"/>
      <c r="H35" s="436">
        <f>0</f>
        <v>0</v>
      </c>
      <c r="I35" s="436">
        <f>0</f>
        <v>0</v>
      </c>
      <c r="J35" s="436">
        <f>0</f>
        <v>0</v>
      </c>
      <c r="K35" s="436">
        <f>0</f>
        <v>0</v>
      </c>
      <c r="L35" s="436">
        <f>0</f>
        <v>0</v>
      </c>
      <c r="M35" s="436">
        <f>0</f>
        <v>0</v>
      </c>
      <c r="N35" s="436">
        <f>0</f>
        <v>0</v>
      </c>
      <c r="O35" s="436">
        <f>0</f>
        <v>0</v>
      </c>
      <c r="P35" s="436">
        <f>0</f>
        <v>0</v>
      </c>
      <c r="Q35" s="436">
        <f>0</f>
        <v>0</v>
      </c>
      <c r="R35" s="436">
        <f>0</f>
        <v>0</v>
      </c>
      <c r="S35" s="436">
        <f>0</f>
        <v>0</v>
      </c>
    </row>
    <row r="36" spans="1:19" x14ac:dyDescent="0.35">
      <c r="A36" s="331"/>
      <c r="B36" s="331"/>
      <c r="C36" s="77" t="s">
        <v>1231</v>
      </c>
      <c r="D36" s="82"/>
      <c r="E36" s="331"/>
      <c r="F36" s="331"/>
      <c r="G36" s="331"/>
      <c r="H36" s="436">
        <f t="shared" ref="H36:S37" si="8">SUM(H32:H35)</f>
        <v>0</v>
      </c>
      <c r="I36" s="436">
        <f t="shared" si="8"/>
        <v>0</v>
      </c>
      <c r="J36" s="436">
        <f t="shared" si="8"/>
        <v>0</v>
      </c>
      <c r="K36" s="436">
        <f t="shared" si="8"/>
        <v>76190.21865000001</v>
      </c>
      <c r="L36" s="436">
        <f t="shared" si="8"/>
        <v>80903.878649999999</v>
      </c>
      <c r="M36" s="436">
        <f t="shared" si="8"/>
        <v>83708.100000000006</v>
      </c>
      <c r="N36" s="436">
        <f t="shared" si="8"/>
        <v>84963.721499999985</v>
      </c>
      <c r="O36" s="436">
        <f t="shared" si="8"/>
        <v>87512.633145</v>
      </c>
      <c r="P36" s="436">
        <f t="shared" si="8"/>
        <v>90138.012139350016</v>
      </c>
      <c r="Q36" s="436">
        <f t="shared" si="8"/>
        <v>92842.152503530524</v>
      </c>
      <c r="R36" s="436">
        <f t="shared" si="8"/>
        <v>95627.417078636427</v>
      </c>
      <c r="S36" s="436">
        <f t="shared" si="8"/>
        <v>98496.239590995523</v>
      </c>
    </row>
    <row r="37" spans="1:19" x14ac:dyDescent="0.35">
      <c r="A37" s="331"/>
      <c r="B37" s="331"/>
      <c r="C37" s="331"/>
      <c r="D37" s="331"/>
      <c r="E37" s="331"/>
      <c r="F37" s="331"/>
      <c r="G37" s="331"/>
      <c r="H37" s="436"/>
      <c r="I37" s="436"/>
      <c r="J37" s="436">
        <f t="shared" si="8"/>
        <v>0</v>
      </c>
      <c r="K37" s="436"/>
      <c r="L37" s="436"/>
      <c r="M37" s="436"/>
      <c r="N37" s="436"/>
      <c r="O37" s="436"/>
      <c r="P37" s="436"/>
      <c r="Q37" s="436"/>
      <c r="R37" s="436"/>
      <c r="S37" s="436"/>
    </row>
    <row r="38" spans="1:19" x14ac:dyDescent="0.35">
      <c r="A38" s="331"/>
      <c r="B38" s="331"/>
      <c r="C38" s="77" t="s">
        <v>1232</v>
      </c>
      <c r="D38" s="82"/>
      <c r="E38" s="331"/>
      <c r="F38" s="331"/>
      <c r="G38" s="331"/>
      <c r="H38" s="436" t="str">
        <f t="shared" ref="H38:S38" si="9">IF(H28=0,"",H36/H28)</f>
        <v/>
      </c>
      <c r="I38" s="436" t="str">
        <f t="shared" si="9"/>
        <v/>
      </c>
      <c r="J38" s="436" t="str">
        <f t="shared" si="9"/>
        <v/>
      </c>
      <c r="K38" s="21">
        <f t="shared" si="9"/>
        <v>4.1879073364011069E-3</v>
      </c>
      <c r="L38" s="21">
        <f t="shared" si="9"/>
        <v>4.2196126813891536E-3</v>
      </c>
      <c r="M38" s="21">
        <f t="shared" si="9"/>
        <v>4.1271563229076649E-3</v>
      </c>
      <c r="N38" s="21">
        <f t="shared" si="9"/>
        <v>4.0814274093134949E-3</v>
      </c>
      <c r="O38" s="21">
        <f t="shared" si="9"/>
        <v>4.1091572517356614E-3</v>
      </c>
      <c r="P38" s="21">
        <f t="shared" si="9"/>
        <v>4.1365058415427907E-3</v>
      </c>
      <c r="Q38" s="21">
        <f t="shared" si="9"/>
        <v>4.1634724619166929E-3</v>
      </c>
      <c r="R38" s="21">
        <f t="shared" si="9"/>
        <v>4.1900567213208322E-3</v>
      </c>
      <c r="S38" s="21">
        <f t="shared" si="9"/>
        <v>4.2162585430891913E-3</v>
      </c>
    </row>
    <row r="39" spans="1:19" x14ac:dyDescent="0.35">
      <c r="A39" s="331"/>
      <c r="B39" s="331"/>
      <c r="C39" s="331"/>
      <c r="D39" s="331"/>
      <c r="E39" s="331"/>
      <c r="F39" s="331"/>
      <c r="G39" s="331"/>
      <c r="H39" s="436"/>
      <c r="I39" s="436"/>
      <c r="J39" s="436"/>
      <c r="K39" s="436"/>
      <c r="L39" s="436"/>
      <c r="M39" s="436"/>
      <c r="N39" s="436"/>
      <c r="O39" s="436"/>
      <c r="P39" s="436"/>
      <c r="Q39" s="436"/>
      <c r="R39" s="436"/>
      <c r="S39" s="436"/>
    </row>
    <row r="40" spans="1:19" x14ac:dyDescent="0.35">
      <c r="A40" s="331"/>
      <c r="B40" s="92" t="s">
        <v>1233</v>
      </c>
      <c r="C40" s="331"/>
      <c r="D40" s="331"/>
      <c r="E40" s="331"/>
      <c r="F40" s="331"/>
      <c r="G40" s="331"/>
      <c r="H40" s="436"/>
      <c r="I40" s="436"/>
      <c r="J40" s="436"/>
      <c r="K40" s="436"/>
      <c r="L40" s="436"/>
      <c r="M40" s="436"/>
      <c r="N40" s="436"/>
      <c r="O40" s="436"/>
      <c r="P40" s="436"/>
      <c r="Q40" s="436"/>
      <c r="R40" s="436"/>
      <c r="S40" s="436"/>
    </row>
    <row r="41" spans="1:19" ht="15" customHeight="1" x14ac:dyDescent="0.35">
      <c r="A41" s="331"/>
      <c r="B41" s="331"/>
      <c r="C41" s="77" t="s">
        <v>94</v>
      </c>
      <c r="D41" s="331"/>
      <c r="E41" s="331"/>
      <c r="F41" s="331"/>
      <c r="G41" s="331"/>
      <c r="H41" s="436">
        <f t="shared" ref="H41:S41" si="10">H28-H36</f>
        <v>0</v>
      </c>
      <c r="I41" s="436">
        <f t="shared" si="10"/>
        <v>0</v>
      </c>
      <c r="J41" s="436">
        <f t="shared" si="10"/>
        <v>0</v>
      </c>
      <c r="K41" s="436">
        <f>K28-K36</f>
        <v>18116719.158250004</v>
      </c>
      <c r="L41" s="436">
        <f t="shared" si="10"/>
        <v>19092391.103335254</v>
      </c>
      <c r="M41" s="436">
        <f t="shared" si="10"/>
        <v>20198562.172967501</v>
      </c>
      <c r="N41" s="436">
        <f t="shared" si="10"/>
        <v>20732194.8309514</v>
      </c>
      <c r="O41" s="436">
        <f t="shared" si="10"/>
        <v>21209465.745581113</v>
      </c>
      <c r="P41" s="436">
        <f t="shared" si="10"/>
        <v>21700720.164367244</v>
      </c>
      <c r="Q41" s="436">
        <f t="shared" si="10"/>
        <v>22206369.227602433</v>
      </c>
      <c r="R41" s="436">
        <f t="shared" si="10"/>
        <v>22726836.200667277</v>
      </c>
      <c r="S41" s="436">
        <f t="shared" si="10"/>
        <v>23262556.832554996</v>
      </c>
    </row>
    <row r="42" spans="1:19" x14ac:dyDescent="0.35">
      <c r="A42" s="331"/>
      <c r="B42" s="331"/>
      <c r="C42" s="77" t="s">
        <v>1234</v>
      </c>
      <c r="D42" s="82"/>
      <c r="E42" s="331"/>
      <c r="F42" s="331"/>
      <c r="G42" s="331"/>
      <c r="H42" s="436" t="str">
        <f t="shared" ref="H42:S42" si="11">IF(H28=0,"",H41/H28)</f>
        <v/>
      </c>
      <c r="I42" s="436" t="str">
        <f t="shared" si="11"/>
        <v/>
      </c>
      <c r="J42" s="436" t="str">
        <f t="shared" si="11"/>
        <v/>
      </c>
      <c r="K42" s="21">
        <f t="shared" si="11"/>
        <v>0.99581209266359894</v>
      </c>
      <c r="L42" s="21">
        <f t="shared" si="11"/>
        <v>0.99578038731861096</v>
      </c>
      <c r="M42" s="21">
        <f t="shared" si="11"/>
        <v>0.99587284367709228</v>
      </c>
      <c r="N42" s="21">
        <f t="shared" si="11"/>
        <v>0.99591857259068639</v>
      </c>
      <c r="O42" s="21">
        <f t="shared" si="11"/>
        <v>0.99589084274826434</v>
      </c>
      <c r="P42" s="21">
        <f t="shared" si="11"/>
        <v>0.99586349415845721</v>
      </c>
      <c r="Q42" s="21">
        <f t="shared" si="11"/>
        <v>0.99583652753808327</v>
      </c>
      <c r="R42" s="21">
        <f t="shared" si="11"/>
        <v>0.99580994327867911</v>
      </c>
      <c r="S42" s="21">
        <f t="shared" si="11"/>
        <v>0.99578374145691084</v>
      </c>
    </row>
    <row r="43" spans="1:19" x14ac:dyDescent="0.35">
      <c r="A43" s="331"/>
      <c r="B43" s="331"/>
      <c r="C43" s="331"/>
      <c r="D43" s="331"/>
      <c r="E43" s="331"/>
      <c r="F43" s="331"/>
      <c r="G43" s="331"/>
      <c r="H43" s="436"/>
      <c r="I43" s="436"/>
      <c r="J43" s="436"/>
      <c r="K43" s="436"/>
      <c r="L43" s="436"/>
      <c r="M43" s="436"/>
      <c r="N43" s="436"/>
      <c r="O43" s="436"/>
      <c r="P43" s="436"/>
      <c r="Q43" s="436"/>
      <c r="R43" s="436"/>
      <c r="S43" s="436"/>
    </row>
    <row r="44" spans="1:19" ht="29.15" customHeight="1" x14ac:dyDescent="0.35">
      <c r="A44" s="331"/>
      <c r="B44" s="92" t="s">
        <v>1235</v>
      </c>
      <c r="C44" s="331"/>
      <c r="D44" s="331"/>
      <c r="E44" s="331"/>
      <c r="F44" s="331"/>
      <c r="G44" s="331"/>
      <c r="H44" s="436"/>
      <c r="I44" s="436"/>
      <c r="J44" s="436"/>
      <c r="K44" s="436"/>
      <c r="L44" s="436"/>
      <c r="M44" s="436"/>
      <c r="N44" s="436"/>
      <c r="O44" s="436"/>
      <c r="P44" s="436"/>
      <c r="Q44" s="436"/>
      <c r="R44" s="436"/>
      <c r="S44" s="436"/>
    </row>
    <row r="45" spans="1:19" x14ac:dyDescent="0.35">
      <c r="A45" s="331"/>
      <c r="B45" s="331"/>
      <c r="C45" s="93" t="s">
        <v>1236</v>
      </c>
      <c r="D45" s="93"/>
      <c r="E45" s="331"/>
      <c r="F45" s="331"/>
      <c r="G45" s="331"/>
      <c r="H45" s="436">
        <f>IF(H$8=1,Inputs!$E$227*Scenarios!$B$7,0)</f>
        <v>0</v>
      </c>
      <c r="I45" s="436">
        <f>IF(I$8=1,Inputs!$E$227*Scenarios!$B$7,0)</f>
        <v>0</v>
      </c>
      <c r="J45" s="436">
        <f>IF(J$8=1,Inputs!$E$227*Scenarios!$B$7,0)</f>
        <v>0</v>
      </c>
      <c r="K45" s="436">
        <f>IF(K$8=1,Inputs!$E$227*Scenarios!$B$7,0)</f>
        <v>350000</v>
      </c>
      <c r="L45" s="436">
        <f>IF(L$8=1,Inputs!$E$227*Scenarios!$B$7,0)</f>
        <v>350000</v>
      </c>
      <c r="M45" s="436">
        <f>IF(M$8=1,Inputs!$E$227*Scenarios!$B$7,0)</f>
        <v>350000</v>
      </c>
      <c r="N45" s="436">
        <f>IF(N$8=1,Inputs!$E$227*Scenarios!$B$7,0)</f>
        <v>350000</v>
      </c>
      <c r="O45" s="436">
        <f>IF(O$8=1,Inputs!$E$227*Scenarios!$B$7,0)</f>
        <v>350000</v>
      </c>
      <c r="P45" s="436">
        <f>IF(P$8=1,Inputs!$E$227*Scenarios!$B$7,0)</f>
        <v>350000</v>
      </c>
      <c r="Q45" s="436">
        <f>IF(Q$8=1,Inputs!$E$227*Scenarios!$B$7,0)</f>
        <v>350000</v>
      </c>
      <c r="R45" s="436">
        <f>IF(R$8=1,Inputs!$E$227*Scenarios!$B$7,0)</f>
        <v>350000</v>
      </c>
      <c r="S45" s="436">
        <f>IF(S$8=1,Inputs!$E$227*Scenarios!$B$7,0)</f>
        <v>350000</v>
      </c>
    </row>
    <row r="46" spans="1:19" x14ac:dyDescent="0.35">
      <c r="A46" s="331"/>
      <c r="B46" s="331"/>
      <c r="C46" s="93" t="s">
        <v>135</v>
      </c>
      <c r="D46" s="93"/>
      <c r="E46" s="331"/>
      <c r="F46" s="331"/>
      <c r="G46" s="331"/>
      <c r="H46" s="436">
        <f>IF(H8=1,Inputs!$E$228*(1+Inputs!$E$310)^((2000+VALUE(RIGHT(H$6,2)))-2027)*Scenarios!$B$7,0)</f>
        <v>0</v>
      </c>
      <c r="I46" s="436">
        <f>IF(I8=1,Inputs!$E$228*(1+Inputs!$E$310)^((2000+VALUE(RIGHT(I$6,2)))-2027)*Scenarios!$B$7,0)</f>
        <v>0</v>
      </c>
      <c r="J46" s="436">
        <f>IF(J8=1,Inputs!$E$228*(1+Inputs!$E$310)^((2000+VALUE(RIGHT(J$6,2)))-2027)*Scenarios!$B$7,0)</f>
        <v>0</v>
      </c>
      <c r="K46" s="436">
        <f>IF(K8=1,Inputs!$E$228*(1+Inputs!$E$310)^((2000+VALUE(RIGHT(K$6,2)))-2027)*Scenarios!$B$7,0)</f>
        <v>206000</v>
      </c>
      <c r="L46" s="436">
        <f>IF(L8=1,Inputs!$E$228*(1+Inputs!$E$310)^((2000+VALUE(RIGHT(L$6,2)))-2027)*Scenarios!$B$7,0)</f>
        <v>212180</v>
      </c>
      <c r="M46" s="436">
        <f>IF(M8=1,Inputs!$E$228*(1+Inputs!$E$310)^((2000+VALUE(RIGHT(M$6,2)))-2027)*Scenarios!$B$7,0)</f>
        <v>218545.4</v>
      </c>
      <c r="N46" s="436">
        <f>IF(N8=1,Inputs!$E$228*(1+Inputs!$E$310)^((2000+VALUE(RIGHT(N$6,2)))-2027)*Scenarios!$B$7,0)</f>
        <v>225101.76199999999</v>
      </c>
      <c r="O46" s="436">
        <f>IF(O8=1,Inputs!$E$228*(1+Inputs!$E$310)^((2000+VALUE(RIGHT(O$6,2)))-2027)*Scenarios!$B$7,0)</f>
        <v>231854.81485999995</v>
      </c>
      <c r="P46" s="436">
        <f>IF(P8=1,Inputs!$E$228*(1+Inputs!$E$310)^((2000+VALUE(RIGHT(P$6,2)))-2027)*Scenarios!$B$7,0)</f>
        <v>238810.45930579997</v>
      </c>
      <c r="Q46" s="436">
        <f>IF(Q8=1,Inputs!$E$228*(1+Inputs!$E$310)^((2000+VALUE(RIGHT(Q$6,2)))-2027)*Scenarios!$B$7,0)</f>
        <v>245974.773084974</v>
      </c>
      <c r="R46" s="436">
        <f>IF(R8=1,Inputs!$E$228*(1+Inputs!$E$310)^((2000+VALUE(RIGHT(R$6,2)))-2027)*Scenarios!$B$7,0)</f>
        <v>253354.01627752319</v>
      </c>
      <c r="S46" s="436">
        <f>IF(S8=1,Inputs!$E$228*(1+Inputs!$E$310)^((2000+VALUE(RIGHT(S$6,2)))-2027)*Scenarios!$B$7,0)</f>
        <v>260954.6367658489</v>
      </c>
    </row>
    <row r="47" spans="1:19" x14ac:dyDescent="0.35">
      <c r="A47" s="331"/>
      <c r="B47" s="331"/>
      <c r="C47" s="93" t="s">
        <v>1237</v>
      </c>
      <c r="D47" s="93"/>
      <c r="E47" s="331"/>
      <c r="F47" s="331"/>
      <c r="G47" s="331"/>
      <c r="H47" s="436">
        <f>IF(H8=1,INDEX('Expense Assumptions'!$F$86:$Q$86,MATCH((2000+VALUE(RIGHT(H$6,2))),'Expense Assumptions'!$F$21:$Q$21,0))*Scenarios!$B$7,0)</f>
        <v>0</v>
      </c>
      <c r="I47" s="436">
        <f>IF(I8=1,INDEX('Expense Assumptions'!$F$86:$Q$86,MATCH((2000+VALUE(RIGHT(I$6,2))),'Expense Assumptions'!$F$21:$Q$21,0))*Scenarios!$B$7,0)</f>
        <v>0</v>
      </c>
      <c r="J47" s="436">
        <f>IF(J8=1,INDEX('Expense Assumptions'!$F$86:$Q$86,MATCH((2000+VALUE(RIGHT(J$6,2))),'Expense Assumptions'!$F$21:$Q$21,0))*Scenarios!$B$7,0)</f>
        <v>0</v>
      </c>
      <c r="K47" s="436">
        <f>IF(K8=1,INDEX('Expense Assumptions'!$F$86:$Q$86,MATCH((2000+VALUE(RIGHT(K$6,2))),'Expense Assumptions'!$F$21:$Q$21,0))*Scenarios!$B$7,0)</f>
        <v>149350</v>
      </c>
      <c r="L47" s="436">
        <f>IF(L8=1,INDEX('Expense Assumptions'!$F$86:$Q$86,MATCH((2000+VALUE(RIGHT(L$6,2))),'Expense Assumptions'!$F$21:$Q$21,0))*Scenarios!$B$7,0)</f>
        <v>153830.5</v>
      </c>
      <c r="M47" s="436">
        <f>IF(M8=1,INDEX('Expense Assumptions'!$F$86:$Q$86,MATCH((2000+VALUE(RIGHT(M$6,2))),'Expense Assumptions'!$F$21:$Q$21,0))*Scenarios!$B$7,0)</f>
        <v>158445.41500000004</v>
      </c>
      <c r="N47" s="436">
        <f>IF(N8=1,INDEX('Expense Assumptions'!$F$86:$Q$86,MATCH((2000+VALUE(RIGHT(N$6,2))),'Expense Assumptions'!$F$21:$Q$21,0))*Scenarios!$B$7,0)</f>
        <v>163198.77744999999</v>
      </c>
      <c r="O47" s="436">
        <f>IF(O8=1,INDEX('Expense Assumptions'!$F$86:$Q$86,MATCH((2000+VALUE(RIGHT(O$6,2))),'Expense Assumptions'!$F$21:$Q$21,0))*Scenarios!$B$7,0)</f>
        <v>168094.7407735</v>
      </c>
      <c r="P47" s="436">
        <f>IF(P8=1,INDEX('Expense Assumptions'!$F$86:$Q$86,MATCH((2000+VALUE(RIGHT(P$6,2))),'Expense Assumptions'!$F$21:$Q$21,0))*Scenarios!$B$7,0)</f>
        <v>173137.58299670502</v>
      </c>
      <c r="Q47" s="436">
        <f>IF(Q8=1,INDEX('Expense Assumptions'!$F$86:$Q$86,MATCH((2000+VALUE(RIGHT(Q$6,2))),'Expense Assumptions'!$F$21:$Q$21,0))*Scenarios!$B$7,0)</f>
        <v>178331.71048660617</v>
      </c>
      <c r="R47" s="436">
        <f>IF(R8=1,INDEX('Expense Assumptions'!$F$86:$Q$86,MATCH((2000+VALUE(RIGHT(R$6,2))),'Expense Assumptions'!$F$21:$Q$21,0))*Scenarios!$B$7,0)</f>
        <v>183681.66180120432</v>
      </c>
      <c r="S47" s="436">
        <f>IF(S8=1,INDEX('Expense Assumptions'!$F$86:$Q$86,MATCH((2000+VALUE(RIGHT(S$6,2))),'Expense Assumptions'!$F$21:$Q$21,0))*Scenarios!$B$7,0)</f>
        <v>189192.11165524047</v>
      </c>
    </row>
    <row r="48" spans="1:19" x14ac:dyDescent="0.35">
      <c r="A48" s="331"/>
      <c r="B48" s="331"/>
      <c r="C48" s="93" t="s">
        <v>139</v>
      </c>
      <c r="D48" s="93"/>
      <c r="E48" s="331"/>
      <c r="F48" s="331"/>
      <c r="G48" s="331"/>
      <c r="H48" s="436">
        <f>IF(H8=1,Inputs!$E$229*(1+Inputs!$E$308)^((2000+VALUE(RIGHT(H$6,2)))-2027)*Scenarios!$B$7,0)</f>
        <v>0</v>
      </c>
      <c r="I48" s="436">
        <f>IF(I8=1,Inputs!$E$229*(1+Inputs!$E$308)^((2000+VALUE(RIGHT(I$6,2)))-2027)*Scenarios!$B$7,0)</f>
        <v>0</v>
      </c>
      <c r="J48" s="436">
        <f>IF(J8=1,Inputs!$E$229*(1+Inputs!$E$308)^((2000+VALUE(RIGHT(J$6,2)))-2027)*Scenarios!$B$7,0)</f>
        <v>0</v>
      </c>
      <c r="K48" s="436">
        <f>IF(K8=1,Inputs!$E$229*(1+Inputs!$E$308)^((2000+VALUE(RIGHT(K$6,2)))-2027)*Scenarios!$B$7,0)</f>
        <v>51500</v>
      </c>
      <c r="L48" s="436">
        <f>IF(L8=1,Inputs!$E$229*(1+Inputs!$E$308)^((2000+VALUE(RIGHT(L$6,2)))-2027)*Scenarios!$B$7,0)</f>
        <v>53045</v>
      </c>
      <c r="M48" s="436">
        <f>IF(M8=1,Inputs!$E$229*(1+Inputs!$E$308)^((2000+VALUE(RIGHT(M$6,2)))-2027)*Scenarios!$B$7,0)</f>
        <v>54636.35</v>
      </c>
      <c r="N48" s="436">
        <f>IF(N8=1,Inputs!$E$229*(1+Inputs!$E$308)^((2000+VALUE(RIGHT(N$6,2)))-2027)*Scenarios!$B$7,0)</f>
        <v>56275.440499999997</v>
      </c>
      <c r="O48" s="436">
        <f>IF(O8=1,Inputs!$E$229*(1+Inputs!$E$308)^((2000+VALUE(RIGHT(O$6,2)))-2027)*Scenarios!$B$7,0)</f>
        <v>57963.703714999989</v>
      </c>
      <c r="P48" s="436">
        <f>IF(P8=1,Inputs!$E$229*(1+Inputs!$E$308)^((2000+VALUE(RIGHT(P$6,2)))-2027)*Scenarios!$B$7,0)</f>
        <v>59702.614826449993</v>
      </c>
      <c r="Q48" s="436">
        <f>IF(Q8=1,Inputs!$E$229*(1+Inputs!$E$308)^((2000+VALUE(RIGHT(Q$6,2)))-2027)*Scenarios!$B$7,0)</f>
        <v>61493.693271243501</v>
      </c>
      <c r="R48" s="436">
        <f>IF(R8=1,Inputs!$E$229*(1+Inputs!$E$308)^((2000+VALUE(RIGHT(R$6,2)))-2027)*Scenarios!$B$7,0)</f>
        <v>63338.504069380797</v>
      </c>
      <c r="S48" s="436">
        <f>IF(S8=1,Inputs!$E$229*(1+Inputs!$E$308)^((2000+VALUE(RIGHT(S$6,2)))-2027)*Scenarios!$B$7,0)</f>
        <v>65238.659191462226</v>
      </c>
    </row>
    <row r="49" spans="1:19" x14ac:dyDescent="0.35">
      <c r="A49" s="331"/>
      <c r="B49" s="331"/>
      <c r="C49" s="93" t="s">
        <v>720</v>
      </c>
      <c r="D49" s="93"/>
      <c r="E49" s="331"/>
      <c r="F49" s="331"/>
      <c r="G49" s="331"/>
      <c r="H49" s="436">
        <f>IF(H$8=1,Inputs!$E$232*(1+Inputs!$E$308)^((2000+VALUE(RIGHT(H$6,2)))-2027)*Scenarios!$B$7,0)</f>
        <v>0</v>
      </c>
      <c r="I49" s="436">
        <f>IF(I$8=1,Inputs!$E$232*(1+Inputs!$E$308)^((2000+VALUE(RIGHT(I$6,2)))-2027)*Scenarios!$B$7,0)</f>
        <v>0</v>
      </c>
      <c r="J49" s="436">
        <f>IF(J$8=1,Inputs!$E$232*(1+Inputs!$E$308)^((2000+VALUE(RIGHT(J$6,2)))-2027)*Scenarios!$B$7,0)</f>
        <v>0</v>
      </c>
      <c r="K49" s="436">
        <f>IF(K$8=1,Inputs!$E$232*(1+Inputs!$E$308)^((2000+VALUE(RIGHT(K$6,2)))-2027)*Scenarios!$B$7,0)</f>
        <v>51500</v>
      </c>
      <c r="L49" s="436">
        <f>IF(L$8=1,Inputs!$E$232*(1+Inputs!$E$308)^((2000+VALUE(RIGHT(L$6,2)))-2027)*Scenarios!$B$7,0)</f>
        <v>53045</v>
      </c>
      <c r="M49" s="436">
        <f>IF(M$8=1,Inputs!$E$232*(1+Inputs!$E$308)^((2000+VALUE(RIGHT(M$6,2)))-2027)*Scenarios!$B$7,0)</f>
        <v>54636.35</v>
      </c>
      <c r="N49" s="436">
        <f>IF(N$8=1,Inputs!$E$232*(1+Inputs!$E$308)^((2000+VALUE(RIGHT(N$6,2)))-2027)*Scenarios!$B$7,0)</f>
        <v>56275.440499999997</v>
      </c>
      <c r="O49" s="436">
        <f>IF(O$8=1,Inputs!$E$232*(1+Inputs!$E$308)^((2000+VALUE(RIGHT(O$6,2)))-2027)*Scenarios!$B$7,0)</f>
        <v>57963.703714999989</v>
      </c>
      <c r="P49" s="436">
        <f>IF(P$8=1,Inputs!$E$232*(1+Inputs!$E$308)^((2000+VALUE(RIGHT(P$6,2)))-2027)*Scenarios!$B$7,0)</f>
        <v>59702.614826449993</v>
      </c>
      <c r="Q49" s="436">
        <f>IF(Q$8=1,Inputs!$E$232*(1+Inputs!$E$308)^((2000+VALUE(RIGHT(Q$6,2)))-2027)*Scenarios!$B$7,0)</f>
        <v>61493.693271243501</v>
      </c>
      <c r="R49" s="436">
        <f>IF(R$8=1,Inputs!$E$232*(1+Inputs!$E$308)^((2000+VALUE(RIGHT(R$6,2)))-2027)*Scenarios!$B$7,0)</f>
        <v>63338.504069380797</v>
      </c>
      <c r="S49" s="436">
        <f>IF(S$8=1,Inputs!$E$232*(1+Inputs!$E$308)^((2000+VALUE(RIGHT(S$6,2)))-2027)*Scenarios!$B$7,0)</f>
        <v>65238.659191462226</v>
      </c>
    </row>
    <row r="50" spans="1:19" x14ac:dyDescent="0.35">
      <c r="A50" s="331"/>
      <c r="B50" s="331"/>
      <c r="C50" s="93" t="s">
        <v>734</v>
      </c>
      <c r="D50" s="93"/>
      <c r="E50" s="331"/>
      <c r="F50" s="331"/>
      <c r="G50" s="331"/>
      <c r="H50" s="436">
        <f>IF(H$8=1,Inputs!$E$240*(1+Inputs!$E$308)^((2000+VALUE(RIGHT(H$6,2)))-2027)*Scenarios!$B$7,0)</f>
        <v>0</v>
      </c>
      <c r="I50" s="436">
        <f>IF(I$8=1,Inputs!$E$240*(1+Inputs!$E$308)^((2000+VALUE(RIGHT(I$6,2)))-2027)*Scenarios!$B$7,0)</f>
        <v>0</v>
      </c>
      <c r="J50" s="436">
        <f>IF(J$8=1,Inputs!$E$240*(1+Inputs!$E$308)^((2000+VALUE(RIGHT(J$6,2)))-2027)*Scenarios!$B$7,0)</f>
        <v>0</v>
      </c>
      <c r="K50" s="436">
        <f>IF(K$8=1,Inputs!$E$240*(1+Inputs!$E$308)^((2000+VALUE(RIGHT(K$6,2)))-2027)*Scenarios!$B$7,0)</f>
        <v>6437.5</v>
      </c>
      <c r="L50" s="436">
        <f>IF(L$8=1,Inputs!$E$240*(1+Inputs!$E$308)^((2000+VALUE(RIGHT(L$6,2)))-2027)*Scenarios!$B$7,0)</f>
        <v>6630.625</v>
      </c>
      <c r="M50" s="436">
        <f>IF(M$8=1,Inputs!$E$240*(1+Inputs!$E$308)^((2000+VALUE(RIGHT(M$6,2)))-2027)*Scenarios!$B$7,0)</f>
        <v>6829.5437499999998</v>
      </c>
      <c r="N50" s="436">
        <f>IF(N$8=1,Inputs!$E$240*(1+Inputs!$E$308)^((2000+VALUE(RIGHT(N$6,2)))-2027)*Scenarios!$B$7,0)</f>
        <v>7034.4300624999996</v>
      </c>
      <c r="O50" s="436">
        <f>IF(O$8=1,Inputs!$E$240*(1+Inputs!$E$308)^((2000+VALUE(RIGHT(O$6,2)))-2027)*Scenarios!$B$7,0)</f>
        <v>7245.4629643749986</v>
      </c>
      <c r="P50" s="436">
        <f>IF(P$8=1,Inputs!$E$240*(1+Inputs!$E$308)^((2000+VALUE(RIGHT(P$6,2)))-2027)*Scenarios!$B$7,0)</f>
        <v>7462.8268533062492</v>
      </c>
      <c r="Q50" s="436">
        <f>IF(Q$8=1,Inputs!$E$240*(1+Inputs!$E$308)^((2000+VALUE(RIGHT(Q$6,2)))-2027)*Scenarios!$B$7,0)</f>
        <v>7686.7116589054376</v>
      </c>
      <c r="R50" s="436">
        <f>IF(R$8=1,Inputs!$E$240*(1+Inputs!$E$308)^((2000+VALUE(RIGHT(R$6,2)))-2027)*Scenarios!$B$7,0)</f>
        <v>7917.3130086725996</v>
      </c>
      <c r="S50" s="436">
        <f>IF(S$8=1,Inputs!$E$240*(1+Inputs!$E$308)^((2000+VALUE(RIGHT(S$6,2)))-2027)*Scenarios!$B$7,0)</f>
        <v>8154.8323989327782</v>
      </c>
    </row>
    <row r="51" spans="1:19" x14ac:dyDescent="0.35">
      <c r="A51" s="331"/>
      <c r="B51" s="331"/>
      <c r="C51" s="93" t="s">
        <v>1238</v>
      </c>
      <c r="D51" s="93"/>
      <c r="E51" s="331"/>
      <c r="F51" s="331"/>
      <c r="G51" s="331"/>
      <c r="H51" s="436">
        <f>IF(H$8=1,Inputs!$E$241*(1+Inputs!$E$308)^((2000+VALUE(RIGHT(H$6,2)))-2027)*Scenarios!$B$7,0)</f>
        <v>0</v>
      </c>
      <c r="I51" s="436">
        <f>IF(I$8=1,Inputs!$E$241*(1+Inputs!$E$308)^((2000+VALUE(RIGHT(I$6,2)))-2027)*Scenarios!$B$7,0)</f>
        <v>0</v>
      </c>
      <c r="J51" s="436">
        <f>IF(J$8=1,Inputs!$E$241*(1+Inputs!$E$308)^((2000+VALUE(RIGHT(J$6,2)))-2027)*Scenarios!$B$7,0)</f>
        <v>0</v>
      </c>
      <c r="K51" s="436">
        <f>IF(K$8=1,Inputs!$E$241*(1+Inputs!$E$308)^((2000+VALUE(RIGHT(K$6,2)))-2027)*Scenarios!$B$7,0)</f>
        <v>20600</v>
      </c>
      <c r="L51" s="436">
        <f>IF(L$8=1,Inputs!$E$241*(1+Inputs!$E$308)^((2000+VALUE(RIGHT(L$6,2)))-2027)*Scenarios!$B$7,0)</f>
        <v>21218</v>
      </c>
      <c r="M51" s="436">
        <f>IF(M$8=1,Inputs!$E$241*(1+Inputs!$E$308)^((2000+VALUE(RIGHT(M$6,2)))-2027)*Scenarios!$B$7,0)</f>
        <v>21854.54</v>
      </c>
      <c r="N51" s="436">
        <f>IF(N$8=1,Inputs!$E$241*(1+Inputs!$E$308)^((2000+VALUE(RIGHT(N$6,2)))-2027)*Scenarios!$B$7,0)</f>
        <v>22510.176199999998</v>
      </c>
      <c r="O51" s="436">
        <f>IF(O$8=1,Inputs!$E$241*(1+Inputs!$E$308)^((2000+VALUE(RIGHT(O$6,2)))-2027)*Scenarios!$B$7,0)</f>
        <v>23185.481485999997</v>
      </c>
      <c r="P51" s="436">
        <f>IF(P$8=1,Inputs!$E$241*(1+Inputs!$E$308)^((2000+VALUE(RIGHT(P$6,2)))-2027)*Scenarios!$B$7,0)</f>
        <v>23881.04593058</v>
      </c>
      <c r="Q51" s="436">
        <f>IF(Q$8=1,Inputs!$E$241*(1+Inputs!$E$308)^((2000+VALUE(RIGHT(Q$6,2)))-2027)*Scenarios!$B$7,0)</f>
        <v>24597.4773084974</v>
      </c>
      <c r="R51" s="436">
        <f>IF(R$8=1,Inputs!$E$241*(1+Inputs!$E$308)^((2000+VALUE(RIGHT(R$6,2)))-2027)*Scenarios!$B$7,0)</f>
        <v>25335.401627752319</v>
      </c>
      <c r="S51" s="436">
        <f>IF(S$8=1,Inputs!$E$241*(1+Inputs!$E$308)^((2000+VALUE(RIGHT(S$6,2)))-2027)*Scenarios!$B$7,0)</f>
        <v>26095.463676584888</v>
      </c>
    </row>
    <row r="52" spans="1:19" x14ac:dyDescent="0.35">
      <c r="A52" s="331"/>
      <c r="B52" s="331"/>
      <c r="C52" s="93" t="s">
        <v>1239</v>
      </c>
      <c r="D52" s="93"/>
      <c r="E52" s="331"/>
      <c r="F52" s="331"/>
      <c r="G52" s="331"/>
      <c r="H52" s="436">
        <f>IF(H$8=1,Inputs!$E$233*(1+Inputs!$E$308)^((2000+VALUE(RIGHT(H$6,2)))-2027)*Scenarios!$B$7,0)</f>
        <v>0</v>
      </c>
      <c r="I52" s="436">
        <f>IF(I$8=1,Inputs!$E$233*(1+Inputs!$E$308)^((2000+VALUE(RIGHT(I$6,2)))-2027)*Scenarios!$B$7,0)</f>
        <v>0</v>
      </c>
      <c r="J52" s="436">
        <f>IF(J$8=1,Inputs!$E$233*(1+Inputs!$E$308)^((2000+VALUE(RIGHT(J$6,2)))-2027)*Scenarios!$B$7,0)</f>
        <v>0</v>
      </c>
      <c r="K52" s="436">
        <f>IF(K$8=1,Inputs!$E$233*(1+Inputs!$E$308)^((2000+VALUE(RIGHT(K$6,2)))-2027)*Scenarios!$B$7,0)</f>
        <v>51500</v>
      </c>
      <c r="L52" s="436">
        <f>IF(L$8=1,Inputs!$E$233*(1+Inputs!$E$308)^((2000+VALUE(RIGHT(L$6,2)))-2027)*Scenarios!$B$7,0)</f>
        <v>53045</v>
      </c>
      <c r="M52" s="436">
        <f>IF(M$8=1,Inputs!$E$233*(1+Inputs!$E$308)^((2000+VALUE(RIGHT(M$6,2)))-2027)*Scenarios!$B$7,0)</f>
        <v>54636.35</v>
      </c>
      <c r="N52" s="436">
        <f>IF(N$8=1,Inputs!$E$233*(1+Inputs!$E$308)^((2000+VALUE(RIGHT(N$6,2)))-2027)*Scenarios!$B$7,0)</f>
        <v>56275.440499999997</v>
      </c>
      <c r="O52" s="436">
        <f>IF(O$8=1,Inputs!$E$233*(1+Inputs!$E$308)^((2000+VALUE(RIGHT(O$6,2)))-2027)*Scenarios!$B$7,0)</f>
        <v>57963.703714999989</v>
      </c>
      <c r="P52" s="436">
        <f>IF(P$8=1,Inputs!$E$233*(1+Inputs!$E$308)^((2000+VALUE(RIGHT(P$6,2)))-2027)*Scenarios!$B$7,0)</f>
        <v>59702.614826449993</v>
      </c>
      <c r="Q52" s="436">
        <f>IF(Q$8=1,Inputs!$E$233*(1+Inputs!$E$308)^((2000+VALUE(RIGHT(Q$6,2)))-2027)*Scenarios!$B$7,0)</f>
        <v>61493.693271243501</v>
      </c>
      <c r="R52" s="436">
        <f>IF(R$8=1,Inputs!$E$233*(1+Inputs!$E$308)^((2000+VALUE(RIGHT(R$6,2)))-2027)*Scenarios!$B$7,0)</f>
        <v>63338.504069380797</v>
      </c>
      <c r="S52" s="436">
        <f>IF(S$8=1,Inputs!$E$233*(1+Inputs!$E$308)^((2000+VALUE(RIGHT(S$6,2)))-2027)*Scenarios!$B$7,0)</f>
        <v>65238.659191462226</v>
      </c>
    </row>
    <row r="53" spans="1:19" x14ac:dyDescent="0.35">
      <c r="A53" s="331"/>
      <c r="B53" s="331"/>
      <c r="C53" s="93" t="s">
        <v>1240</v>
      </c>
      <c r="D53" s="93"/>
      <c r="E53" s="331"/>
      <c r="F53" s="331"/>
      <c r="G53" s="331"/>
      <c r="H53" s="436">
        <f>IF(H$8=1,Inputs!$E$237*(1+Inputs!$E$308)^((2000+VALUE(RIGHT(H$6,2)))-2027)*Scenarios!$B$7,0)</f>
        <v>0</v>
      </c>
      <c r="I53" s="436">
        <f>IF(I$8=1,Inputs!$E$237*(1+Inputs!$E$308)^((2000+VALUE(RIGHT(I$6,2)))-2027)*Scenarios!$B$7,0)</f>
        <v>0</v>
      </c>
      <c r="J53" s="436">
        <f>IF(J$8=1,Inputs!$E$237*(1+Inputs!$E$308)^((2000+VALUE(RIGHT(J$6,2)))-2027)*Scenarios!$B$7,0)</f>
        <v>0</v>
      </c>
      <c r="K53" s="436">
        <f>IF(K$8=1,Inputs!$E$237*(1+Inputs!$E$308)^((2000+VALUE(RIGHT(K$6,2)))-2027)*Scenarios!$B$7,0)</f>
        <v>5150</v>
      </c>
      <c r="L53" s="436">
        <f>IF(L$8=1,Inputs!$E$237*(1+Inputs!$E$308)^((2000+VALUE(RIGHT(L$6,2)))-2027)*Scenarios!$B$7,0)</f>
        <v>5304.5</v>
      </c>
      <c r="M53" s="436">
        <f>IF(M$8=1,Inputs!$E$237*(1+Inputs!$E$308)^((2000+VALUE(RIGHT(M$6,2)))-2027)*Scenarios!$B$7,0)</f>
        <v>5463.6350000000002</v>
      </c>
      <c r="N53" s="436">
        <f>IF(N$8=1,Inputs!$E$237*(1+Inputs!$E$308)^((2000+VALUE(RIGHT(N$6,2)))-2027)*Scenarios!$B$7,0)</f>
        <v>5627.5440499999995</v>
      </c>
      <c r="O53" s="436">
        <f>IF(O$8=1,Inputs!$E$237*(1+Inputs!$E$308)^((2000+VALUE(RIGHT(O$6,2)))-2027)*Scenarios!$B$7,0)</f>
        <v>5796.3703714999992</v>
      </c>
      <c r="P53" s="436">
        <f>IF(P$8=1,Inputs!$E$237*(1+Inputs!$E$308)^((2000+VALUE(RIGHT(P$6,2)))-2027)*Scenarios!$B$7,0)</f>
        <v>5970.2614826449999</v>
      </c>
      <c r="Q53" s="436">
        <f>IF(Q$8=1,Inputs!$E$237*(1+Inputs!$E$308)^((2000+VALUE(RIGHT(Q$6,2)))-2027)*Scenarios!$B$7,0)</f>
        <v>6149.3693271243501</v>
      </c>
      <c r="R53" s="436">
        <f>IF(R$8=1,Inputs!$E$237*(1+Inputs!$E$308)^((2000+VALUE(RIGHT(R$6,2)))-2027)*Scenarios!$B$7,0)</f>
        <v>6333.8504069380797</v>
      </c>
      <c r="S53" s="436">
        <f>IF(S$8=1,Inputs!$E$237*(1+Inputs!$E$308)^((2000+VALUE(RIGHT(S$6,2)))-2027)*Scenarios!$B$7,0)</f>
        <v>6523.865919146222</v>
      </c>
    </row>
    <row r="54" spans="1:19" x14ac:dyDescent="0.35">
      <c r="A54" s="331"/>
      <c r="B54" s="331"/>
      <c r="C54" s="93" t="s">
        <v>730</v>
      </c>
      <c r="D54" s="93"/>
      <c r="E54" s="331"/>
      <c r="F54" s="331"/>
      <c r="G54" s="331"/>
      <c r="H54" s="436">
        <f>IF(H$8=1,Inputs!$E$238*(1+Inputs!$E$308)^((2000+VALUE(RIGHT(H$6,2)))-2027)*Scenarios!$B$7,0)</f>
        <v>0</v>
      </c>
      <c r="I54" s="436">
        <f>IF(I$8=1,Inputs!$E$238*(1+Inputs!$E$308)^((2000+VALUE(RIGHT(I$6,2)))-2027)*Scenarios!$B$7,0)</f>
        <v>0</v>
      </c>
      <c r="J54" s="436">
        <f>IF(J$8=1,Inputs!$E$238*(1+Inputs!$E$308)^((2000+VALUE(RIGHT(J$6,2)))-2027)*Scenarios!$B$7,0)</f>
        <v>0</v>
      </c>
      <c r="K54" s="436">
        <f>IF(K$8=1,Inputs!$E$238*(1+Inputs!$E$308)^((2000+VALUE(RIGHT(K$6,2)))-2027)*Scenarios!$B$7,0)</f>
        <v>46350</v>
      </c>
      <c r="L54" s="436">
        <f>IF(L$8=1,Inputs!$E$238*(1+Inputs!$E$308)^((2000+VALUE(RIGHT(L$6,2)))-2027)*Scenarios!$B$7,0)</f>
        <v>47740.5</v>
      </c>
      <c r="M54" s="436">
        <f>IF(M$8=1,Inputs!$E$238*(1+Inputs!$E$308)^((2000+VALUE(RIGHT(M$6,2)))-2027)*Scenarios!$B$7,0)</f>
        <v>49172.715000000004</v>
      </c>
      <c r="N54" s="436">
        <f>IF(N$8=1,Inputs!$E$238*(1+Inputs!$E$308)^((2000+VALUE(RIGHT(N$6,2)))-2027)*Scenarios!$B$7,0)</f>
        <v>50647.896449999993</v>
      </c>
      <c r="O54" s="436">
        <f>IF(O$8=1,Inputs!$E$238*(1+Inputs!$E$308)^((2000+VALUE(RIGHT(O$6,2)))-2027)*Scenarios!$B$7,0)</f>
        <v>52167.333343499995</v>
      </c>
      <c r="P54" s="436">
        <f>IF(P$8=1,Inputs!$E$238*(1+Inputs!$E$308)^((2000+VALUE(RIGHT(P$6,2)))-2027)*Scenarios!$B$7,0)</f>
        <v>53732.353343804993</v>
      </c>
      <c r="Q54" s="436">
        <f>IF(Q$8=1,Inputs!$E$238*(1+Inputs!$E$308)^((2000+VALUE(RIGHT(Q$6,2)))-2027)*Scenarios!$B$7,0)</f>
        <v>55344.323944119147</v>
      </c>
      <c r="R54" s="436">
        <f>IF(R$8=1,Inputs!$E$238*(1+Inputs!$E$308)^((2000+VALUE(RIGHT(R$6,2)))-2027)*Scenarios!$B$7,0)</f>
        <v>57004.653662442717</v>
      </c>
      <c r="S54" s="436">
        <f>IF(S$8=1,Inputs!$E$238*(1+Inputs!$E$308)^((2000+VALUE(RIGHT(S$6,2)))-2027)*Scenarios!$B$7,0)</f>
        <v>58714.793272315997</v>
      </c>
    </row>
    <row r="55" spans="1:19" x14ac:dyDescent="0.35">
      <c r="A55" s="331"/>
      <c r="B55" s="331"/>
      <c r="C55" s="93" t="s">
        <v>1241</v>
      </c>
      <c r="D55" s="93"/>
      <c r="E55" s="331"/>
      <c r="F55" s="331"/>
      <c r="G55" s="331"/>
      <c r="H55" s="436">
        <f>IF(H$8=1,Inputs!$E$239*(1+Inputs!$E$308)^((2000+VALUE(RIGHT(H$6,2)))-2027)*Scenarios!$B$7,0)</f>
        <v>0</v>
      </c>
      <c r="I55" s="436">
        <f>IF(I$8=1,Inputs!$E$239*(1+Inputs!$E$308)^((2000+VALUE(RIGHT(I$6,2)))-2027)*Scenarios!$B$7,0)</f>
        <v>0</v>
      </c>
      <c r="J55" s="436">
        <f>IF(J$8=1,Inputs!$E$239*(1+Inputs!$E$308)^((2000+VALUE(RIGHT(J$6,2)))-2027)*Scenarios!$B$7,0)</f>
        <v>0</v>
      </c>
      <c r="K55" s="436">
        <f>IF(K$8=1,Inputs!$E$239*(1+Inputs!$E$308)^((2000+VALUE(RIGHT(K$6,2)))-2027)*Scenarios!$B$7,0)</f>
        <v>46350</v>
      </c>
      <c r="L55" s="436">
        <f>IF(L$8=1,Inputs!$E$239*(1+Inputs!$E$308)^((2000+VALUE(RIGHT(L$6,2)))-2027)*Scenarios!$B$7,0)</f>
        <v>47740.5</v>
      </c>
      <c r="M55" s="436">
        <f>IF(M$8=1,Inputs!$E$239*(1+Inputs!$E$308)^((2000+VALUE(RIGHT(M$6,2)))-2027)*Scenarios!$B$7,0)</f>
        <v>49172.715000000004</v>
      </c>
      <c r="N55" s="436">
        <f>IF(N$8=1,Inputs!$E$239*(1+Inputs!$E$308)^((2000+VALUE(RIGHT(N$6,2)))-2027)*Scenarios!$B$7,0)</f>
        <v>50647.896449999993</v>
      </c>
      <c r="O55" s="436">
        <f>IF(O$8=1,Inputs!$E$239*(1+Inputs!$E$308)^((2000+VALUE(RIGHT(O$6,2)))-2027)*Scenarios!$B$7,0)</f>
        <v>52167.333343499995</v>
      </c>
      <c r="P55" s="436">
        <f>IF(P$8=1,Inputs!$E$239*(1+Inputs!$E$308)^((2000+VALUE(RIGHT(P$6,2)))-2027)*Scenarios!$B$7,0)</f>
        <v>53732.353343804993</v>
      </c>
      <c r="Q55" s="436">
        <f>IF(Q$8=1,Inputs!$E$239*(1+Inputs!$E$308)^((2000+VALUE(RIGHT(Q$6,2)))-2027)*Scenarios!$B$7,0)</f>
        <v>55344.323944119147</v>
      </c>
      <c r="R55" s="436">
        <f>IF(R$8=1,Inputs!$E$239*(1+Inputs!$E$308)^((2000+VALUE(RIGHT(R$6,2)))-2027)*Scenarios!$B$7,0)</f>
        <v>57004.653662442717</v>
      </c>
      <c r="S55" s="436">
        <f>IF(S$8=1,Inputs!$E$239*(1+Inputs!$E$308)^((2000+VALUE(RIGHT(S$6,2)))-2027)*Scenarios!$B$7,0)</f>
        <v>58714.793272315997</v>
      </c>
    </row>
    <row r="56" spans="1:19" x14ac:dyDescent="0.35">
      <c r="A56" s="331"/>
      <c r="B56" s="331"/>
      <c r="C56" s="93" t="s">
        <v>727</v>
      </c>
      <c r="D56" s="93"/>
      <c r="E56" s="331"/>
      <c r="F56" s="331"/>
      <c r="G56" s="331"/>
      <c r="H56" s="436">
        <f>IF(H$8=1,Inputs!$E$236*(1+Inputs!$E$308)^((2000+VALUE(RIGHT(H$6,2)))-2027)*Scenarios!$B$7,0)</f>
        <v>0</v>
      </c>
      <c r="I56" s="436">
        <f>IF(I$8=1,Inputs!$E$236*(1+Inputs!$E$308)^((2000+VALUE(RIGHT(I$6,2)))-2027)*Scenarios!$B$7,0)</f>
        <v>0</v>
      </c>
      <c r="J56" s="436">
        <f>IF(J$8=1,Inputs!$E$236*(1+Inputs!$E$308)^((2000+VALUE(RIGHT(J$6,2)))-2027)*Scenarios!$B$7,0)</f>
        <v>0</v>
      </c>
      <c r="K56" s="436">
        <f>IF(K$8=1,Inputs!$E$236*(1+Inputs!$E$308)^((2000+VALUE(RIGHT(K$6,2)))-2027)*Scenarios!$B$7,0)</f>
        <v>51500</v>
      </c>
      <c r="L56" s="436">
        <f>IF(L$8=1,Inputs!$E$236*(1+Inputs!$E$308)^((2000+VALUE(RIGHT(L$6,2)))-2027)*Scenarios!$B$7,0)</f>
        <v>53045</v>
      </c>
      <c r="M56" s="436">
        <f>IF(M$8=1,Inputs!$E$236*(1+Inputs!$E$308)^((2000+VALUE(RIGHT(M$6,2)))-2027)*Scenarios!$B$7,0)</f>
        <v>54636.35</v>
      </c>
      <c r="N56" s="436">
        <f>IF(N$8=1,Inputs!$E$236*(1+Inputs!$E$308)^((2000+VALUE(RIGHT(N$6,2)))-2027)*Scenarios!$B$7,0)</f>
        <v>56275.440499999997</v>
      </c>
      <c r="O56" s="436">
        <f>IF(O$8=1,Inputs!$E$236*(1+Inputs!$E$308)^((2000+VALUE(RIGHT(O$6,2)))-2027)*Scenarios!$B$7,0)</f>
        <v>57963.703714999989</v>
      </c>
      <c r="P56" s="436">
        <f>IF(P$8=1,Inputs!$E$236*(1+Inputs!$E$308)^((2000+VALUE(RIGHT(P$6,2)))-2027)*Scenarios!$B$7,0)</f>
        <v>59702.614826449993</v>
      </c>
      <c r="Q56" s="436">
        <f>IF(Q$8=1,Inputs!$E$236*(1+Inputs!$E$308)^((2000+VALUE(RIGHT(Q$6,2)))-2027)*Scenarios!$B$7,0)</f>
        <v>61493.693271243501</v>
      </c>
      <c r="R56" s="436">
        <f>IF(R$8=1,Inputs!$E$236*(1+Inputs!$E$308)^((2000+VALUE(RIGHT(R$6,2)))-2027)*Scenarios!$B$7,0)</f>
        <v>63338.504069380797</v>
      </c>
      <c r="S56" s="436">
        <f>IF(S$8=1,Inputs!$E$236*(1+Inputs!$E$308)^((2000+VALUE(RIGHT(S$6,2)))-2027)*Scenarios!$B$7,0)</f>
        <v>65238.659191462226</v>
      </c>
    </row>
    <row r="57" spans="1:19" x14ac:dyDescent="0.35">
      <c r="A57" s="331"/>
      <c r="B57" s="331"/>
      <c r="C57" s="93" t="s">
        <v>1242</v>
      </c>
      <c r="D57" s="93"/>
      <c r="E57" s="331"/>
      <c r="F57" s="331"/>
      <c r="G57" s="331"/>
      <c r="H57" s="436">
        <f>IF(H8=1,Inputs!$E$184*H24,0)</f>
        <v>0</v>
      </c>
      <c r="I57" s="436">
        <f>IF(I8=1,Inputs!$E$184*I24,0)</f>
        <v>0</v>
      </c>
      <c r="J57" s="436">
        <f>IF(J8=1,Inputs!$E$184*J24,0)</f>
        <v>0</v>
      </c>
      <c r="K57" s="436">
        <f>IF(K8=1,Inputs!$E$184*K24,0)</f>
        <v>284437.5</v>
      </c>
      <c r="L57" s="436">
        <f>IF(L8=1,Inputs!$E$184*L24,0)</f>
        <v>291548.4375</v>
      </c>
      <c r="M57" s="436">
        <f>IF(M8=1,Inputs!$E$184*M24,0)</f>
        <v>298837.14843749994</v>
      </c>
      <c r="N57" s="436">
        <f>IF(N8=1,Inputs!$E$184*N24,0)</f>
        <v>306308.07714843744</v>
      </c>
      <c r="O57" s="436">
        <f>IF(O8=1,Inputs!$E$184*O24,0)</f>
        <v>313965.7790771483</v>
      </c>
      <c r="P57" s="436">
        <f>IF(P8=1,Inputs!$E$184*P24,0)</f>
        <v>321814.92355407699</v>
      </c>
      <c r="Q57" s="436">
        <f>IF(Q8=1,Inputs!$E$184*Q24,0)</f>
        <v>329860.29664292891</v>
      </c>
      <c r="R57" s="436">
        <f>IF(R8=1,Inputs!$E$184*R24,0)</f>
        <v>338106.80405900208</v>
      </c>
      <c r="S57" s="436">
        <f>IF(S8=1,Inputs!$E$184*S24,0)</f>
        <v>346559.47416047717</v>
      </c>
    </row>
    <row r="58" spans="1:19" x14ac:dyDescent="0.35">
      <c r="A58" s="331"/>
      <c r="B58" s="331"/>
      <c r="C58" s="93" t="s">
        <v>1243</v>
      </c>
      <c r="D58" s="93"/>
      <c r="E58" s="331"/>
      <c r="F58" s="331"/>
      <c r="G58" s="331"/>
      <c r="H58" s="436">
        <f>IF(H8=1,Inputs!$E$185*H24,0)</f>
        <v>0</v>
      </c>
      <c r="I58" s="436">
        <f>IF(I8=1,Inputs!$E$185*I24,0)</f>
        <v>0</v>
      </c>
      <c r="J58" s="436">
        <f>IF(J8=1,Inputs!$E$185*J24,0)</f>
        <v>0</v>
      </c>
      <c r="K58" s="436">
        <f>IF(K8=1,Inputs!$E$185*K24,0)</f>
        <v>94812.5</v>
      </c>
      <c r="L58" s="436">
        <f>IF(L8=1,Inputs!$E$185*L24,0)</f>
        <v>97182.8125</v>
      </c>
      <c r="M58" s="436">
        <f>IF(M8=1,Inputs!$E$185*M24,0)</f>
        <v>99612.3828125</v>
      </c>
      <c r="N58" s="436">
        <f>IF(N8=1,Inputs!$E$185*N24,0)</f>
        <v>102102.69238281249</v>
      </c>
      <c r="O58" s="436">
        <f>IF(O8=1,Inputs!$E$185*O24,0)</f>
        <v>104655.25969238278</v>
      </c>
      <c r="P58" s="436">
        <f>IF(P8=1,Inputs!$E$185*P24,0)</f>
        <v>107271.64118469234</v>
      </c>
      <c r="Q58" s="436">
        <f>IF(Q8=1,Inputs!$E$185*Q24,0)</f>
        <v>109953.43221430965</v>
      </c>
      <c r="R58" s="436">
        <f>IF(R8=1,Inputs!$E$185*R24,0)</f>
        <v>112702.26801966736</v>
      </c>
      <c r="S58" s="436">
        <f>IF(S8=1,Inputs!$E$185*S24,0)</f>
        <v>115519.82472015906</v>
      </c>
    </row>
    <row r="59" spans="1:19" x14ac:dyDescent="0.35">
      <c r="A59" s="331"/>
      <c r="B59" s="331"/>
      <c r="C59" s="93" t="s">
        <v>1244</v>
      </c>
      <c r="D59" s="93"/>
      <c r="E59" s="331"/>
      <c r="F59" s="331"/>
      <c r="G59" s="331"/>
      <c r="H59" s="436">
        <f>0</f>
        <v>0</v>
      </c>
      <c r="I59" s="436">
        <f>0</f>
        <v>0</v>
      </c>
      <c r="J59" s="436">
        <f>0</f>
        <v>0</v>
      </c>
      <c r="K59" s="436">
        <f>0</f>
        <v>0</v>
      </c>
      <c r="L59" s="436">
        <f>0</f>
        <v>0</v>
      </c>
      <c r="M59" s="436">
        <f>0</f>
        <v>0</v>
      </c>
      <c r="N59" s="436">
        <f>0</f>
        <v>0</v>
      </c>
      <c r="O59" s="436">
        <f>0</f>
        <v>0</v>
      </c>
      <c r="P59" s="436">
        <f>0</f>
        <v>0</v>
      </c>
      <c r="Q59" s="436">
        <f>0</f>
        <v>0</v>
      </c>
      <c r="R59" s="436">
        <f>0</f>
        <v>0</v>
      </c>
      <c r="S59" s="436">
        <f>0</f>
        <v>0</v>
      </c>
    </row>
    <row r="60" spans="1:19" x14ac:dyDescent="0.35">
      <c r="A60" s="331"/>
      <c r="B60" s="331"/>
      <c r="C60" s="93" t="str">
        <f>'Expense Assumptions'!C61</f>
        <v>Annual Venue Lease</v>
      </c>
      <c r="D60" s="93"/>
      <c r="E60" s="331"/>
      <c r="F60" s="331"/>
      <c r="G60" s="331"/>
      <c r="H60" s="436">
        <f>IF(H8=1,INDEX('Expense Assumptions'!$F$61:$Q$61,MATCH((2000+VALUE(RIGHT(H$6,2))),'Expense Assumptions'!$F$21:$Q$21,0))*Scenarios!$B$7,0)</f>
        <v>0</v>
      </c>
      <c r="I60" s="436">
        <f>IF(I8=1,INDEX('Expense Assumptions'!$F$61:$Q$61,MATCH((2000+VALUE(RIGHT(I$6,2))),'Expense Assumptions'!$F$21:$Q$21,0))*Scenarios!$B$7,0)</f>
        <v>0</v>
      </c>
      <c r="J60" s="436">
        <f>IF(J8=1,INDEX('Expense Assumptions'!$F$61:$Q$61,MATCH((2000+VALUE(RIGHT(J$6,2))),'Expense Assumptions'!$F$21:$Q$21,0))*Scenarios!$B$7,0)</f>
        <v>0</v>
      </c>
      <c r="K60" s="436">
        <f>IF(K8=1,INDEX('Expense Assumptions'!$F$61:$Q$61,MATCH((2000+VALUE(RIGHT(K$6,2))),'Expense Assumptions'!$F$21:$Q$21,0))*Scenarios!$B$7,0)</f>
        <v>0</v>
      </c>
      <c r="L60" s="696">
        <f>IF(L8=1,INDEX('Expense Assumptions'!$F$61:$Q$61,MATCH((2000+VALUE(RIGHT(L$6,2))),'Expense Assumptions'!$F$21:$Q$21,0))*Scenarios!$B$7,0)</f>
        <v>357500</v>
      </c>
      <c r="M60" s="436">
        <f>IF(M8=1,INDEX('Expense Assumptions'!$F$61:$Q$61,MATCH((2000+VALUE(RIGHT(M$6,2))),'Expense Assumptions'!$F$21:$Q$21,0))*Scenarios!$B$7,0)</f>
        <v>402512.5</v>
      </c>
      <c r="N60" s="436">
        <f>IF(N8=1,INDEX('Expense Assumptions'!$F$61:$Q$61,MATCH((2000+VALUE(RIGHT(N$6,2))),'Expense Assumptions'!$F$21:$Q$21,0))*Scenarios!$B$7,0)</f>
        <v>416600.43749999994</v>
      </c>
      <c r="O60" s="436">
        <f>IF(O8=1,INDEX('Expense Assumptions'!$F$61:$Q$61,MATCH((2000+VALUE(RIGHT(O$6,2))),'Expense Assumptions'!$F$21:$Q$21,0))*Scenarios!$B$7,0)</f>
        <v>431181.45281249989</v>
      </c>
      <c r="P60" s="436">
        <f>IF(P8=1,INDEX('Expense Assumptions'!$F$61:$Q$61,MATCH((2000+VALUE(RIGHT(P$6,2))),'Expense Assumptions'!$F$21:$Q$21,0))*Scenarios!$B$7,0)</f>
        <v>856512.27638437471</v>
      </c>
      <c r="Q60" s="436">
        <f>IF(Q8=1,INDEX('Expense Assumptions'!$F$61:$Q$61,MATCH((2000+VALUE(RIGHT(Q$6,2))),'Expense Assumptions'!$F$21:$Q$21,0))*Scenarios!$B$7,0)</f>
        <v>923784.70357814</v>
      </c>
      <c r="R60" s="436">
        <f>IF(R8=1,INDEX('Expense Assumptions'!$F$61:$Q$61,MATCH((2000+VALUE(RIGHT(R$6,2))),'Expense Assumptions'!$F$21:$Q$21,0))*Scenarios!$B$7,0)</f>
        <v>956117.16820337519</v>
      </c>
      <c r="S60" s="436">
        <f>IF(S8=1,INDEX('Expense Assumptions'!$F$61:$Q$61,MATCH((2000+VALUE(RIGHT(S$6,2))),'Expense Assumptions'!$F$21:$Q$21,0))*Scenarios!$B$7,0)</f>
        <v>989581.26909049344</v>
      </c>
    </row>
    <row r="61" spans="1:19" x14ac:dyDescent="0.35">
      <c r="A61" s="331"/>
      <c r="B61" s="331"/>
      <c r="C61" s="93" t="s">
        <v>458</v>
      </c>
      <c r="D61" s="93"/>
      <c r="E61" s="331"/>
      <c r="F61" s="331"/>
      <c r="G61" s="331"/>
      <c r="H61" s="436">
        <f t="shared" ref="H61:S61" si="12">IF(H$8=1,H$60*RM_OutgoingsPct,0)</f>
        <v>0</v>
      </c>
      <c r="I61" s="436">
        <f t="shared" si="12"/>
        <v>0</v>
      </c>
      <c r="J61" s="436">
        <f t="shared" si="12"/>
        <v>0</v>
      </c>
      <c r="K61" s="436">
        <f t="shared" si="12"/>
        <v>0</v>
      </c>
      <c r="L61" s="436">
        <f t="shared" si="12"/>
        <v>53625</v>
      </c>
      <c r="M61" s="436">
        <f t="shared" si="12"/>
        <v>60376.875</v>
      </c>
      <c r="N61" s="436">
        <f t="shared" si="12"/>
        <v>62490.065624999988</v>
      </c>
      <c r="O61" s="436">
        <f t="shared" si="12"/>
        <v>64677.217921874981</v>
      </c>
      <c r="P61" s="436">
        <f t="shared" si="12"/>
        <v>128476.84145765621</v>
      </c>
      <c r="Q61" s="436">
        <f t="shared" si="12"/>
        <v>138567.70553672098</v>
      </c>
      <c r="R61" s="436">
        <f t="shared" si="12"/>
        <v>143417.57523050628</v>
      </c>
      <c r="S61" s="436">
        <f t="shared" si="12"/>
        <v>148437.19036357402</v>
      </c>
    </row>
    <row r="62" spans="1:19" x14ac:dyDescent="0.35">
      <c r="A62" s="331"/>
      <c r="B62" s="331"/>
      <c r="C62" s="93" t="s">
        <v>1245</v>
      </c>
      <c r="D62" s="93"/>
      <c r="E62" s="331"/>
      <c r="F62" s="331"/>
      <c r="G62" s="331"/>
      <c r="H62" s="436">
        <f>IF(H8=1,Inputs!$E$231*(1+Inputs!$E$308)^((2000+VALUE(RIGHT(H$6,2)))-2027)*Scenarios!$B$7,0)</f>
        <v>0</v>
      </c>
      <c r="I62" s="436">
        <f>IF(I8=1,Inputs!$E$231*(1+Inputs!$E$308)^((2000+VALUE(RIGHT(I$6,2)))-2027)*Scenarios!$B$7,0)</f>
        <v>0</v>
      </c>
      <c r="J62" s="436">
        <f>IF(J8=1,Inputs!$E$231*(1+Inputs!$E$308)^((2000+VALUE(RIGHT(J$6,2)))-2027)*Scenarios!$B$7,0)</f>
        <v>0</v>
      </c>
      <c r="K62" s="436">
        <f>IF(K8=1,Inputs!$E$231*(1+Inputs!$E$308)^((2000+VALUE(RIGHT(K$6,2)))-2027)*Scenarios!$B$7,0)</f>
        <v>103000</v>
      </c>
      <c r="L62" s="436">
        <f>IF(L8=1,Inputs!$E$231*(1+Inputs!$E$308)^((2000+VALUE(RIGHT(L$6,2)))-2027)*Scenarios!$B$7,0)</f>
        <v>106090</v>
      </c>
      <c r="M62" s="436">
        <f>IF(M8=1,Inputs!$E$231*(1+Inputs!$E$308)^((2000+VALUE(RIGHT(M$6,2)))-2027)*Scenarios!$B$7,0)</f>
        <v>109272.7</v>
      </c>
      <c r="N62" s="436">
        <f>IF(N8=1,Inputs!$E$231*(1+Inputs!$E$308)^((2000+VALUE(RIGHT(N$6,2)))-2027)*Scenarios!$B$7,0)</f>
        <v>112550.88099999999</v>
      </c>
      <c r="O62" s="436">
        <f>IF(O8=1,Inputs!$E$231*(1+Inputs!$E$308)^((2000+VALUE(RIGHT(O$6,2)))-2027)*Scenarios!$B$7,0)</f>
        <v>115927.40742999998</v>
      </c>
      <c r="P62" s="436">
        <f>IF(P8=1,Inputs!$E$231*(1+Inputs!$E$308)^((2000+VALUE(RIGHT(P$6,2)))-2027)*Scenarios!$B$7,0)</f>
        <v>119405.22965289999</v>
      </c>
      <c r="Q62" s="436">
        <f>IF(Q8=1,Inputs!$E$231*(1+Inputs!$E$308)^((2000+VALUE(RIGHT(Q$6,2)))-2027)*Scenarios!$B$7,0)</f>
        <v>122987.386542487</v>
      </c>
      <c r="R62" s="436">
        <f>IF(R8=1,Inputs!$E$231*(1+Inputs!$E$308)^((2000+VALUE(RIGHT(R$6,2)))-2027)*Scenarios!$B$7,0)</f>
        <v>126677.00813876159</v>
      </c>
      <c r="S62" s="436">
        <f>IF(S8=1,Inputs!$E$231*(1+Inputs!$E$308)^((2000+VALUE(RIGHT(S$6,2)))-2027)*Scenarios!$B$7,0)</f>
        <v>130477.31838292445</v>
      </c>
    </row>
    <row r="63" spans="1:19" x14ac:dyDescent="0.35">
      <c r="A63" s="331"/>
      <c r="B63" s="331"/>
      <c r="C63" s="93" t="s">
        <v>716</v>
      </c>
      <c r="D63" s="93"/>
      <c r="E63" s="331"/>
      <c r="F63" s="331"/>
      <c r="G63" s="331"/>
      <c r="H63" s="436">
        <f>IF(H8=1,Inputs!$E$230*(1+Inputs!$E$311)^((2000+VALUE(RIGHT(H$6,2)))-2027)*Scenarios!$B$7,0)</f>
        <v>0</v>
      </c>
      <c r="I63" s="436">
        <f>IF(I8=1,Inputs!$E$230*(1+Inputs!$E$311)^((2000+VALUE(RIGHT(I$6,2)))-2027)*Scenarios!$B$7,0)</f>
        <v>0</v>
      </c>
      <c r="J63" s="436">
        <f>IF(J8=1,Inputs!$E$230*(1+Inputs!$E$311)^((2000+VALUE(RIGHT(J$6,2)))-2027)*Scenarios!$B$7,0)</f>
        <v>0</v>
      </c>
      <c r="K63" s="436">
        <f>IF(K8=1,Inputs!$E$230*(1+Inputs!$E$311)^((2000+VALUE(RIGHT(K$6,2)))-2027)*Scenarios!$B$7,0)</f>
        <v>105000</v>
      </c>
      <c r="L63" s="436">
        <f>IF(L8=1,Inputs!$E$230*(1+Inputs!$E$311)^((2000+VALUE(RIGHT(L$6,2)))-2027)*Scenarios!$B$7,0)</f>
        <v>110250</v>
      </c>
      <c r="M63" s="436">
        <f>IF(M8=1,Inputs!$E$230*(1+Inputs!$E$311)^((2000+VALUE(RIGHT(M$6,2)))-2027)*Scenarios!$B$7,0)</f>
        <v>115762.50000000001</v>
      </c>
      <c r="N63" s="436">
        <f>IF(N8=1,Inputs!$E$230*(1+Inputs!$E$311)^((2000+VALUE(RIGHT(N$6,2)))-2027)*Scenarios!$B$7,0)</f>
        <v>121550.625</v>
      </c>
      <c r="O63" s="436">
        <f>IF(O8=1,Inputs!$E$230*(1+Inputs!$E$311)^((2000+VALUE(RIGHT(O$6,2)))-2027)*Scenarios!$B$7,0)</f>
        <v>127628.15625000001</v>
      </c>
      <c r="P63" s="436">
        <f>IF(P8=1,Inputs!$E$230*(1+Inputs!$E$311)^((2000+VALUE(RIGHT(P$6,2)))-2027)*Scenarios!$B$7,0)</f>
        <v>134009.56406249999</v>
      </c>
      <c r="Q63" s="436">
        <f>IF(Q8=1,Inputs!$E$230*(1+Inputs!$E$311)^((2000+VALUE(RIGHT(Q$6,2)))-2027)*Scenarios!$B$7,0)</f>
        <v>140710.04226562503</v>
      </c>
      <c r="R63" s="436">
        <f>IF(R8=1,Inputs!$E$230*(1+Inputs!$E$311)^((2000+VALUE(RIGHT(R$6,2)))-2027)*Scenarios!$B$7,0)</f>
        <v>147745.54437890626</v>
      </c>
      <c r="S63" s="436">
        <f>IF(S8=1,Inputs!$E$230*(1+Inputs!$E$311)^((2000+VALUE(RIGHT(S$6,2)))-2027)*Scenarios!$B$7,0)</f>
        <v>155132.82159785158</v>
      </c>
    </row>
    <row r="64" spans="1:19" x14ac:dyDescent="0.35">
      <c r="A64" s="331"/>
      <c r="B64" s="331"/>
      <c r="C64" s="93" t="s">
        <v>1246</v>
      </c>
      <c r="D64" s="93"/>
      <c r="E64" s="331"/>
      <c r="F64" s="331"/>
      <c r="G64" s="331"/>
      <c r="H64" s="436">
        <f>IF(H8=1,H28*Inputs!$E$244*Scenarios!$B$7,0)</f>
        <v>0</v>
      </c>
      <c r="I64" s="436">
        <f>IF(I8=1,I28*Inputs!$E$244*Scenarios!$B$7,0)</f>
        <v>0</v>
      </c>
      <c r="J64" s="436">
        <f>IF(J8=1,J28*Inputs!$E$244*Scenarios!$B$7,0)</f>
        <v>0</v>
      </c>
      <c r="K64" s="436">
        <f>IF(K8=1,K28*Inputs!$E$244*Scenarios!$B$7,0)</f>
        <v>90964.546884500014</v>
      </c>
      <c r="L64" s="436">
        <f>IF(L8=1,L28*Inputs!$E$244*Scenarios!$B$7,0)</f>
        <v>95866.47490992627</v>
      </c>
      <c r="M64" s="436">
        <f>IF(M8=1,M28*Inputs!$E$244*Scenarios!$B$7,0)</f>
        <v>101411.35136483751</v>
      </c>
      <c r="N64" s="436">
        <f>IF(N8=1,N28*Inputs!$E$244*Scenarios!$B$7,0)</f>
        <v>104085.79276225701</v>
      </c>
      <c r="O64" s="436">
        <f>IF(O8=1,O28*Inputs!$E$244*Scenarios!$B$7,0)</f>
        <v>106484.89189363057</v>
      </c>
      <c r="P64" s="436">
        <f>IF(P8=1,P28*Inputs!$E$244*Scenarios!$B$7,0)</f>
        <v>108954.29088253297</v>
      </c>
      <c r="Q64" s="436">
        <f>IF(Q8=1,Q28*Inputs!$E$244*Scenarios!$B$7,0)</f>
        <v>111496.05690052983</v>
      </c>
      <c r="R64" s="436">
        <f>IF(R8=1,R28*Inputs!$E$244*Scenarios!$B$7,0)</f>
        <v>114112.31808872957</v>
      </c>
      <c r="S64" s="436">
        <f>IF(S8=1,S28*Inputs!$E$244*Scenarios!$B$7,0)</f>
        <v>116805.26536072996</v>
      </c>
    </row>
    <row r="65" spans="1:19" x14ac:dyDescent="0.35">
      <c r="A65" s="331"/>
      <c r="B65" s="331"/>
      <c r="C65" s="93" t="s">
        <v>724</v>
      </c>
      <c r="D65" s="93"/>
      <c r="E65" s="331"/>
      <c r="F65" s="331"/>
      <c r="G65" s="331"/>
      <c r="H65" s="436">
        <f>IF(H$8=1,Inputs!$E$234*(1+Inputs!$E$308)^((2000+VALUE(RIGHT(H$6,2)))-2027)*Scenarios!$B$7,0)</f>
        <v>0</v>
      </c>
      <c r="I65" s="436">
        <f>IF(I$8=1,Inputs!$E$234*(1+Inputs!$E$308)^((2000+VALUE(RIGHT(I$6,2)))-2027)*Scenarios!$B$7,0)</f>
        <v>0</v>
      </c>
      <c r="J65" s="436">
        <f>IF(J$8=1,Inputs!$E$234*(1+Inputs!$E$308)^((2000+VALUE(RIGHT(J$6,2)))-2027)*Scenarios!$B$7,0)</f>
        <v>0</v>
      </c>
      <c r="K65" s="436">
        <f>IF(K$8=1,Inputs!$E$234*(1+Inputs!$E$308)^((2000+VALUE(RIGHT(K$6,2)))-2027)*Scenarios!$B$7,0)</f>
        <v>25750</v>
      </c>
      <c r="L65" s="436">
        <f>IF(L$8=1,Inputs!$E$234*(1+Inputs!$E$308)^((2000+VALUE(RIGHT(L$6,2)))-2027)*Scenarios!$B$7,0)</f>
        <v>26522.5</v>
      </c>
      <c r="M65" s="436">
        <f>IF(M$8=1,Inputs!$E$234*(1+Inputs!$E$308)^((2000+VALUE(RIGHT(M$6,2)))-2027)*Scenarios!$B$7,0)</f>
        <v>27318.174999999999</v>
      </c>
      <c r="N65" s="436">
        <f>IF(N$8=1,Inputs!$E$234*(1+Inputs!$E$308)^((2000+VALUE(RIGHT(N$6,2)))-2027)*Scenarios!$B$7,0)</f>
        <v>28137.720249999998</v>
      </c>
      <c r="O65" s="436">
        <f>IF(O$8=1,Inputs!$E$234*(1+Inputs!$E$308)^((2000+VALUE(RIGHT(O$6,2)))-2027)*Scenarios!$B$7,0)</f>
        <v>28981.851857499994</v>
      </c>
      <c r="P65" s="436">
        <f>IF(P$8=1,Inputs!$E$234*(1+Inputs!$E$308)^((2000+VALUE(RIGHT(P$6,2)))-2027)*Scenarios!$B$7,0)</f>
        <v>29851.307413224997</v>
      </c>
      <c r="Q65" s="436">
        <f>IF(Q$8=1,Inputs!$E$234*(1+Inputs!$E$308)^((2000+VALUE(RIGHT(Q$6,2)))-2027)*Scenarios!$B$7,0)</f>
        <v>30746.84663562175</v>
      </c>
      <c r="R65" s="436">
        <f>IF(R$8=1,Inputs!$E$234*(1+Inputs!$E$308)^((2000+VALUE(RIGHT(R$6,2)))-2027)*Scenarios!$B$7,0)</f>
        <v>31669.252034690398</v>
      </c>
      <c r="S65" s="436">
        <f>IF(S$8=1,Inputs!$E$234*(1+Inputs!$E$308)^((2000+VALUE(RIGHT(S$6,2)))-2027)*Scenarios!$B$7,0)</f>
        <v>32619.329595731113</v>
      </c>
    </row>
    <row r="66" spans="1:19" x14ac:dyDescent="0.35">
      <c r="A66" s="331"/>
      <c r="B66" s="331"/>
      <c r="C66" s="93" t="s">
        <v>726</v>
      </c>
      <c r="D66" s="93"/>
      <c r="E66" s="331"/>
      <c r="F66" s="331"/>
      <c r="G66" s="331"/>
      <c r="H66" s="436">
        <f>IF(H$8=1,Inputs!$E$235*(1+Inputs!$E$308)^((2000+VALUE(RIGHT(H$6,2)))-2027)*Scenarios!$B$7,0)</f>
        <v>0</v>
      </c>
      <c r="I66" s="436">
        <f>IF(I$8=1,Inputs!$E$235*(1+Inputs!$E$308)^((2000+VALUE(RIGHT(I$6,2)))-2027)*Scenarios!$B$7,0)</f>
        <v>0</v>
      </c>
      <c r="J66" s="436">
        <f>IF(J$8=1,Inputs!$E$235*(1+Inputs!$E$308)^((2000+VALUE(RIGHT(J$6,2)))-2027)*Scenarios!$B$7,0)</f>
        <v>0</v>
      </c>
      <c r="K66" s="436">
        <f>IF(K$8=1,Inputs!$E$235*(1+Inputs!$E$308)^((2000+VALUE(RIGHT(K$6,2)))-2027)*Scenarios!$B$7,0)</f>
        <v>10300</v>
      </c>
      <c r="L66" s="436">
        <f>IF(L$8=1,Inputs!$E$235*(1+Inputs!$E$308)^((2000+VALUE(RIGHT(L$6,2)))-2027)*Scenarios!$B$7,0)</f>
        <v>10609</v>
      </c>
      <c r="M66" s="436">
        <f>IF(M$8=1,Inputs!$E$235*(1+Inputs!$E$308)^((2000+VALUE(RIGHT(M$6,2)))-2027)*Scenarios!$B$7,0)</f>
        <v>10927.27</v>
      </c>
      <c r="N66" s="436">
        <f>IF(N$8=1,Inputs!$E$235*(1+Inputs!$E$308)^((2000+VALUE(RIGHT(N$6,2)))-2027)*Scenarios!$B$7,0)</f>
        <v>11255.088099999999</v>
      </c>
      <c r="O66" s="436">
        <f>IF(O$8=1,Inputs!$E$235*(1+Inputs!$E$308)^((2000+VALUE(RIGHT(O$6,2)))-2027)*Scenarios!$B$7,0)</f>
        <v>11592.740742999998</v>
      </c>
      <c r="P66" s="436">
        <f>IF(P$8=1,Inputs!$E$235*(1+Inputs!$E$308)^((2000+VALUE(RIGHT(P$6,2)))-2027)*Scenarios!$B$7,0)</f>
        <v>11940.52296529</v>
      </c>
      <c r="Q66" s="436">
        <f>IF(Q$8=1,Inputs!$E$235*(1+Inputs!$E$308)^((2000+VALUE(RIGHT(Q$6,2)))-2027)*Scenarios!$B$7,0)</f>
        <v>12298.7386542487</v>
      </c>
      <c r="R66" s="436">
        <f>IF(R$8=1,Inputs!$E$235*(1+Inputs!$E$308)^((2000+VALUE(RIGHT(R$6,2)))-2027)*Scenarios!$B$7,0)</f>
        <v>12667.700813876159</v>
      </c>
      <c r="S66" s="436">
        <f>IF(S$8=1,Inputs!$E$235*(1+Inputs!$E$308)^((2000+VALUE(RIGHT(S$6,2)))-2027)*Scenarios!$B$7,0)</f>
        <v>13047.731838292444</v>
      </c>
    </row>
    <row r="67" spans="1:19" x14ac:dyDescent="0.35">
      <c r="A67" s="331"/>
      <c r="B67" s="331"/>
      <c r="C67" s="93"/>
      <c r="D67" s="93"/>
      <c r="E67" s="331"/>
      <c r="F67" s="331"/>
      <c r="G67" s="331"/>
      <c r="H67" s="436">
        <v>0</v>
      </c>
      <c r="I67" s="436">
        <v>0</v>
      </c>
      <c r="J67" s="436">
        <v>0</v>
      </c>
      <c r="K67" s="436">
        <v>0</v>
      </c>
      <c r="L67" s="436">
        <v>0</v>
      </c>
      <c r="M67" s="436">
        <v>0</v>
      </c>
      <c r="N67" s="436">
        <v>0</v>
      </c>
      <c r="O67" s="436">
        <v>0</v>
      </c>
      <c r="P67" s="436">
        <v>0</v>
      </c>
      <c r="Q67" s="436">
        <v>0</v>
      </c>
      <c r="R67" s="436">
        <v>0</v>
      </c>
      <c r="S67" s="436">
        <v>0</v>
      </c>
    </row>
    <row r="68" spans="1:19" x14ac:dyDescent="0.35">
      <c r="A68" s="331"/>
      <c r="B68" s="331"/>
      <c r="C68" s="77" t="s">
        <v>1247</v>
      </c>
      <c r="D68" s="331"/>
      <c r="E68" s="331"/>
      <c r="F68" s="331"/>
      <c r="G68" s="331"/>
      <c r="H68" s="436">
        <f t="shared" ref="H68:S68" si="13">H69+H70+H71</f>
        <v>0</v>
      </c>
      <c r="I68" s="436">
        <f t="shared" si="13"/>
        <v>0</v>
      </c>
      <c r="J68" s="436">
        <f t="shared" si="13"/>
        <v>0</v>
      </c>
      <c r="K68" s="436">
        <f t="shared" si="13"/>
        <v>2217997.0685149999</v>
      </c>
      <c r="L68" s="436">
        <f t="shared" si="13"/>
        <v>2286754.977638965</v>
      </c>
      <c r="M68" s="436">
        <f t="shared" si="13"/>
        <v>2357644.3819457726</v>
      </c>
      <c r="N68" s="436">
        <f t="shared" si="13"/>
        <v>2430731.357786091</v>
      </c>
      <c r="O68" s="436">
        <f t="shared" si="13"/>
        <v>2506084.0298774592</v>
      </c>
      <c r="P68" s="436">
        <f t="shared" si="13"/>
        <v>2583772.6348036602</v>
      </c>
      <c r="Q68" s="436">
        <f t="shared" si="13"/>
        <v>2663869.5864825742</v>
      </c>
      <c r="R68" s="436">
        <f t="shared" si="13"/>
        <v>2746449.5436635334</v>
      </c>
      <c r="S68" s="436">
        <f t="shared" si="13"/>
        <v>2831589.4795171032</v>
      </c>
    </row>
    <row r="69" spans="1:19" x14ac:dyDescent="0.35">
      <c r="A69" s="331"/>
      <c r="B69" s="331"/>
      <c r="C69" s="77" t="s">
        <v>1248</v>
      </c>
      <c r="D69" s="82"/>
      <c r="E69" s="331"/>
      <c r="F69" s="331"/>
      <c r="G69" s="331"/>
      <c r="H69" s="436">
        <f>IF(H$8=1,INDEX('Expense Assumptions'!$F$35:$Q$35,MATCH((2000+VALUE(RIGHT(H$6,2))),'Expense Assumptions'!$F$21:$Q$21,0))*Scenarios!$B$7,0)</f>
        <v>0</v>
      </c>
      <c r="I69" s="436">
        <f>IF(I$8=1,INDEX('Expense Assumptions'!$F$35:$Q$35,MATCH((2000+VALUE(RIGHT(I$6,2))),'Expense Assumptions'!$F$21:$Q$21,0))*Scenarios!$B$7,0)</f>
        <v>0</v>
      </c>
      <c r="J69" s="436">
        <f>IF(J$8=1,INDEX('Expense Assumptions'!$F$35:$Q$35,MATCH((2000+VALUE(RIGHT(J$6,2))),'Expense Assumptions'!$F$21:$Q$21,0))*Scenarios!$B$7,0)</f>
        <v>0</v>
      </c>
      <c r="K69" s="436">
        <f>IF(K$8=1,INDEX('Expense Assumptions'!$F$35:$Q$35,MATCH((2000+VALUE(RIGHT(K$6,2))),'Expense Assumptions'!$F$21:$Q$21,0))*Scenarios!$B$7,0)</f>
        <v>1860284.8499999999</v>
      </c>
      <c r="L69" s="436">
        <f>IF(L$8=1,INDEX('Expense Assumptions'!$F$35:$Q$35,MATCH((2000+VALUE(RIGHT(L$6,2))),'Expense Assumptions'!$F$21:$Q$21,0))*Scenarios!$B$7,0)</f>
        <v>1917953.68035</v>
      </c>
      <c r="M69" s="436">
        <f>IF(M$8=1,INDEX('Expense Assumptions'!$F$35:$Q$35,MATCH((2000+VALUE(RIGHT(M$6,2))),'Expense Assumptions'!$F$21:$Q$21,0))*Scenarios!$B$7,0)</f>
        <v>1977410.2444408499</v>
      </c>
      <c r="N69" s="436">
        <f>IF(N$8=1,INDEX('Expense Assumptions'!$F$35:$Q$35,MATCH((2000+VALUE(RIGHT(N$6,2))),'Expense Assumptions'!$F$21:$Q$21,0))*Scenarios!$B$7,0)</f>
        <v>2038709.9620185157</v>
      </c>
      <c r="O69" s="436">
        <f>IF(O$8=1,INDEX('Expense Assumptions'!$F$35:$Q$35,MATCH((2000+VALUE(RIGHT(O$6,2))),'Expense Assumptions'!$F$21:$Q$21,0))*Scenarios!$B$7,0)</f>
        <v>2101909.9708410893</v>
      </c>
      <c r="P69" s="436">
        <f>IF(P$8=1,INDEX('Expense Assumptions'!$F$35:$Q$35,MATCH((2000+VALUE(RIGHT(P$6,2))),'Expense Assumptions'!$F$21:$Q$21,0))*Scenarios!$B$7,0)</f>
        <v>2167069.1799371629</v>
      </c>
      <c r="Q69" s="436">
        <f>IF(Q$8=1,INDEX('Expense Assumptions'!$F$35:$Q$35,MATCH((2000+VALUE(RIGHT(Q$6,2))),'Expense Assumptions'!$F$21:$Q$21,0))*Scenarios!$B$7,0)</f>
        <v>2234248.3245152151</v>
      </c>
      <c r="R69" s="436">
        <f>IF(R$8=1,INDEX('Expense Assumptions'!$F$35:$Q$35,MATCH((2000+VALUE(RIGHT(R$6,2))),'Expense Assumptions'!$F$21:$Q$21,0))*Scenarios!$B$7,0)</f>
        <v>2303510.0225751861</v>
      </c>
      <c r="S69" s="436">
        <f>IF(S$8=1,INDEX('Expense Assumptions'!$F$35:$Q$35,MATCH((2000+VALUE(RIGHT(S$6,2))),'Expense Assumptions'!$F$21:$Q$21,0))*Scenarios!$B$7,0)</f>
        <v>2374918.8332750169</v>
      </c>
    </row>
    <row r="70" spans="1:19" x14ac:dyDescent="0.35">
      <c r="A70" s="331"/>
      <c r="B70" s="331"/>
      <c r="C70" s="77" t="s">
        <v>1249</v>
      </c>
      <c r="D70" s="82"/>
      <c r="E70" s="331"/>
      <c r="F70" s="331"/>
      <c r="G70" s="331"/>
      <c r="H70" s="436">
        <f>IF(H$8=1,INDEX('Expense Assumptions'!$F$51:$Q$51,MATCH((2000+VALUE(RIGHT(H$6,2))),'Expense Assumptions'!$F$21:$Q$21,0))*Scenarios!$B$7,0)</f>
        <v>0</v>
      </c>
      <c r="I70" s="436">
        <f>IF(I$8=1,INDEX('Expense Assumptions'!$F$51:$Q$51,MATCH((2000+VALUE(RIGHT(I$6,2))),'Expense Assumptions'!$F$21:$Q$21,0))*Scenarios!$B$7,0)</f>
        <v>0</v>
      </c>
      <c r="J70" s="436">
        <f>IF(J$8=1,INDEX('Expense Assumptions'!$F$51:$Q$51,MATCH((2000+VALUE(RIGHT(J$6,2))),'Expense Assumptions'!$F$21:$Q$21,0))*Scenarios!$B$7,0)</f>
        <v>0</v>
      </c>
      <c r="K70" s="436">
        <f>IF(K$8=1,INDEX('Expense Assumptions'!$F$51:$Q$51,MATCH((2000+VALUE(RIGHT(K$6,2))),'Expense Assumptions'!$F$21:$Q$21,0))*Scenarios!$B$7,0)</f>
        <v>335751.85149999993</v>
      </c>
      <c r="L70" s="436">
        <f>IF(L$8=1,INDEX('Expense Assumptions'!$F$51:$Q$51,MATCH((2000+VALUE(RIGHT(L$6,2))),'Expense Assumptions'!$F$21:$Q$21,0))*Scenarios!$B$7,0)</f>
        <v>346160.15889649995</v>
      </c>
      <c r="M70" s="436">
        <f>IF(M$8=1,INDEX('Expense Assumptions'!$F$51:$Q$51,MATCH((2000+VALUE(RIGHT(M$6,2))),'Expense Assumptions'!$F$21:$Q$21,0))*Scenarios!$B$7,0)</f>
        <v>356891.12382229138</v>
      </c>
      <c r="N70" s="436">
        <f>IF(N$8=1,INDEX('Expense Assumptions'!$F$51:$Q$51,MATCH((2000+VALUE(RIGHT(N$6,2))),'Expense Assumptions'!$F$21:$Q$21,0))*Scenarios!$B$7,0)</f>
        <v>367954.74866078241</v>
      </c>
      <c r="O70" s="436">
        <f>IF(O$8=1,INDEX('Expense Assumptions'!$F$51:$Q$51,MATCH((2000+VALUE(RIGHT(O$6,2))),'Expense Assumptions'!$F$21:$Q$21,0))*Scenarios!$B$7,0)</f>
        <v>379361.34586926666</v>
      </c>
      <c r="P70" s="436">
        <f>IF(P$8=1,INDEX('Expense Assumptions'!$F$51:$Q$51,MATCH((2000+VALUE(RIGHT(P$6,2))),'Expense Assumptions'!$F$21:$Q$21,0))*Scenarios!$B$7,0)</f>
        <v>391121.54759121378</v>
      </c>
      <c r="Q70" s="436">
        <f>IF(Q$8=1,INDEX('Expense Assumptions'!$F$51:$Q$51,MATCH((2000+VALUE(RIGHT(Q$6,2))),'Expense Assumptions'!$F$21:$Q$21,0))*Scenarios!$B$7,0)</f>
        <v>403246.31556654157</v>
      </c>
      <c r="R70" s="436">
        <f>IF(R$8=1,INDEX('Expense Assumptions'!$F$51:$Q$51,MATCH((2000+VALUE(RIGHT(R$6,2))),'Expense Assumptions'!$F$21:$Q$21,0))*Scenarios!$B$7,0)</f>
        <v>415746.95134910417</v>
      </c>
      <c r="S70" s="436">
        <f>IF(S$8=1,INDEX('Expense Assumptions'!$F$51:$Q$51,MATCH((2000+VALUE(RIGHT(S$6,2))),'Expense Assumptions'!$F$21:$Q$21,0))*Scenarios!$B$7,0)</f>
        <v>428635.10684092646</v>
      </c>
    </row>
    <row r="71" spans="1:19" x14ac:dyDescent="0.35">
      <c r="A71" s="331"/>
      <c r="B71" s="331"/>
      <c r="C71" s="77" t="s">
        <v>741</v>
      </c>
      <c r="D71" s="82"/>
      <c r="E71" s="331"/>
      <c r="F71" s="331"/>
      <c r="G71" s="331"/>
      <c r="H71" s="436">
        <f>IF(H8=1,Inputs!$E$245*(H69+H70),0)</f>
        <v>0</v>
      </c>
      <c r="I71" s="436">
        <f>IF(I8=1,Inputs!$E$245*(I69+I70),0)</f>
        <v>0</v>
      </c>
      <c r="J71" s="436">
        <f>IF(J8=1,Inputs!$E$245*(J69+J70),0)</f>
        <v>0</v>
      </c>
      <c r="K71" s="436">
        <f>IF(K8=1,Inputs!$E$245*(K69+K70),0)</f>
        <v>21960.367015</v>
      </c>
      <c r="L71" s="436">
        <f>IF(L8=1,Inputs!$E$245*(L69+L70),0)</f>
        <v>22641.138392465</v>
      </c>
      <c r="M71" s="436">
        <f>IF(M8=1,Inputs!$E$245*(M69+M70),0)</f>
        <v>23343.013682631412</v>
      </c>
      <c r="N71" s="436">
        <f>IF(N8=1,Inputs!$E$245*(N69+N70),0)</f>
        <v>24066.647106792982</v>
      </c>
      <c r="O71" s="436">
        <f>IF(O8=1,Inputs!$E$245*(O69+O70),0)</f>
        <v>24812.713167103557</v>
      </c>
      <c r="P71" s="436">
        <f>IF(P8=1,Inputs!$E$245*(P69+P70),0)</f>
        <v>25581.907275283767</v>
      </c>
      <c r="Q71" s="436">
        <f>IF(Q8=1,Inputs!$E$245*(Q69+Q70),0)</f>
        <v>26374.946400817567</v>
      </c>
      <c r="R71" s="436">
        <f>IF(R8=1,Inputs!$E$245*(R69+R70),0)</f>
        <v>27192.569739242903</v>
      </c>
      <c r="S71" s="436">
        <f>IF(S8=1,Inputs!$E$245*(S69+S70),0)</f>
        <v>28035.539401159436</v>
      </c>
    </row>
    <row r="72" spans="1:19" x14ac:dyDescent="0.35">
      <c r="A72" s="331"/>
      <c r="B72" s="331"/>
      <c r="C72" s="93"/>
      <c r="D72" s="93"/>
      <c r="E72" s="331"/>
      <c r="F72" s="331"/>
      <c r="G72" s="331"/>
      <c r="H72" s="436"/>
      <c r="I72" s="436"/>
      <c r="J72" s="436"/>
      <c r="K72" s="436"/>
      <c r="L72" s="436"/>
      <c r="M72" s="436"/>
      <c r="N72" s="436"/>
      <c r="O72" s="436"/>
      <c r="P72" s="436"/>
      <c r="Q72" s="436"/>
      <c r="R72" s="436"/>
      <c r="S72" s="436"/>
    </row>
    <row r="73" spans="1:19" x14ac:dyDescent="0.35">
      <c r="A73" s="331"/>
      <c r="B73" s="331"/>
      <c r="C73" s="93" t="s">
        <v>1250</v>
      </c>
      <c r="D73" s="93"/>
      <c r="E73" s="331"/>
      <c r="F73" s="331"/>
      <c r="G73" s="331"/>
      <c r="H73" s="436">
        <f>Inputs!$E$516</f>
        <v>0</v>
      </c>
      <c r="I73" s="436">
        <f>Inputs!$F$516</f>
        <v>0</v>
      </c>
      <c r="J73" s="436">
        <f>Inputs!$G$516</f>
        <v>0</v>
      </c>
      <c r="K73" s="436">
        <f>Inputs!$H$516</f>
        <v>148917.91048440413</v>
      </c>
      <c r="L73" s="436">
        <f>Inputs!$I$516</f>
        <v>198305.03090415121</v>
      </c>
      <c r="M73" s="436">
        <f>Inputs!$J$516</f>
        <v>213867.61409406119</v>
      </c>
      <c r="N73" s="436">
        <f>Inputs!$K$516</f>
        <v>165715.96673503646</v>
      </c>
      <c r="O73" s="436">
        <f>Inputs!$L$516</f>
        <v>216998.13534590858</v>
      </c>
      <c r="P73" s="436">
        <f>Inputs!$M$516</f>
        <v>229335.4061850002</v>
      </c>
      <c r="Q73" s="436">
        <f>Inputs!$N$516</f>
        <v>242217.6648976272</v>
      </c>
      <c r="R73" s="436">
        <f>Inputs!$O$516</f>
        <v>255666.50726494356</v>
      </c>
      <c r="S73" s="436">
        <f>Inputs!$P$516</f>
        <v>269704.33432589262</v>
      </c>
    </row>
    <row r="74" spans="1:19" x14ac:dyDescent="0.35">
      <c r="A74" s="331"/>
      <c r="B74" s="331"/>
      <c r="C74" s="93"/>
      <c r="D74" s="93"/>
      <c r="E74" s="331"/>
      <c r="F74" s="331"/>
      <c r="G74" s="331"/>
      <c r="H74" s="436"/>
      <c r="I74" s="436"/>
      <c r="J74" s="436"/>
      <c r="K74" s="436"/>
      <c r="L74" s="436"/>
      <c r="M74" s="436"/>
      <c r="N74" s="436"/>
      <c r="O74" s="436"/>
      <c r="P74" s="436"/>
      <c r="Q74" s="436"/>
      <c r="R74" s="436"/>
      <c r="S74" s="436"/>
    </row>
    <row r="75" spans="1:19" x14ac:dyDescent="0.35">
      <c r="A75" s="331"/>
      <c r="B75" s="331"/>
      <c r="C75" s="77" t="s">
        <v>1251</v>
      </c>
      <c r="D75" s="331"/>
      <c r="E75" s="331"/>
      <c r="F75" s="331"/>
      <c r="G75" s="331"/>
      <c r="H75" s="436">
        <f t="shared" ref="H75:S75" si="14">H45+H46+H47+H48+H49+H50+H51+H52+H53+H54+H55+H56+H57+H58+H59+H60+H61+H62+H63+H64+H65+H66+H68+H73</f>
        <v>0</v>
      </c>
      <c r="I75" s="436">
        <f t="shared" si="14"/>
        <v>0</v>
      </c>
      <c r="J75" s="436">
        <f t="shared" si="14"/>
        <v>0</v>
      </c>
      <c r="K75" s="436">
        <f t="shared" si="14"/>
        <v>4117417.0258839042</v>
      </c>
      <c r="L75" s="436">
        <f t="shared" si="14"/>
        <v>4691078.8584530428</v>
      </c>
      <c r="M75" s="436">
        <f t="shared" si="14"/>
        <v>4875572.2624046709</v>
      </c>
      <c r="N75" s="436">
        <f t="shared" si="14"/>
        <v>4961398.9489521338</v>
      </c>
      <c r="O75" s="436">
        <f t="shared" si="14"/>
        <v>5150543.2749037789</v>
      </c>
      <c r="P75" s="436">
        <f t="shared" si="14"/>
        <v>5776881.9811083544</v>
      </c>
      <c r="Q75" s="436">
        <f t="shared" si="14"/>
        <v>5995895.9231901327</v>
      </c>
      <c r="R75" s="436">
        <f t="shared" si="14"/>
        <v>6179317.2566204909</v>
      </c>
      <c r="S75" s="436">
        <f t="shared" si="14"/>
        <v>6368779.1726794634</v>
      </c>
    </row>
    <row r="76" spans="1:19" x14ac:dyDescent="0.35">
      <c r="A76" s="331"/>
      <c r="B76" s="331"/>
      <c r="C76" s="331"/>
      <c r="D76" s="331"/>
      <c r="E76" s="331"/>
      <c r="F76" s="331"/>
      <c r="G76" s="331"/>
      <c r="H76" s="436"/>
      <c r="I76" s="436"/>
      <c r="J76" s="436"/>
      <c r="K76" s="436"/>
      <c r="L76" s="436"/>
      <c r="M76" s="436"/>
      <c r="N76" s="436"/>
      <c r="O76" s="436"/>
      <c r="P76" s="436"/>
      <c r="Q76" s="436"/>
      <c r="R76" s="436"/>
      <c r="S76" s="436"/>
    </row>
    <row r="77" spans="1:19" ht="15" customHeight="1" x14ac:dyDescent="0.35">
      <c r="A77" s="331"/>
      <c r="B77" s="92" t="s">
        <v>17</v>
      </c>
      <c r="C77" s="77"/>
      <c r="D77" s="331"/>
      <c r="E77" s="331"/>
      <c r="F77" s="331"/>
      <c r="G77" s="331"/>
      <c r="H77" s="436">
        <f t="shared" ref="H77:S77" si="15">H41-H75</f>
        <v>0</v>
      </c>
      <c r="I77" s="436">
        <f t="shared" si="15"/>
        <v>0</v>
      </c>
      <c r="J77" s="436">
        <f t="shared" si="15"/>
        <v>0</v>
      </c>
      <c r="K77" s="436">
        <f>K41-K75</f>
        <v>13999302.1323661</v>
      </c>
      <c r="L77" s="436">
        <f t="shared" si="15"/>
        <v>14401312.244882211</v>
      </c>
      <c r="M77" s="436">
        <f t="shared" si="15"/>
        <v>15322989.91056283</v>
      </c>
      <c r="N77" s="436">
        <f t="shared" si="15"/>
        <v>15770795.881999265</v>
      </c>
      <c r="O77" s="436">
        <f t="shared" si="15"/>
        <v>16058922.470677335</v>
      </c>
      <c r="P77" s="436">
        <f t="shared" si="15"/>
        <v>15923838.183258889</v>
      </c>
      <c r="Q77" s="436">
        <f t="shared" si="15"/>
        <v>16210473.304412302</v>
      </c>
      <c r="R77" s="436">
        <f t="shared" si="15"/>
        <v>16547518.944046786</v>
      </c>
      <c r="S77" s="436">
        <f t="shared" si="15"/>
        <v>16893777.659875534</v>
      </c>
    </row>
    <row r="78" spans="1:19" x14ac:dyDescent="0.35">
      <c r="A78" s="331"/>
      <c r="B78" s="331"/>
      <c r="C78" s="77" t="s">
        <v>1252</v>
      </c>
      <c r="D78" s="82"/>
      <c r="E78" s="331"/>
      <c r="F78" s="331"/>
      <c r="G78" s="331"/>
      <c r="H78" s="436" t="str">
        <f t="shared" ref="H78:S78" si="16">IF(H28=0,"",H77/H28)</f>
        <v/>
      </c>
      <c r="I78" s="436" t="str">
        <f t="shared" si="16"/>
        <v/>
      </c>
      <c r="J78" s="436" t="str">
        <f t="shared" si="16"/>
        <v/>
      </c>
      <c r="K78" s="21">
        <f t="shared" si="16"/>
        <v>0.76949221492530318</v>
      </c>
      <c r="L78" s="21">
        <f t="shared" si="16"/>
        <v>0.75111305899238101</v>
      </c>
      <c r="M78" s="21">
        <f t="shared" si="16"/>
        <v>0.75548692056359823</v>
      </c>
      <c r="N78" s="21">
        <f t="shared" si="16"/>
        <v>0.75758638443679993</v>
      </c>
      <c r="O78" s="21">
        <f t="shared" si="16"/>
        <v>0.75404699131961583</v>
      </c>
      <c r="P78" s="21">
        <f t="shared" si="16"/>
        <v>0.73075773584846138</v>
      </c>
      <c r="Q78" s="21">
        <f t="shared" si="16"/>
        <v>0.72695276205481985</v>
      </c>
      <c r="R78" s="21">
        <f t="shared" si="16"/>
        <v>0.72505401788350488</v>
      </c>
      <c r="S78" s="21">
        <f t="shared" si="16"/>
        <v>0.72315993665621336</v>
      </c>
    </row>
    <row r="79" spans="1:19" x14ac:dyDescent="0.35">
      <c r="A79" s="331"/>
      <c r="B79" s="331"/>
      <c r="C79" s="77" t="s">
        <v>1253</v>
      </c>
      <c r="D79" s="331"/>
      <c r="E79" s="331"/>
      <c r="F79" s="331"/>
      <c r="G79" s="331"/>
      <c r="H79" s="436">
        <f>IF(H$8=0,INDEX(Cashflow!$D$27:$O$27,MATCH(H$6,Cashflow!$D$7:$O$7,0)),0)</f>
        <v>0</v>
      </c>
      <c r="I79" s="436">
        <f>IF(I$8=0,INDEX(Cashflow!$D$27:$O$27,MATCH(I$6,Cashflow!$D$7:$O$7,0)),0)</f>
        <v>0</v>
      </c>
      <c r="J79" s="436">
        <f>IF(J$8=0,INDEX(Cashflow!$D$27:$O$27,MATCH(J$6,Cashflow!$D$7:$O$7,0)),0)</f>
        <v>0</v>
      </c>
      <c r="K79" s="436">
        <f>IF(K$8=0,INDEX(Cashflow!$D$27:$O$27,MATCH(K$6,Cashflow!$D$7:$O$7,0)),0)</f>
        <v>0</v>
      </c>
      <c r="L79" s="436">
        <f>IF(L$8=0,INDEX(Cashflow!$D$27:$O$27,MATCH(L$6,Cashflow!$D$7:$O$7,0)),0)</f>
        <v>0</v>
      </c>
      <c r="M79" s="436">
        <f>IF(M$8=0,INDEX(Cashflow!$D$27:$O$27,MATCH(M$6,Cashflow!$D$7:$O$7,0)),0)</f>
        <v>0</v>
      </c>
      <c r="N79" s="436">
        <f>IF(N$8=0,INDEX(Cashflow!$D$27:$O$27,MATCH(N$6,Cashflow!$D$7:$O$7,0)),0)</f>
        <v>0</v>
      </c>
      <c r="O79" s="436">
        <f>IF(O$8=0,INDEX(Cashflow!$D$27:$O$27,MATCH(O$6,Cashflow!$D$7:$O$7,0)),0)</f>
        <v>0</v>
      </c>
      <c r="P79" s="436">
        <f>IF(P$8=0,INDEX(Cashflow!$D$27:$O$27,MATCH(P$6,Cashflow!$D$7:$O$7,0)),0)</f>
        <v>0</v>
      </c>
      <c r="Q79" s="436">
        <f>IF(Q$8=0,INDEX(Cashflow!$D$27:$O$27,MATCH(Q$6,Cashflow!$D$7:$O$7,0)),0)</f>
        <v>0</v>
      </c>
      <c r="R79" s="436">
        <f>IF(R$8=0,INDEX(Cashflow!$D$27:$O$27,MATCH(R$6,Cashflow!$D$7:$O$7,0)),0)</f>
        <v>0</v>
      </c>
      <c r="S79" s="436">
        <f>IF(S$8=0,INDEX(Cashflow!$D$27:$O$27,MATCH(S$6,Cashflow!$D$7:$O$7,0)),0)</f>
        <v>0</v>
      </c>
    </row>
    <row r="80" spans="1:19" x14ac:dyDescent="0.35">
      <c r="A80" s="331"/>
      <c r="B80" s="331"/>
      <c r="C80" s="77"/>
      <c r="D80" s="331"/>
      <c r="E80" s="331"/>
      <c r="F80" s="331"/>
      <c r="G80" s="331"/>
      <c r="H80" s="436"/>
      <c r="I80" s="436"/>
      <c r="J80" s="436"/>
      <c r="K80" s="436"/>
      <c r="L80" s="436"/>
      <c r="M80" s="436"/>
      <c r="N80" s="436"/>
      <c r="O80" s="436"/>
      <c r="P80" s="436"/>
      <c r="Q80" s="436"/>
      <c r="R80" s="436"/>
      <c r="S80" s="436"/>
    </row>
    <row r="81" spans="1:19" s="329" customFormat="1" ht="15" customHeight="1" x14ac:dyDescent="0.35">
      <c r="A81" s="331"/>
      <c r="B81" s="92"/>
      <c r="C81" s="77" t="s">
        <v>1254</v>
      </c>
      <c r="D81" s="331"/>
      <c r="E81" s="331"/>
      <c r="F81" s="331"/>
      <c r="G81" s="331"/>
      <c r="H81" s="436">
        <f>'Construction Timeline'!D180</f>
        <v>0</v>
      </c>
      <c r="I81" s="436">
        <f>'Construction Timeline'!E180</f>
        <v>0</v>
      </c>
      <c r="J81" s="436">
        <f>'Construction Timeline'!F180</f>
        <v>0</v>
      </c>
      <c r="K81" s="436">
        <f>'Construction Timeline'!G180</f>
        <v>0</v>
      </c>
      <c r="L81" s="436">
        <f>'Construction Timeline'!H180</f>
        <v>0</v>
      </c>
      <c r="M81" s="436">
        <f>'Construction Timeline'!I180</f>
        <v>0</v>
      </c>
      <c r="N81" s="436">
        <f>'Construction Timeline'!J180</f>
        <v>0</v>
      </c>
      <c r="O81" s="436">
        <f>'Construction Timeline'!K180</f>
        <v>0</v>
      </c>
      <c r="P81" s="436">
        <f>'Construction Timeline'!L180</f>
        <v>0</v>
      </c>
      <c r="Q81" s="436">
        <f>'Construction Timeline'!M180</f>
        <v>0</v>
      </c>
      <c r="R81" s="436">
        <f>'Construction Timeline'!N180</f>
        <v>0</v>
      </c>
      <c r="S81" s="436">
        <f>'Construction Timeline'!O180</f>
        <v>0</v>
      </c>
    </row>
    <row r="82" spans="1:19" s="329" customFormat="1" x14ac:dyDescent="0.35">
      <c r="A82" s="331"/>
      <c r="B82" s="331"/>
      <c r="C82" s="331"/>
      <c r="D82" s="331"/>
      <c r="E82" s="331"/>
      <c r="F82" s="331"/>
      <c r="G82" s="331"/>
      <c r="H82" s="436"/>
      <c r="I82" s="436"/>
      <c r="J82" s="436"/>
      <c r="K82" s="436"/>
      <c r="L82" s="436"/>
      <c r="M82" s="436"/>
      <c r="N82" s="436"/>
      <c r="O82" s="436"/>
      <c r="P82" s="436"/>
      <c r="Q82" s="436"/>
      <c r="R82" s="436"/>
      <c r="S82" s="436"/>
    </row>
    <row r="83" spans="1:19" s="329" customFormat="1" x14ac:dyDescent="0.35">
      <c r="A83" s="331"/>
      <c r="B83" s="92" t="s">
        <v>250</v>
      </c>
      <c r="C83" s="77"/>
      <c r="D83" s="331"/>
      <c r="E83" s="331"/>
      <c r="F83" s="331"/>
      <c r="G83" s="331"/>
      <c r="H83" s="436">
        <f t="shared" ref="H83:S83" si="17">H77-H79-H81</f>
        <v>0</v>
      </c>
      <c r="I83" s="436">
        <f t="shared" si="17"/>
        <v>0</v>
      </c>
      <c r="J83" s="436">
        <f t="shared" si="17"/>
        <v>0</v>
      </c>
      <c r="K83" s="436">
        <f t="shared" si="17"/>
        <v>13999302.1323661</v>
      </c>
      <c r="L83" s="436">
        <f t="shared" si="17"/>
        <v>14401312.244882211</v>
      </c>
      <c r="M83" s="436">
        <f t="shared" si="17"/>
        <v>15322989.91056283</v>
      </c>
      <c r="N83" s="436">
        <f t="shared" si="17"/>
        <v>15770795.881999265</v>
      </c>
      <c r="O83" s="436">
        <f t="shared" si="17"/>
        <v>16058922.470677335</v>
      </c>
      <c r="P83" s="436">
        <f t="shared" si="17"/>
        <v>15923838.183258889</v>
      </c>
      <c r="Q83" s="436">
        <f t="shared" si="17"/>
        <v>16210473.304412302</v>
      </c>
      <c r="R83" s="436">
        <f t="shared" si="17"/>
        <v>16547518.944046786</v>
      </c>
      <c r="S83" s="436">
        <f t="shared" si="17"/>
        <v>16893777.659875534</v>
      </c>
    </row>
    <row r="84" spans="1:19" s="329" customFormat="1" x14ac:dyDescent="0.35">
      <c r="A84" s="331"/>
      <c r="B84" s="331"/>
      <c r="C84" s="331"/>
      <c r="D84" s="331"/>
      <c r="E84" s="331"/>
      <c r="F84" s="331"/>
      <c r="G84" s="331"/>
      <c r="H84" s="436"/>
      <c r="I84" s="436"/>
      <c r="J84" s="436"/>
      <c r="K84" s="436"/>
      <c r="L84" s="436"/>
      <c r="M84" s="436"/>
      <c r="N84" s="436"/>
      <c r="O84" s="436"/>
      <c r="P84" s="436"/>
      <c r="Q84" s="436"/>
      <c r="R84" s="436"/>
      <c r="S84" s="436"/>
    </row>
    <row r="85" spans="1:19" s="329" customFormat="1" x14ac:dyDescent="0.35">
      <c r="A85" s="331"/>
      <c r="B85" s="92"/>
      <c r="C85" s="77" t="s">
        <v>1255</v>
      </c>
      <c r="D85" s="331"/>
      <c r="E85" s="331"/>
      <c r="F85" s="331"/>
      <c r="G85" s="331"/>
      <c r="H85" s="436">
        <f>IF(H$8=1,Debt!H57,0)</f>
        <v>0</v>
      </c>
      <c r="I85" s="436">
        <f>IF(I$8=1,Debt!I57,0)</f>
        <v>0</v>
      </c>
      <c r="J85" s="436">
        <f>IF(J$8=1,Debt!J57,0)</f>
        <v>0</v>
      </c>
      <c r="K85" s="436">
        <f>IF(K$8=1,Debt!K57,0)</f>
        <v>696660</v>
      </c>
      <c r="L85" s="436">
        <f>IF(L$8=1,Debt!L57,0)</f>
        <v>614700</v>
      </c>
      <c r="M85" s="436">
        <f>IF(M$8=1,Debt!M57,0)</f>
        <v>532740</v>
      </c>
      <c r="N85" s="436">
        <f>IF(N$8=1,Debt!N57,0)</f>
        <v>450780</v>
      </c>
      <c r="O85" s="436">
        <f>IF(O$8=1,Debt!O57,0)</f>
        <v>368820</v>
      </c>
      <c r="P85" s="436">
        <f>IF(P$8=1,Debt!P57,0)</f>
        <v>286860</v>
      </c>
      <c r="Q85" s="436">
        <f>IF(Q$8=1,Debt!Q57,0)</f>
        <v>204900</v>
      </c>
      <c r="R85" s="436">
        <f>IF(R$8=1,Debt!R57,0)</f>
        <v>122940</v>
      </c>
      <c r="S85" s="436">
        <f>IF(S$8=1,Debt!S57,0)</f>
        <v>40980</v>
      </c>
    </row>
    <row r="86" spans="1:19" s="329" customFormat="1" x14ac:dyDescent="0.35">
      <c r="A86" s="331"/>
      <c r="B86" s="331"/>
      <c r="C86" s="331"/>
      <c r="D86" s="331"/>
      <c r="E86" s="331"/>
      <c r="F86" s="331"/>
      <c r="G86" s="331"/>
      <c r="H86" s="436"/>
      <c r="I86" s="436"/>
      <c r="J86" s="436"/>
      <c r="K86" s="436"/>
      <c r="L86" s="436"/>
      <c r="M86" s="436"/>
      <c r="N86" s="436"/>
      <c r="O86" s="436"/>
      <c r="P86" s="436"/>
      <c r="Q86" s="436"/>
      <c r="R86" s="436"/>
      <c r="S86" s="436"/>
    </row>
    <row r="87" spans="1:19" s="329" customFormat="1" ht="15" customHeight="1" x14ac:dyDescent="0.35">
      <c r="A87" s="331"/>
      <c r="B87" s="92" t="s">
        <v>1256</v>
      </c>
      <c r="C87" s="77"/>
      <c r="D87" s="331"/>
      <c r="E87" s="331"/>
      <c r="F87" s="331"/>
      <c r="G87" s="331"/>
      <c r="H87" s="436">
        <f t="shared" ref="H87:N87" si="18">H83-H85</f>
        <v>0</v>
      </c>
      <c r="I87" s="436">
        <f t="shared" si="18"/>
        <v>0</v>
      </c>
      <c r="J87" s="436">
        <f t="shared" si="18"/>
        <v>0</v>
      </c>
      <c r="K87" s="436">
        <f t="shared" si="18"/>
        <v>13302642.1323661</v>
      </c>
      <c r="L87" s="436">
        <f t="shared" si="18"/>
        <v>13786612.244882211</v>
      </c>
      <c r="M87" s="436">
        <f t="shared" si="18"/>
        <v>14790249.91056283</v>
      </c>
      <c r="N87" s="436">
        <f t="shared" si="18"/>
        <v>15320015.881999265</v>
      </c>
      <c r="O87" s="436">
        <f>O77-O79-O81</f>
        <v>16058922.470677335</v>
      </c>
      <c r="P87" s="436">
        <f>P83-P85</f>
        <v>15636978.183258889</v>
      </c>
      <c r="Q87" s="436">
        <f>Q83-Q85</f>
        <v>16005573.304412302</v>
      </c>
      <c r="R87" s="436">
        <f>R83-R85</f>
        <v>16424578.944046786</v>
      </c>
      <c r="S87" s="436">
        <f>S83-S85</f>
        <v>16852797.659875534</v>
      </c>
    </row>
    <row r="88" spans="1:19" s="329" customFormat="1" x14ac:dyDescent="0.35">
      <c r="A88" s="331"/>
      <c r="B88" s="331"/>
      <c r="C88" s="331"/>
      <c r="D88" s="331"/>
      <c r="E88" s="331"/>
      <c r="F88" s="331"/>
      <c r="G88" s="331"/>
      <c r="H88" s="436"/>
      <c r="I88" s="436"/>
      <c r="J88" s="436"/>
      <c r="K88" s="436"/>
      <c r="L88" s="436"/>
      <c r="M88" s="436"/>
      <c r="N88" s="436"/>
      <c r="O88" s="436"/>
      <c r="P88" s="436"/>
      <c r="Q88" s="436"/>
      <c r="R88" s="436"/>
      <c r="S88" s="436"/>
    </row>
    <row r="89" spans="1:19" s="329" customFormat="1" x14ac:dyDescent="0.35">
      <c r="A89" s="331"/>
      <c r="B89" s="92" t="s">
        <v>1257</v>
      </c>
      <c r="C89" s="77" t="s">
        <v>1258</v>
      </c>
      <c r="D89" s="331"/>
      <c r="E89" s="331"/>
      <c r="F89" s="331"/>
      <c r="G89" s="331"/>
      <c r="H89" s="436">
        <f>MAX(0,H87)*Inputs!$E$260</f>
        <v>0</v>
      </c>
      <c r="I89" s="436">
        <f>IF(I87&gt;0,MAX(0,I87-H90)*Inputs!$E$260,0)</f>
        <v>0</v>
      </c>
      <c r="J89" s="436">
        <f>IF(J87&gt;0,MAX(0,J87-I90)*Inputs!$E$260,0)</f>
        <v>0</v>
      </c>
      <c r="K89" s="436">
        <f>IF(K87&gt;0,MAX(0,K87-J90)*Inputs!$E$260,0)</f>
        <v>3990792.6397098298</v>
      </c>
      <c r="L89" s="436">
        <f>IF(L87&gt;0,MAX(0,L87-K90)*Inputs!$E$260,0)</f>
        <v>4135983.6734646633</v>
      </c>
      <c r="M89" s="436">
        <f>IF(M87&gt;0,MAX(0,M87-L90)*Inputs!$E$260,0)</f>
        <v>4437074.973168849</v>
      </c>
      <c r="N89" s="436">
        <f>IF(N87&gt;0,MAX(0,N87-M90)*Inputs!$E$260,0)</f>
        <v>4596004.7645997796</v>
      </c>
      <c r="O89" s="436">
        <f>IF(O87&gt;0,MAX(0,O87-N90)*Inputs!$E$260,0)</f>
        <v>4817676.7412032001</v>
      </c>
      <c r="P89" s="436">
        <f>IF(P87&gt;0,MAX(0,P87-O90)*Inputs!$E$260,0)</f>
        <v>4691093.454977667</v>
      </c>
      <c r="Q89" s="436">
        <f>IF(Q87&gt;0,MAX(0,Q87-P90)*Inputs!$E$260,0)</f>
        <v>4801671.9913236899</v>
      </c>
      <c r="R89" s="436">
        <f>IF(R87&gt;0,MAX(0,R87-Q90)*Inputs!$E$260,0)</f>
        <v>4927373.6832140358</v>
      </c>
      <c r="S89" s="436">
        <f>IF(S87&gt;0,MAX(0,S87-R90)*Inputs!$E$260,0)</f>
        <v>5055839.29796266</v>
      </c>
    </row>
    <row r="90" spans="1:19" s="329" customFormat="1" x14ac:dyDescent="0.35">
      <c r="A90" s="331"/>
      <c r="B90" s="331"/>
      <c r="C90" s="77" t="s">
        <v>1259</v>
      </c>
      <c r="D90" s="331"/>
      <c r="E90" s="331"/>
      <c r="F90" s="331"/>
      <c r="G90" s="331"/>
      <c r="H90" s="436">
        <f>MAX(0,-H87)</f>
        <v>0</v>
      </c>
      <c r="I90" s="436">
        <f t="shared" ref="I90:S90" si="19">MAX(0,H90+MAX(0,-I87)-MIN(H90,MAX(0,I87)))</f>
        <v>0</v>
      </c>
      <c r="J90" s="436">
        <f t="shared" si="19"/>
        <v>0</v>
      </c>
      <c r="K90" s="436">
        <f t="shared" si="19"/>
        <v>0</v>
      </c>
      <c r="L90" s="436">
        <f t="shared" si="19"/>
        <v>0</v>
      </c>
      <c r="M90" s="436">
        <f t="shared" si="19"/>
        <v>0</v>
      </c>
      <c r="N90" s="436">
        <f t="shared" si="19"/>
        <v>0</v>
      </c>
      <c r="O90" s="436">
        <f t="shared" si="19"/>
        <v>0</v>
      </c>
      <c r="P90" s="436">
        <f t="shared" si="19"/>
        <v>0</v>
      </c>
      <c r="Q90" s="436">
        <f t="shared" si="19"/>
        <v>0</v>
      </c>
      <c r="R90" s="436">
        <f t="shared" si="19"/>
        <v>0</v>
      </c>
      <c r="S90" s="436">
        <f t="shared" si="19"/>
        <v>0</v>
      </c>
    </row>
    <row r="91" spans="1:19" s="329" customFormat="1" x14ac:dyDescent="0.35">
      <c r="A91" s="331"/>
      <c r="B91" s="331"/>
      <c r="C91" s="77"/>
      <c r="D91" s="331"/>
      <c r="E91" s="331"/>
      <c r="F91" s="331"/>
      <c r="G91" s="331"/>
      <c r="H91" s="436"/>
      <c r="I91" s="436"/>
      <c r="J91" s="436"/>
      <c r="K91" s="436"/>
      <c r="L91" s="436"/>
      <c r="M91" s="436"/>
      <c r="N91" s="436"/>
      <c r="O91" s="436"/>
      <c r="P91" s="436"/>
      <c r="Q91" s="436"/>
      <c r="R91" s="436"/>
      <c r="S91" s="436"/>
    </row>
    <row r="92" spans="1:19" s="329" customFormat="1" x14ac:dyDescent="0.35">
      <c r="A92" s="331"/>
      <c r="B92" s="331"/>
      <c r="C92" s="77"/>
      <c r="D92" s="331"/>
      <c r="E92" s="331"/>
      <c r="F92" s="331"/>
      <c r="G92" s="331"/>
      <c r="H92" s="436"/>
      <c r="I92" s="436"/>
      <c r="J92" s="436"/>
      <c r="K92" s="436"/>
      <c r="L92" s="436"/>
      <c r="M92" s="436"/>
      <c r="N92" s="436"/>
      <c r="O92" s="436"/>
      <c r="P92" s="436"/>
      <c r="Q92" s="436"/>
      <c r="R92" s="436"/>
      <c r="S92" s="436"/>
    </row>
    <row r="93" spans="1:19" s="436" customFormat="1" ht="15" customHeight="1" x14ac:dyDescent="0.35">
      <c r="A93" s="331"/>
      <c r="B93" s="92" t="s">
        <v>101</v>
      </c>
      <c r="C93" s="77" t="s">
        <v>1260</v>
      </c>
      <c r="D93" s="331"/>
      <c r="E93" s="331"/>
      <c r="F93" s="331"/>
      <c r="G93" s="331"/>
      <c r="H93" s="436">
        <f t="shared" ref="H93:S93" si="20">H87-H89</f>
        <v>0</v>
      </c>
      <c r="I93" s="436">
        <f t="shared" si="20"/>
        <v>0</v>
      </c>
      <c r="J93" s="436">
        <f t="shared" si="20"/>
        <v>0</v>
      </c>
      <c r="K93" s="436">
        <f t="shared" si="20"/>
        <v>9311849.49265627</v>
      </c>
      <c r="L93" s="436">
        <f t="shared" si="20"/>
        <v>9650628.5714175478</v>
      </c>
      <c r="M93" s="436">
        <f t="shared" si="20"/>
        <v>10353174.937393982</v>
      </c>
      <c r="N93" s="436">
        <f t="shared" si="20"/>
        <v>10724011.117399486</v>
      </c>
      <c r="O93" s="436">
        <f t="shared" si="20"/>
        <v>11241245.729474135</v>
      </c>
      <c r="P93" s="436">
        <f t="shared" si="20"/>
        <v>10945884.728281222</v>
      </c>
      <c r="Q93" s="436">
        <f t="shared" si="20"/>
        <v>11203901.313088611</v>
      </c>
      <c r="R93" s="436">
        <f t="shared" si="20"/>
        <v>11497205.260832749</v>
      </c>
      <c r="S93" s="436">
        <f t="shared" si="20"/>
        <v>11796958.361912875</v>
      </c>
    </row>
    <row r="94" spans="1:19" s="329" customFormat="1" x14ac:dyDescent="0.35">
      <c r="A94" s="331"/>
      <c r="B94" s="331"/>
      <c r="C94" s="331"/>
      <c r="D94" s="331"/>
      <c r="E94" s="331"/>
      <c r="F94" s="331"/>
      <c r="G94" s="331"/>
      <c r="H94" s="436"/>
      <c r="I94" s="436"/>
      <c r="J94" s="436"/>
      <c r="K94" s="436"/>
      <c r="L94" s="436"/>
      <c r="M94" s="436"/>
      <c r="N94" s="436"/>
      <c r="O94" s="436"/>
      <c r="P94" s="436"/>
      <c r="Q94" s="436"/>
      <c r="R94" s="436"/>
      <c r="S94" s="436"/>
    </row>
    <row r="95" spans="1:19" s="329" customFormat="1" x14ac:dyDescent="0.35">
      <c r="A95" s="331"/>
      <c r="B95" s="167" t="s">
        <v>1261</v>
      </c>
      <c r="C95" s="331"/>
      <c r="D95" s="331"/>
      <c r="E95" s="331"/>
      <c r="F95" s="331"/>
      <c r="G95" s="331"/>
      <c r="H95" s="436"/>
      <c r="I95" s="436"/>
      <c r="J95" s="436"/>
      <c r="K95" s="436"/>
      <c r="L95" s="436"/>
      <c r="M95" s="436"/>
      <c r="N95" s="436"/>
      <c r="O95" s="436"/>
      <c r="P95" s="436"/>
      <c r="Q95" s="436"/>
      <c r="R95" s="436"/>
      <c r="S95" s="436"/>
    </row>
    <row r="96" spans="1:19" s="329" customFormat="1" x14ac:dyDescent="0.35">
      <c r="A96" s="331"/>
      <c r="B96" s="331"/>
      <c r="C96" s="331" t="s">
        <v>1262</v>
      </c>
      <c r="D96" s="331"/>
      <c r="E96" s="331"/>
      <c r="F96" s="331"/>
      <c r="G96" s="331"/>
      <c r="H96" s="168"/>
      <c r="I96" s="168"/>
      <c r="J96" s="168"/>
      <c r="K96" s="168">
        <f>'Calendar Assumptions'!G52</f>
        <v>556638.88740000001</v>
      </c>
      <c r="L96" s="168">
        <f>'Calendar Assumptions'!H52</f>
        <v>568210.1553000001</v>
      </c>
      <c r="M96" s="168">
        <f>'Calendar Assumptions'!I52</f>
        <v>609014.1</v>
      </c>
      <c r="N96" s="168">
        <f>'Calendar Assumptions'!J52</f>
        <v>609014.1</v>
      </c>
      <c r="O96" s="168">
        <f>'Calendar Assumptions'!K52</f>
        <v>609014.1</v>
      </c>
      <c r="P96" s="168">
        <f>'Calendar Assumptions'!L52</f>
        <v>609014.1</v>
      </c>
      <c r="Q96" s="168">
        <f>'Calendar Assumptions'!M52</f>
        <v>609014.1</v>
      </c>
      <c r="R96" s="168">
        <f>'Calendar Assumptions'!N52</f>
        <v>609014.1</v>
      </c>
      <c r="S96" s="168">
        <f>'Calendar Assumptions'!O52</f>
        <v>609014.1</v>
      </c>
    </row>
    <row r="97" spans="1:19" x14ac:dyDescent="0.35">
      <c r="A97" s="331"/>
      <c r="B97" s="331"/>
      <c r="C97" s="331" t="s">
        <v>964</v>
      </c>
      <c r="D97" s="331"/>
      <c r="E97" s="331"/>
      <c r="F97" s="331"/>
      <c r="G97" s="331"/>
      <c r="H97" s="437">
        <f>Inputs!$E$482</f>
        <v>0.25</v>
      </c>
      <c r="I97" s="437">
        <f>Inputs!$E$482</f>
        <v>0.25</v>
      </c>
      <c r="J97" s="437">
        <f>Inputs!$E$482</f>
        <v>0.25</v>
      </c>
      <c r="K97" s="437">
        <f>Inputs!$E$482</f>
        <v>0.25</v>
      </c>
      <c r="L97" s="437">
        <f>Inputs!$E$482</f>
        <v>0.25</v>
      </c>
      <c r="M97" s="437">
        <f>Inputs!$E$482</f>
        <v>0.25</v>
      </c>
      <c r="N97" s="437">
        <f>Inputs!$E$482</f>
        <v>0.25</v>
      </c>
      <c r="O97" s="437">
        <f>Inputs!$E$482</f>
        <v>0.25</v>
      </c>
      <c r="P97" s="437">
        <f>Inputs!$E$482</f>
        <v>0.25</v>
      </c>
      <c r="Q97" s="437">
        <f>Inputs!$E$482</f>
        <v>0.25</v>
      </c>
      <c r="R97" s="437">
        <f>Inputs!$E$482</f>
        <v>0.25</v>
      </c>
      <c r="S97" s="437">
        <f>Inputs!$E$482</f>
        <v>0.25</v>
      </c>
    </row>
    <row r="98" spans="1:19" x14ac:dyDescent="0.35">
      <c r="A98" s="331"/>
      <c r="B98" s="331"/>
      <c r="C98" s="331" t="s">
        <v>1263</v>
      </c>
      <c r="D98" s="331"/>
      <c r="E98" s="331"/>
      <c r="F98" s="331"/>
      <c r="G98" s="331"/>
      <c r="H98" s="438">
        <f t="shared" ref="H98:S98" si="21">H96*H97</f>
        <v>0</v>
      </c>
      <c r="I98" s="438">
        <f t="shared" si="21"/>
        <v>0</v>
      </c>
      <c r="J98" s="438">
        <f t="shared" si="21"/>
        <v>0</v>
      </c>
      <c r="K98" s="438">
        <f t="shared" si="21"/>
        <v>139159.72185</v>
      </c>
      <c r="L98" s="438">
        <f t="shared" si="21"/>
        <v>142052.53882500003</v>
      </c>
      <c r="M98" s="438">
        <f t="shared" si="21"/>
        <v>152253.52499999999</v>
      </c>
      <c r="N98" s="438">
        <f t="shared" si="21"/>
        <v>152253.52499999999</v>
      </c>
      <c r="O98" s="438">
        <f t="shared" si="21"/>
        <v>152253.52499999999</v>
      </c>
      <c r="P98" s="438">
        <f t="shared" si="21"/>
        <v>152253.52499999999</v>
      </c>
      <c r="Q98" s="438">
        <f t="shared" si="21"/>
        <v>152253.52499999999</v>
      </c>
      <c r="R98" s="438">
        <f t="shared" si="21"/>
        <v>152253.52499999999</v>
      </c>
      <c r="S98" s="438">
        <f t="shared" si="21"/>
        <v>152253.52499999999</v>
      </c>
    </row>
    <row r="99" spans="1:19" x14ac:dyDescent="0.35">
      <c r="A99" s="331"/>
      <c r="B99" s="331"/>
      <c r="C99" s="331"/>
      <c r="D99" s="331"/>
      <c r="E99" s="331"/>
      <c r="F99" s="331"/>
      <c r="G99" s="331"/>
      <c r="H99" s="436"/>
      <c r="I99" s="436"/>
      <c r="J99" s="436"/>
      <c r="K99" s="436"/>
      <c r="L99" s="436"/>
      <c r="M99" s="436"/>
      <c r="N99" s="436"/>
      <c r="O99" s="436"/>
      <c r="P99" s="436"/>
      <c r="Q99" s="436"/>
      <c r="R99" s="436"/>
      <c r="S99" s="436"/>
    </row>
    <row r="100" spans="1:19" x14ac:dyDescent="0.35">
      <c r="A100" s="331"/>
      <c r="B100" s="165" t="s">
        <v>1264</v>
      </c>
      <c r="C100" s="331"/>
      <c r="D100" s="331"/>
      <c r="E100" s="331"/>
      <c r="F100" s="331"/>
      <c r="G100" s="331"/>
      <c r="H100" s="438">
        <f t="shared" ref="H100:S100" si="22">H98</f>
        <v>0</v>
      </c>
      <c r="I100" s="438">
        <f t="shared" si="22"/>
        <v>0</v>
      </c>
      <c r="J100" s="438">
        <f t="shared" si="22"/>
        <v>0</v>
      </c>
      <c r="K100" s="438">
        <f t="shared" si="22"/>
        <v>139159.72185</v>
      </c>
      <c r="L100" s="438">
        <f t="shared" si="22"/>
        <v>142052.53882500003</v>
      </c>
      <c r="M100" s="438">
        <f t="shared" si="22"/>
        <v>152253.52499999999</v>
      </c>
      <c r="N100" s="438">
        <f t="shared" si="22"/>
        <v>152253.52499999999</v>
      </c>
      <c r="O100" s="438">
        <f t="shared" si="22"/>
        <v>152253.52499999999</v>
      </c>
      <c r="P100" s="438">
        <f t="shared" si="22"/>
        <v>152253.52499999999</v>
      </c>
      <c r="Q100" s="438">
        <f t="shared" si="22"/>
        <v>152253.52499999999</v>
      </c>
      <c r="R100" s="438">
        <f t="shared" si="22"/>
        <v>152253.52499999999</v>
      </c>
      <c r="S100" s="438">
        <f t="shared" si="22"/>
        <v>152253.52499999999</v>
      </c>
    </row>
    <row r="101" spans="1:19" x14ac:dyDescent="0.35">
      <c r="A101" s="331"/>
      <c r="B101" s="331"/>
      <c r="C101" s="331"/>
      <c r="D101" s="331"/>
      <c r="E101" s="331"/>
      <c r="F101" s="331"/>
      <c r="G101" s="331"/>
      <c r="H101" s="436"/>
      <c r="I101" s="436"/>
      <c r="J101" s="436"/>
      <c r="K101" s="436"/>
      <c r="L101" s="436"/>
      <c r="M101" s="436"/>
      <c r="N101" s="436"/>
      <c r="O101" s="436"/>
      <c r="P101" s="436"/>
      <c r="Q101" s="436"/>
      <c r="R101" s="436"/>
      <c r="S101" s="436"/>
    </row>
    <row r="102" spans="1:19" x14ac:dyDescent="0.35">
      <c r="A102" s="331"/>
      <c r="B102" s="92" t="s">
        <v>1265</v>
      </c>
      <c r="C102" s="331"/>
      <c r="D102" s="331"/>
      <c r="E102" s="331"/>
      <c r="F102" s="331"/>
      <c r="G102" s="331"/>
      <c r="H102" s="436">
        <f>IF(H93&gt;0,(Inputs!$E$264*'P&amp;L'!H93),0)</f>
        <v>0</v>
      </c>
      <c r="I102" s="436">
        <f>IF(I93&gt;0,(Inputs!$E$264*'P&amp;L'!I93),0)</f>
        <v>0</v>
      </c>
      <c r="J102" s="436">
        <f>IF(J93&gt;0,(Inputs!$E$264*'P&amp;L'!J93),0)</f>
        <v>0</v>
      </c>
      <c r="K102" s="436">
        <f>IF(K93&gt;0,(Inputs!$E$264*'P&amp;L'!K93),0)</f>
        <v>7449479.5941250166</v>
      </c>
      <c r="L102" s="436">
        <f>IF(L93&gt;0,(Inputs!$E$264*'P&amp;L'!L93),0)</f>
        <v>7720502.8571340386</v>
      </c>
      <c r="M102" s="436">
        <f>IF(M93&gt;0,(Inputs!$E$264*'P&amp;L'!M93),0)</f>
        <v>8282539.9499151856</v>
      </c>
      <c r="N102" s="436">
        <f>IF(N93&gt;0,(Inputs!$E$264*'P&amp;L'!N93),0)</f>
        <v>8579208.893919589</v>
      </c>
      <c r="O102" s="436">
        <f>IF(O93&gt;0,(Inputs!$E$264*'P&amp;L'!O93),0)</f>
        <v>8992996.5835793074</v>
      </c>
      <c r="P102" s="436">
        <f>IF(P93&gt;0,(Inputs!$E$264*'P&amp;L'!P93),0)</f>
        <v>8756707.7826249786</v>
      </c>
      <c r="Q102" s="436">
        <f>IF(Q93&gt;0,(Inputs!$E$264*'P&amp;L'!Q93),0)</f>
        <v>8963121.0504708886</v>
      </c>
      <c r="R102" s="436">
        <f>IF(R93&gt;0,(Inputs!$E$264*'P&amp;L'!R93),0)</f>
        <v>9197764.2086661998</v>
      </c>
      <c r="S102" s="436">
        <f>IF(S93&gt;0,(Inputs!$E$264*'P&amp;L'!S93),0)</f>
        <v>9437566.6895303</v>
      </c>
    </row>
    <row r="103" spans="1:19" x14ac:dyDescent="0.35">
      <c r="A103" s="331"/>
      <c r="B103" s="331"/>
      <c r="C103" s="331"/>
      <c r="D103" s="331"/>
      <c r="E103" s="331"/>
      <c r="F103" s="331"/>
      <c r="G103" s="331"/>
      <c r="H103" s="436"/>
      <c r="I103" s="436"/>
      <c r="J103" s="436"/>
      <c r="K103" s="436"/>
      <c r="L103" s="436"/>
      <c r="M103" s="436"/>
      <c r="N103" s="436"/>
      <c r="O103" s="436"/>
      <c r="P103" s="436"/>
      <c r="Q103" s="436"/>
      <c r="R103" s="436"/>
      <c r="S103" s="436"/>
    </row>
    <row r="104" spans="1:19" x14ac:dyDescent="0.35">
      <c r="A104" s="331"/>
      <c r="B104" s="331"/>
      <c r="C104" s="331"/>
      <c r="D104" s="331"/>
      <c r="E104" s="331"/>
      <c r="F104" s="331"/>
      <c r="G104" s="331"/>
      <c r="H104" s="436"/>
      <c r="I104" s="436"/>
      <c r="J104" s="436"/>
      <c r="K104" s="436"/>
      <c r="L104" s="436"/>
      <c r="M104" s="436"/>
      <c r="N104" s="436"/>
      <c r="O104" s="436"/>
      <c r="P104" s="436"/>
      <c r="Q104" s="436"/>
      <c r="R104" s="436"/>
      <c r="S104" s="436"/>
    </row>
    <row r="105" spans="1:19" x14ac:dyDescent="0.35">
      <c r="A105" s="331"/>
      <c r="B105" s="331"/>
      <c r="C105" s="331"/>
      <c r="D105" s="331"/>
      <c r="E105" s="331"/>
      <c r="F105" s="331"/>
      <c r="G105" s="331"/>
      <c r="H105" s="436"/>
      <c r="I105" s="436"/>
      <c r="J105" s="436"/>
      <c r="K105" s="436"/>
      <c r="L105" s="436"/>
      <c r="M105" s="436"/>
      <c r="N105" s="436"/>
      <c r="O105" s="436"/>
      <c r="P105" s="436"/>
      <c r="Q105" s="436"/>
      <c r="R105" s="436"/>
      <c r="S105" s="436"/>
    </row>
    <row r="106" spans="1:19" x14ac:dyDescent="0.35">
      <c r="A106" s="331"/>
      <c r="B106" s="92" t="s">
        <v>20</v>
      </c>
      <c r="C106" s="331"/>
      <c r="D106" s="331"/>
      <c r="E106" s="331"/>
      <c r="F106" s="331"/>
      <c r="G106" s="331"/>
      <c r="H106" s="439" t="str">
        <f t="shared" ref="H106:S106" si="23">IF((H109+H110)=0,"",(H107-H108)/ABS(H109+H110))</f>
        <v/>
      </c>
      <c r="I106" s="439" t="str">
        <f t="shared" si="23"/>
        <v/>
      </c>
      <c r="J106" s="439">
        <f t="shared" si="23"/>
        <v>0</v>
      </c>
      <c r="K106" s="439">
        <f t="shared" si="23"/>
        <v>8.3450465499454438</v>
      </c>
      <c r="L106" s="439">
        <f t="shared" si="23"/>
        <v>9.0195083848962394</v>
      </c>
      <c r="M106" s="439">
        <f t="shared" si="23"/>
        <v>10.100328347603568</v>
      </c>
      <c r="N106" s="439">
        <f t="shared" si="23"/>
        <v>10.972248693840013</v>
      </c>
      <c r="O106" s="439">
        <f t="shared" si="23"/>
        <v>11.831353916007705</v>
      </c>
      <c r="P106" s="439">
        <f t="shared" si="23"/>
        <v>12.475335031409392</v>
      </c>
      <c r="Q106" s="439">
        <f t="shared" si="23"/>
        <v>13.54844438914464</v>
      </c>
      <c r="R106" s="439">
        <f t="shared" si="23"/>
        <v>14.819047807642843</v>
      </c>
      <c r="S106" s="439">
        <f t="shared" si="23"/>
        <v>16.294063446820637</v>
      </c>
    </row>
    <row r="107" spans="1:19" x14ac:dyDescent="0.35">
      <c r="A107" s="331"/>
      <c r="B107" s="331"/>
      <c r="C107" s="77" t="s">
        <v>17</v>
      </c>
      <c r="D107" s="82"/>
      <c r="E107" s="331"/>
      <c r="F107" s="331"/>
      <c r="G107" s="331"/>
      <c r="H107" s="436">
        <f t="shared" ref="H107:S107" si="24">H77</f>
        <v>0</v>
      </c>
      <c r="I107" s="436">
        <f t="shared" si="24"/>
        <v>0</v>
      </c>
      <c r="J107" s="436">
        <f t="shared" si="24"/>
        <v>0</v>
      </c>
      <c r="K107" s="436">
        <f t="shared" si="24"/>
        <v>13999302.1323661</v>
      </c>
      <c r="L107" s="436">
        <f t="shared" si="24"/>
        <v>14401312.244882211</v>
      </c>
      <c r="M107" s="436">
        <f t="shared" si="24"/>
        <v>15322989.91056283</v>
      </c>
      <c r="N107" s="436">
        <f t="shared" si="24"/>
        <v>15770795.881999265</v>
      </c>
      <c r="O107" s="436">
        <f t="shared" si="24"/>
        <v>16058922.470677335</v>
      </c>
      <c r="P107" s="436">
        <f t="shared" si="24"/>
        <v>15923838.183258889</v>
      </c>
      <c r="Q107" s="436">
        <f t="shared" si="24"/>
        <v>16210473.304412302</v>
      </c>
      <c r="R107" s="436">
        <f t="shared" si="24"/>
        <v>16547518.944046786</v>
      </c>
      <c r="S107" s="436">
        <f t="shared" si="24"/>
        <v>16893777.659875534</v>
      </c>
    </row>
    <row r="108" spans="1:19" x14ac:dyDescent="0.35">
      <c r="A108" s="331"/>
      <c r="B108" s="331"/>
      <c r="C108" s="77" t="s">
        <v>744</v>
      </c>
      <c r="D108" s="82"/>
      <c r="E108" s="331"/>
      <c r="F108" s="331"/>
      <c r="G108" s="331"/>
      <c r="H108" s="436">
        <f>IF(H8=1,-H28*Inputs!$E$246*Scenarios!$B$10,0)</f>
        <v>0</v>
      </c>
      <c r="I108" s="436">
        <f>IF(I8=1,-I28*Inputs!$E$246*Scenarios!$B$10,0)</f>
        <v>0</v>
      </c>
      <c r="J108" s="436">
        <f>IF(J8=1,-J28*Inputs!$E$246*Scenarios!$B$10,0)</f>
        <v>0</v>
      </c>
      <c r="K108" s="436">
        <f>IF(K8=1,-K28*Inputs!$E$246*Scenarios!$B$10,0)</f>
        <v>-363858.18753800006</v>
      </c>
      <c r="L108" s="436">
        <f>IF(L8=1,-L28*Inputs!$E$246*Scenarios!$B$10,0)</f>
        <v>-383465.89963970508</v>
      </c>
      <c r="M108" s="436">
        <f>IF(M8=1,-M28*Inputs!$E$246*Scenarios!$B$10,0)</f>
        <v>-405645.40545935003</v>
      </c>
      <c r="N108" s="436">
        <f>IF(N8=1,-N28*Inputs!$E$246*Scenarios!$B$10,0)</f>
        <v>-416343.17104902805</v>
      </c>
      <c r="O108" s="436">
        <f>IF(O8=1,-O28*Inputs!$E$246*Scenarios!$B$10,0)</f>
        <v>-425939.56757452228</v>
      </c>
      <c r="P108" s="436">
        <f>IF(P8=1,-P28*Inputs!$E$246*Scenarios!$B$10,0)</f>
        <v>-435817.16353013186</v>
      </c>
      <c r="Q108" s="436">
        <f>IF(Q8=1,-Q28*Inputs!$E$246*Scenarios!$B$10,0)</f>
        <v>-445984.22760211932</v>
      </c>
      <c r="R108" s="436">
        <f>IF(R8=1,-R28*Inputs!$E$246*Scenarios!$B$10,0)</f>
        <v>-456449.2723549183</v>
      </c>
      <c r="S108" s="436">
        <f>IF(S8=1,-S28*Inputs!$E$246*Scenarios!$B$10,0)</f>
        <v>-467221.06144291983</v>
      </c>
    </row>
    <row r="109" spans="1:19" x14ac:dyDescent="0.35">
      <c r="A109" s="331"/>
      <c r="B109" s="331"/>
      <c r="C109" s="77" t="s">
        <v>1266</v>
      </c>
      <c r="D109" s="82"/>
      <c r="E109" s="331"/>
      <c r="F109" s="331"/>
      <c r="G109" s="331"/>
      <c r="H109" s="436">
        <f>INDEX(Debt!$H$56:$S$56,MATCH(H$6,Debt!$H$14:$S$14,0))</f>
        <v>0</v>
      </c>
      <c r="I109" s="436">
        <f>INDEX(Debt!$H$56:$S$56,MATCH(I$6,Debt!$H$14:$S$14,0))</f>
        <v>0</v>
      </c>
      <c r="J109" s="436">
        <f>INDEX(Debt!$H$56:$S$56,MATCH(J$6,Debt!$H$14:$S$14,0))</f>
        <v>1024500</v>
      </c>
      <c r="K109" s="436">
        <f>INDEX(Debt!$H$56:$S$56,MATCH(K$6,Debt!$H$14:$S$14,0))</f>
        <v>1024500</v>
      </c>
      <c r="L109" s="436">
        <f>INDEX(Debt!$H$56:$S$56,MATCH(L$6,Debt!$H$14:$S$14,0))</f>
        <v>1024500</v>
      </c>
      <c r="M109" s="436">
        <f>INDEX(Debt!$H$56:$S$56,MATCH(M$6,Debt!$H$14:$S$14,0))</f>
        <v>1024500</v>
      </c>
      <c r="N109" s="436">
        <f>INDEX(Debt!$H$56:$S$56,MATCH(N$6,Debt!$H$14:$S$14,0))</f>
        <v>1024500</v>
      </c>
      <c r="O109" s="436">
        <f>INDEX(Debt!$H$56:$S$56,MATCH(O$6,Debt!$H$14:$S$14,0))</f>
        <v>1024500</v>
      </c>
      <c r="P109" s="436">
        <f>INDEX(Debt!$H$56:$S$56,MATCH(P$6,Debt!$H$14:$S$14,0))</f>
        <v>1024500</v>
      </c>
      <c r="Q109" s="436">
        <f>INDEX(Debt!$H$56:$S$56,MATCH(Q$6,Debt!$H$14:$S$14,0))</f>
        <v>1024500</v>
      </c>
      <c r="R109" s="436">
        <f>INDEX(Debt!$H$56:$S$56,MATCH(R$6,Debt!$H$14:$S$14,0))</f>
        <v>1024500</v>
      </c>
      <c r="S109" s="436">
        <f>INDEX(Debt!$H$56:$S$56,MATCH(S$6,Debt!$H$14:$S$14,0))</f>
        <v>1024500</v>
      </c>
    </row>
    <row r="110" spans="1:19" x14ac:dyDescent="0.35">
      <c r="A110" s="331"/>
      <c r="B110" s="331"/>
      <c r="C110" s="77" t="s">
        <v>1267</v>
      </c>
      <c r="D110" s="82"/>
      <c r="E110" s="331"/>
      <c r="F110" s="331"/>
      <c r="G110" s="331"/>
      <c r="H110" s="436">
        <f>INDEX(Debt!$H$57:$S$57,MATCH(H$6,Debt!$H$14:$S$14,0))</f>
        <v>0</v>
      </c>
      <c r="I110" s="436">
        <f>INDEX(Debt!$H$57:$S$57,MATCH(I$6,Debt!$H$14:$S$14,0))</f>
        <v>0</v>
      </c>
      <c r="J110" s="436">
        <f>INDEX(Debt!$H$57:$S$57,MATCH(J$6,Debt!$H$14:$S$14,0))</f>
        <v>368820</v>
      </c>
      <c r="K110" s="436">
        <f>INDEX(Debt!$H$57:$S$57,MATCH(K$6,Debt!$H$14:$S$14,0))</f>
        <v>696660</v>
      </c>
      <c r="L110" s="436">
        <f>INDEX(Debt!$H$57:$S$57,MATCH(L$6,Debt!$H$14:$S$14,0))</f>
        <v>614700</v>
      </c>
      <c r="M110" s="436">
        <f>INDEX(Debt!$H$57:$S$57,MATCH(M$6,Debt!$H$14:$S$14,0))</f>
        <v>532740</v>
      </c>
      <c r="N110" s="436">
        <f>INDEX(Debt!$H$57:$S$57,MATCH(N$6,Debt!$H$14:$S$14,0))</f>
        <v>450780</v>
      </c>
      <c r="O110" s="436">
        <f>INDEX(Debt!$H$57:$S$57,MATCH(O$6,Debt!$H$14:$S$14,0))</f>
        <v>368820</v>
      </c>
      <c r="P110" s="436">
        <f>INDEX(Debt!$H$57:$S$57,MATCH(P$6,Debt!$H$14:$S$14,0))</f>
        <v>286860</v>
      </c>
      <c r="Q110" s="436">
        <f>INDEX(Debt!$H$57:$S$57,MATCH(Q$6,Debt!$H$14:$S$14,0))</f>
        <v>204900</v>
      </c>
      <c r="R110" s="436">
        <f>INDEX(Debt!$H$57:$S$57,MATCH(R$6,Debt!$H$14:$S$14,0))</f>
        <v>122940</v>
      </c>
      <c r="S110" s="436">
        <f>INDEX(Debt!$H$57:$S$57,MATCH(S$6,Debt!$H$14:$S$14,0))</f>
        <v>40980</v>
      </c>
    </row>
    <row r="111" spans="1:19" x14ac:dyDescent="0.35">
      <c r="A111" s="77"/>
      <c r="B111" s="331"/>
      <c r="C111" s="331"/>
      <c r="D111" s="331"/>
      <c r="E111" s="331"/>
      <c r="F111" s="331"/>
      <c r="G111" s="331"/>
      <c r="H111" s="331"/>
      <c r="I111" s="331"/>
      <c r="J111" s="331"/>
      <c r="K111" s="331"/>
      <c r="L111" s="331"/>
      <c r="M111" s="331"/>
      <c r="N111" s="331"/>
      <c r="O111" s="331"/>
      <c r="P111" s="331"/>
      <c r="Q111" s="331"/>
      <c r="R111" s="331"/>
      <c r="S111" s="331"/>
    </row>
    <row r="112" spans="1:19" x14ac:dyDescent="0.35">
      <c r="A112" s="331"/>
      <c r="B112" s="331"/>
      <c r="C112" s="331"/>
      <c r="D112" s="331"/>
      <c r="E112" s="331"/>
      <c r="F112" s="331"/>
      <c r="G112" s="331"/>
      <c r="H112" s="331"/>
      <c r="I112" s="331"/>
      <c r="J112" s="331"/>
      <c r="K112" s="331"/>
      <c r="L112" s="331"/>
      <c r="M112" s="331"/>
      <c r="N112" s="331"/>
      <c r="O112" s="331"/>
      <c r="P112" s="331"/>
      <c r="Q112" s="331"/>
      <c r="R112" s="331"/>
      <c r="S112" s="331"/>
    </row>
    <row r="113" spans="1:19" x14ac:dyDescent="0.35">
      <c r="A113" s="77"/>
      <c r="B113" s="440"/>
      <c r="C113" s="331"/>
      <c r="D113" s="331"/>
      <c r="E113" s="331"/>
      <c r="F113" s="331"/>
      <c r="G113" s="331"/>
      <c r="H113" s="331"/>
      <c r="I113" s="331"/>
      <c r="J113" s="331"/>
      <c r="K113" s="331"/>
      <c r="L113" s="331"/>
      <c r="M113" s="331"/>
      <c r="N113" s="331"/>
      <c r="O113" s="331"/>
      <c r="P113" s="331"/>
      <c r="Q113" s="331"/>
      <c r="R113" s="331"/>
      <c r="S113" s="331"/>
    </row>
    <row r="114" spans="1:19" x14ac:dyDescent="0.35">
      <c r="A114" s="77"/>
      <c r="B114" s="440"/>
      <c r="C114" s="331"/>
      <c r="D114" s="331"/>
      <c r="E114" s="331"/>
      <c r="F114" s="331"/>
      <c r="G114" s="331"/>
      <c r="H114" s="331"/>
      <c r="I114" s="331"/>
      <c r="J114" s="331"/>
      <c r="K114" s="331"/>
      <c r="L114" s="331"/>
      <c r="M114" s="331"/>
      <c r="N114" s="331"/>
      <c r="O114" s="331"/>
      <c r="P114" s="331"/>
      <c r="Q114" s="331"/>
      <c r="R114" s="331"/>
      <c r="S114" s="331"/>
    </row>
    <row r="115" spans="1:19" x14ac:dyDescent="0.35">
      <c r="A115" s="77"/>
      <c r="B115" s="440"/>
      <c r="C115" s="331"/>
      <c r="D115" s="331"/>
      <c r="E115" s="331"/>
      <c r="F115" s="331"/>
      <c r="G115" s="331"/>
      <c r="H115" s="331"/>
      <c r="I115" s="331"/>
      <c r="J115" s="331"/>
      <c r="K115" s="331"/>
      <c r="L115" s="331"/>
      <c r="M115" s="331"/>
      <c r="N115" s="331"/>
      <c r="O115" s="331"/>
      <c r="P115" s="331"/>
      <c r="Q115" s="331"/>
      <c r="R115" s="331"/>
      <c r="S115" s="331"/>
    </row>
    <row r="116" spans="1:19" x14ac:dyDescent="0.35">
      <c r="A116" s="77"/>
      <c r="B116" s="440"/>
      <c r="C116" s="331"/>
      <c r="D116" s="331"/>
      <c r="E116" s="331"/>
      <c r="F116" s="331"/>
      <c r="G116" s="331"/>
      <c r="H116" s="331"/>
      <c r="I116" s="331"/>
      <c r="J116" s="331"/>
      <c r="K116" s="331"/>
      <c r="L116" s="331"/>
      <c r="M116" s="331"/>
      <c r="N116" s="331"/>
      <c r="O116" s="331"/>
      <c r="P116" s="331"/>
      <c r="Q116" s="331"/>
      <c r="R116" s="331"/>
      <c r="S116" s="331"/>
    </row>
    <row r="117" spans="1:19" x14ac:dyDescent="0.35">
      <c r="A117" s="77"/>
      <c r="B117" s="440"/>
      <c r="C117" s="331"/>
      <c r="D117" s="331"/>
      <c r="E117" s="331"/>
      <c r="F117" s="331"/>
      <c r="G117" s="331"/>
      <c r="H117" s="331"/>
      <c r="I117" s="331"/>
      <c r="J117" s="331"/>
      <c r="K117" s="331"/>
      <c r="L117" s="331"/>
      <c r="M117" s="331"/>
      <c r="N117" s="331"/>
      <c r="O117" s="331"/>
      <c r="P117" s="331"/>
      <c r="Q117" s="331"/>
      <c r="R117" s="331"/>
      <c r="S117" s="331"/>
    </row>
    <row r="118" spans="1:19" x14ac:dyDescent="0.35">
      <c r="A118" s="77"/>
      <c r="B118" s="440"/>
      <c r="C118" s="331"/>
      <c r="D118" s="331"/>
      <c r="E118" s="331"/>
      <c r="F118" s="331"/>
      <c r="G118" s="331"/>
      <c r="H118" s="331"/>
      <c r="I118" s="331"/>
      <c r="J118" s="331"/>
      <c r="K118" s="331"/>
      <c r="L118" s="331"/>
      <c r="M118" s="331"/>
      <c r="N118" s="331"/>
      <c r="O118" s="331"/>
      <c r="P118" s="331"/>
      <c r="Q118" s="331"/>
      <c r="R118" s="331"/>
      <c r="S118" s="331"/>
    </row>
    <row r="119" spans="1:19" x14ac:dyDescent="0.35">
      <c r="A119" s="77"/>
      <c r="B119" s="441"/>
      <c r="C119" s="331"/>
      <c r="D119" s="331"/>
      <c r="E119" s="331"/>
      <c r="F119" s="331"/>
      <c r="G119" s="331"/>
      <c r="H119" s="331"/>
      <c r="I119" s="331"/>
      <c r="J119" s="331"/>
      <c r="K119" s="331"/>
      <c r="L119" s="331"/>
      <c r="M119" s="331"/>
      <c r="N119" s="331"/>
      <c r="O119" s="331"/>
      <c r="P119" s="331"/>
      <c r="Q119" s="331"/>
      <c r="R119" s="331"/>
      <c r="S119" s="331"/>
    </row>
    <row r="120" spans="1:19" x14ac:dyDescent="0.35">
      <c r="A120" s="77"/>
      <c r="B120" s="441"/>
      <c r="C120" s="331"/>
      <c r="D120" s="331"/>
      <c r="E120" s="331"/>
      <c r="F120" s="331"/>
      <c r="G120" s="331"/>
      <c r="H120" s="331"/>
      <c r="I120" s="331"/>
      <c r="J120" s="331"/>
      <c r="K120" s="331"/>
      <c r="L120" s="331"/>
      <c r="M120" s="331"/>
      <c r="N120" s="331"/>
      <c r="O120" s="331"/>
      <c r="P120" s="331"/>
      <c r="Q120" s="331"/>
      <c r="R120" s="331"/>
      <c r="S120" s="331"/>
    </row>
    <row r="121" spans="1:19" x14ac:dyDescent="0.35">
      <c r="A121" s="331"/>
      <c r="B121" s="331"/>
      <c r="C121" s="331"/>
      <c r="D121" s="331"/>
      <c r="E121" s="331"/>
      <c r="F121" s="331"/>
      <c r="G121" s="331"/>
      <c r="H121" s="331"/>
      <c r="I121" s="331"/>
      <c r="J121" s="331"/>
      <c r="K121" s="331"/>
      <c r="L121" s="331"/>
      <c r="M121" s="331"/>
      <c r="N121" s="331"/>
      <c r="O121" s="331"/>
      <c r="P121" s="331"/>
      <c r="Q121" s="331"/>
      <c r="R121" s="331"/>
      <c r="S121" s="331"/>
    </row>
    <row r="122" spans="1:19" x14ac:dyDescent="0.35">
      <c r="A122" s="331"/>
      <c r="B122" s="331"/>
      <c r="C122" s="331"/>
      <c r="D122" s="331"/>
      <c r="E122" s="331"/>
      <c r="F122" s="331"/>
      <c r="G122" s="331"/>
      <c r="H122" s="331"/>
      <c r="I122" s="331"/>
      <c r="J122" s="331"/>
      <c r="K122" s="331"/>
      <c r="L122" s="331"/>
      <c r="M122" s="331"/>
      <c r="N122" s="331"/>
      <c r="O122" s="331"/>
      <c r="P122" s="331"/>
      <c r="Q122" s="331"/>
      <c r="R122" s="331"/>
      <c r="S122" s="331"/>
    </row>
    <row r="123" spans="1:19" x14ac:dyDescent="0.35">
      <c r="A123" s="331"/>
      <c r="B123" s="331"/>
      <c r="C123" s="331"/>
      <c r="D123" s="331"/>
      <c r="E123" s="331"/>
      <c r="F123" s="331"/>
      <c r="G123" s="331"/>
      <c r="H123" s="331"/>
      <c r="I123" s="331"/>
      <c r="J123" s="331"/>
      <c r="K123" s="331"/>
      <c r="L123" s="331"/>
      <c r="M123" s="331"/>
      <c r="N123" s="331"/>
      <c r="O123" s="331"/>
      <c r="P123" s="331"/>
      <c r="Q123" s="331"/>
      <c r="R123" s="331"/>
      <c r="S123" s="331"/>
    </row>
    <row r="124" spans="1:19" x14ac:dyDescent="0.35">
      <c r="A124" s="331"/>
      <c r="B124" s="331"/>
      <c r="C124" s="331"/>
      <c r="D124" s="331"/>
      <c r="E124" s="331"/>
      <c r="F124" s="331"/>
      <c r="G124" s="331"/>
      <c r="H124" s="331"/>
      <c r="I124" s="331"/>
      <c r="J124" s="331"/>
      <c r="K124" s="331"/>
      <c r="L124" s="331"/>
      <c r="M124" s="331"/>
      <c r="N124" s="331"/>
      <c r="O124" s="331"/>
      <c r="P124" s="331"/>
      <c r="Q124" s="331"/>
      <c r="R124" s="331"/>
      <c r="S124" s="331"/>
    </row>
    <row r="125" spans="1:19" x14ac:dyDescent="0.35">
      <c r="A125" s="331"/>
      <c r="B125" s="331"/>
      <c r="C125" s="331"/>
      <c r="D125" s="331"/>
      <c r="E125" s="331"/>
      <c r="F125" s="331"/>
      <c r="G125" s="331"/>
      <c r="H125" s="331"/>
      <c r="I125" s="331"/>
      <c r="J125" s="331"/>
      <c r="K125" s="331"/>
      <c r="L125" s="331"/>
      <c r="M125" s="331"/>
      <c r="N125" s="331"/>
      <c r="O125" s="331"/>
      <c r="P125" s="331"/>
      <c r="Q125" s="331"/>
      <c r="R125" s="331"/>
      <c r="S125" s="331"/>
    </row>
    <row r="126" spans="1:19" x14ac:dyDescent="0.35">
      <c r="A126" s="331"/>
      <c r="B126" s="331"/>
      <c r="C126" s="331"/>
      <c r="D126" s="331"/>
      <c r="E126" s="331"/>
      <c r="F126" s="331"/>
      <c r="G126" s="331"/>
      <c r="H126" s="331"/>
      <c r="I126" s="331"/>
      <c r="J126" s="331"/>
      <c r="K126" s="331"/>
      <c r="L126" s="331"/>
      <c r="M126" s="331"/>
      <c r="N126" s="331"/>
      <c r="O126" s="331"/>
      <c r="P126" s="331"/>
      <c r="Q126" s="331"/>
      <c r="R126" s="331"/>
      <c r="S126" s="331"/>
    </row>
    <row r="127" spans="1:19" x14ac:dyDescent="0.35">
      <c r="A127" s="331"/>
      <c r="B127" s="331"/>
      <c r="C127" s="331"/>
      <c r="D127" s="331"/>
      <c r="E127" s="331"/>
      <c r="F127" s="331"/>
      <c r="G127" s="331"/>
      <c r="H127" s="331"/>
      <c r="I127" s="331"/>
      <c r="J127" s="331"/>
      <c r="K127" s="331"/>
      <c r="L127" s="331"/>
      <c r="M127" s="331"/>
      <c r="N127" s="331"/>
      <c r="O127" s="331"/>
      <c r="P127" s="331"/>
      <c r="Q127" s="331"/>
      <c r="R127" s="331"/>
      <c r="S127" s="331"/>
    </row>
    <row r="128" spans="1:19" x14ac:dyDescent="0.35">
      <c r="A128" s="331"/>
      <c r="B128" s="331"/>
      <c r="C128" s="331"/>
      <c r="D128" s="331"/>
      <c r="E128" s="331"/>
      <c r="F128" s="331"/>
      <c r="G128" s="331"/>
      <c r="H128" s="331"/>
      <c r="I128" s="331"/>
      <c r="J128" s="331"/>
      <c r="K128" s="331"/>
      <c r="L128" s="331"/>
      <c r="M128" s="331"/>
      <c r="N128" s="331"/>
      <c r="O128" s="331"/>
      <c r="P128" s="331"/>
      <c r="Q128" s="331"/>
      <c r="R128" s="331"/>
      <c r="S128" s="331"/>
    </row>
    <row r="129" spans="1:19" ht="43.5" customHeight="1" x14ac:dyDescent="0.35">
      <c r="A129" s="331"/>
      <c r="B129" s="331"/>
      <c r="C129" s="93"/>
      <c r="D129" s="93"/>
      <c r="E129" s="331"/>
      <c r="F129" s="331"/>
      <c r="G129" s="331"/>
      <c r="H129" s="442"/>
      <c r="I129" s="442"/>
      <c r="J129" s="442"/>
      <c r="K129" s="442"/>
      <c r="L129" s="442"/>
      <c r="M129" s="442"/>
      <c r="N129" s="442"/>
      <c r="O129" s="442"/>
      <c r="P129" s="442"/>
      <c r="Q129" s="442"/>
      <c r="R129" s="442"/>
      <c r="S129" s="331"/>
    </row>
    <row r="130" spans="1:19" ht="29.15" customHeight="1" x14ac:dyDescent="0.35">
      <c r="A130" s="331"/>
      <c r="B130" s="331"/>
      <c r="C130" s="93"/>
      <c r="D130" s="93"/>
      <c r="E130" s="331"/>
      <c r="F130" s="331"/>
      <c r="G130" s="331"/>
      <c r="H130" s="443"/>
      <c r="I130" s="442"/>
      <c r="J130" s="442"/>
      <c r="K130" s="442"/>
      <c r="L130" s="442"/>
      <c r="M130" s="442"/>
      <c r="N130" s="442"/>
      <c r="O130" s="442"/>
      <c r="P130" s="442"/>
      <c r="Q130" s="442"/>
      <c r="R130" s="442"/>
      <c r="S130" s="331"/>
    </row>
    <row r="131" spans="1:19" x14ac:dyDescent="0.35">
      <c r="A131" s="331"/>
      <c r="B131" s="331"/>
      <c r="C131" s="331"/>
      <c r="D131" s="331"/>
      <c r="E131" s="331"/>
      <c r="F131" s="331"/>
      <c r="G131" s="331"/>
      <c r="H131" s="331"/>
      <c r="I131" s="331"/>
      <c r="J131" s="331"/>
      <c r="K131" s="331"/>
      <c r="L131" s="331"/>
      <c r="M131" s="331"/>
      <c r="N131" s="331"/>
      <c r="O131" s="331"/>
      <c r="P131" s="331"/>
      <c r="Q131" s="331"/>
      <c r="R131" s="331"/>
      <c r="S131" s="331"/>
    </row>
    <row r="132" spans="1:19" x14ac:dyDescent="0.35">
      <c r="A132" s="331"/>
      <c r="B132" s="331"/>
      <c r="C132" s="331"/>
      <c r="D132" s="331"/>
      <c r="E132" s="331"/>
      <c r="F132" s="331"/>
      <c r="G132" s="331"/>
      <c r="H132" s="331"/>
      <c r="I132" s="331"/>
      <c r="J132" s="331"/>
      <c r="K132" s="331"/>
      <c r="L132" s="331"/>
      <c r="M132" s="331"/>
      <c r="N132" s="331"/>
      <c r="O132" s="331"/>
      <c r="P132" s="331"/>
      <c r="Q132" s="331"/>
      <c r="R132" s="331"/>
      <c r="S132" s="331"/>
    </row>
    <row r="133" spans="1:19" x14ac:dyDescent="0.35">
      <c r="A133" s="331"/>
      <c r="B133" s="331"/>
      <c r="C133" s="331"/>
      <c r="D133" s="331"/>
      <c r="E133" s="331"/>
      <c r="F133" s="331"/>
      <c r="G133" s="331"/>
      <c r="H133" s="331"/>
      <c r="I133" s="331"/>
      <c r="J133" s="331"/>
      <c r="K133" s="331"/>
      <c r="L133" s="331"/>
      <c r="M133" s="331"/>
      <c r="N133" s="331"/>
      <c r="O133" s="331"/>
      <c r="P133" s="331"/>
      <c r="Q133" s="331"/>
      <c r="R133" s="331"/>
      <c r="S133" s="331"/>
    </row>
    <row r="134" spans="1:19" x14ac:dyDescent="0.35">
      <c r="A134" s="331"/>
      <c r="B134" s="331"/>
      <c r="C134" s="331"/>
      <c r="D134" s="331"/>
      <c r="E134" s="331"/>
      <c r="F134" s="331"/>
      <c r="G134" s="331"/>
      <c r="H134" s="331"/>
      <c r="I134" s="331"/>
      <c r="J134" s="331"/>
      <c r="K134" s="331"/>
      <c r="L134" s="331"/>
      <c r="M134" s="331"/>
      <c r="N134" s="331"/>
      <c r="O134" s="331"/>
      <c r="P134" s="331"/>
      <c r="Q134" s="331"/>
      <c r="R134" s="331"/>
      <c r="S134" s="331"/>
    </row>
    <row r="135" spans="1:19" x14ac:dyDescent="0.35">
      <c r="A135" s="331"/>
      <c r="B135" s="331"/>
      <c r="C135" s="331"/>
      <c r="D135" s="331"/>
      <c r="E135" s="331"/>
      <c r="F135" s="331"/>
      <c r="G135" s="331"/>
      <c r="H135" s="77"/>
      <c r="I135" s="331"/>
      <c r="J135" s="77"/>
      <c r="K135" s="77"/>
      <c r="L135" s="77"/>
      <c r="M135" s="77"/>
      <c r="N135" s="77"/>
      <c r="O135" s="77"/>
      <c r="P135" s="77"/>
      <c r="Q135" s="77"/>
      <c r="R135" s="77"/>
      <c r="S135" s="77"/>
    </row>
  </sheetData>
  <pageMargins left="0.25" right="0.25" top="0.35" bottom="0.35" header="0.2" footer="0.2"/>
  <pageSetup fitToHeight="0"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pageSetUpPr fitToPage="1"/>
  </sheetPr>
  <dimension ref="A1:Q56"/>
  <sheetViews>
    <sheetView showGridLines="0" workbookViewId="0">
      <selection activeCell="D36" sqref="D36"/>
    </sheetView>
  </sheetViews>
  <sheetFormatPr defaultRowHeight="14.5" x14ac:dyDescent="0.35"/>
  <cols>
    <col min="1" max="1" width="8.81640625" customWidth="1"/>
    <col min="2" max="2" width="3.453125" customWidth="1"/>
    <col min="3" max="3" width="2.81640625" customWidth="1"/>
    <col min="4" max="4" width="38" bestFit="1" customWidth="1"/>
    <col min="5" max="5" width="3.81640625" customWidth="1"/>
    <col min="6" max="6" width="19.1796875" bestFit="1" customWidth="1"/>
    <col min="7" max="8" width="10.81640625" bestFit="1" customWidth="1"/>
    <col min="9" max="16" width="13" customWidth="1"/>
    <col min="17" max="17" width="14" bestFit="1" customWidth="1"/>
    <col min="18" max="18" width="24" customWidth="1"/>
    <col min="19" max="19" width="22" customWidth="1"/>
    <col min="20" max="20" width="8.81640625" customWidth="1"/>
    <col min="21" max="16383" width="13" customWidth="1"/>
  </cols>
  <sheetData>
    <row r="1" spans="1:17" ht="24" customHeight="1" x14ac:dyDescent="0.5">
      <c r="A1" s="61" t="s">
        <v>1268</v>
      </c>
      <c r="B1" s="61"/>
      <c r="C1" s="61"/>
      <c r="D1" s="61"/>
      <c r="E1" s="61"/>
      <c r="F1" s="61"/>
      <c r="G1" s="61"/>
      <c r="H1" s="61"/>
      <c r="I1" s="61"/>
      <c r="J1" s="61"/>
      <c r="K1" s="61"/>
      <c r="L1" s="61"/>
      <c r="M1" s="61"/>
      <c r="N1" s="61"/>
      <c r="O1" s="61"/>
      <c r="P1" s="61"/>
      <c r="Q1" s="61"/>
    </row>
    <row r="2" spans="1:17" ht="16.5" customHeight="1" x14ac:dyDescent="0.35">
      <c r="A2" s="62" t="s">
        <v>10</v>
      </c>
      <c r="B2" s="62"/>
      <c r="C2" s="62"/>
      <c r="D2" s="62"/>
      <c r="E2" s="62"/>
      <c r="F2" s="62"/>
      <c r="G2" s="62"/>
      <c r="H2" s="62"/>
      <c r="I2" s="62"/>
      <c r="J2" s="62"/>
      <c r="K2" s="62"/>
      <c r="L2" s="62"/>
      <c r="M2" s="62"/>
      <c r="N2" s="62"/>
      <c r="O2" s="62"/>
      <c r="P2" s="62"/>
      <c r="Q2" s="62"/>
    </row>
    <row r="3" spans="1:17" x14ac:dyDescent="0.35">
      <c r="A3" s="329"/>
      <c r="B3" s="81"/>
      <c r="C3" s="81"/>
      <c r="D3" s="81"/>
      <c r="E3" s="81"/>
      <c r="F3" s="81"/>
      <c r="G3" s="331"/>
      <c r="H3" s="331"/>
      <c r="I3" s="331"/>
      <c r="J3" s="331"/>
      <c r="K3" s="331"/>
      <c r="L3" s="331"/>
      <c r="M3" s="331"/>
      <c r="N3" s="331"/>
      <c r="O3" s="331"/>
      <c r="P3" s="331"/>
      <c r="Q3" s="331"/>
    </row>
    <row r="4" spans="1:17" ht="18" customHeight="1" x14ac:dyDescent="0.35">
      <c r="A4" s="329"/>
      <c r="B4" s="81" t="s">
        <v>1269</v>
      </c>
      <c r="C4" s="81"/>
      <c r="D4" s="81"/>
      <c r="E4" s="81"/>
      <c r="F4" s="94">
        <f>'P&amp;L'!H4</f>
        <v>45715</v>
      </c>
      <c r="G4" s="94">
        <f>'P&amp;L'!I4</f>
        <v>45839</v>
      </c>
      <c r="H4" s="94">
        <f>'P&amp;L'!J4</f>
        <v>46204</v>
      </c>
      <c r="I4" s="94">
        <f>'P&amp;L'!K4</f>
        <v>46569</v>
      </c>
      <c r="J4" s="94">
        <f>'P&amp;L'!L4</f>
        <v>46935</v>
      </c>
      <c r="K4" s="94">
        <f>'P&amp;L'!M4</f>
        <v>47300</v>
      </c>
      <c r="L4" s="94">
        <f>'P&amp;L'!N4</f>
        <v>47665</v>
      </c>
      <c r="M4" s="94">
        <f>'P&amp;L'!O4</f>
        <v>48030</v>
      </c>
      <c r="N4" s="94">
        <f>'P&amp;L'!P4</f>
        <v>48396</v>
      </c>
      <c r="O4" s="94">
        <f>'P&amp;L'!Q4</f>
        <v>48761</v>
      </c>
      <c r="P4" s="94">
        <f>'P&amp;L'!R4</f>
        <v>49126</v>
      </c>
      <c r="Q4" s="94">
        <f>'P&amp;L'!S4</f>
        <v>49491</v>
      </c>
    </row>
    <row r="5" spans="1:17" ht="18" customHeight="1" x14ac:dyDescent="0.35">
      <c r="A5" s="329"/>
      <c r="B5" s="81" t="s">
        <v>1270</v>
      </c>
      <c r="C5" s="81"/>
      <c r="D5" s="81"/>
      <c r="E5" s="81"/>
      <c r="F5" s="94">
        <f>'P&amp;L'!H5</f>
        <v>45838</v>
      </c>
      <c r="G5" s="94">
        <f>'P&amp;L'!I5</f>
        <v>46203</v>
      </c>
      <c r="H5" s="94">
        <f>'P&amp;L'!J5</f>
        <v>46568</v>
      </c>
      <c r="I5" s="94">
        <f>'P&amp;L'!K5</f>
        <v>46934</v>
      </c>
      <c r="J5" s="94">
        <f>'P&amp;L'!L5</f>
        <v>47299</v>
      </c>
      <c r="K5" s="94">
        <f>'P&amp;L'!M5</f>
        <v>47664</v>
      </c>
      <c r="L5" s="94">
        <f>'P&amp;L'!N5</f>
        <v>48029</v>
      </c>
      <c r="M5" s="94">
        <f>'P&amp;L'!O5</f>
        <v>48395</v>
      </c>
      <c r="N5" s="94">
        <f>'P&amp;L'!P5</f>
        <v>48760</v>
      </c>
      <c r="O5" s="94">
        <f>'P&amp;L'!Q5</f>
        <v>49125</v>
      </c>
      <c r="P5" s="94">
        <f>'P&amp;L'!R5</f>
        <v>49490</v>
      </c>
      <c r="Q5" s="94">
        <f>'P&amp;L'!S5</f>
        <v>49856</v>
      </c>
    </row>
    <row r="6" spans="1:17" ht="18" customHeight="1" x14ac:dyDescent="0.35">
      <c r="A6" s="329"/>
      <c r="B6" s="81" t="s">
        <v>464</v>
      </c>
      <c r="C6" s="81"/>
      <c r="D6" s="81"/>
      <c r="E6" s="81"/>
      <c r="F6" s="70" t="str">
        <f>'P&amp;L'!H6</f>
        <v>FY25</v>
      </c>
      <c r="G6" s="70" t="str">
        <f>'P&amp;L'!I6</f>
        <v>FY26</v>
      </c>
      <c r="H6" s="70" t="str">
        <f>'P&amp;L'!J6</f>
        <v>FY27</v>
      </c>
      <c r="I6" s="70" t="str">
        <f>'P&amp;L'!K6</f>
        <v>FY28</v>
      </c>
      <c r="J6" s="70" t="str">
        <f>'P&amp;L'!L6</f>
        <v>FY29</v>
      </c>
      <c r="K6" s="70" t="str">
        <f>'P&amp;L'!M6</f>
        <v>FY30</v>
      </c>
      <c r="L6" s="70" t="str">
        <f>'P&amp;L'!N6</f>
        <v>FY31</v>
      </c>
      <c r="M6" s="70" t="str">
        <f>'P&amp;L'!O6</f>
        <v>FY32</v>
      </c>
      <c r="N6" s="70" t="str">
        <f>'P&amp;L'!P6</f>
        <v>FY33</v>
      </c>
      <c r="O6" s="70" t="str">
        <f>'P&amp;L'!Q6</f>
        <v>FY34</v>
      </c>
      <c r="P6" s="70" t="str">
        <f>'P&amp;L'!R6</f>
        <v>FY35</v>
      </c>
      <c r="Q6" s="70" t="str">
        <f>'P&amp;L'!S6</f>
        <v>FY36</v>
      </c>
    </row>
    <row r="7" spans="1:17" x14ac:dyDescent="0.35">
      <c r="A7" s="329"/>
      <c r="B7" s="331"/>
      <c r="C7" s="331"/>
      <c r="D7" s="331"/>
      <c r="E7" s="331"/>
      <c r="F7" s="83"/>
      <c r="G7" s="83"/>
      <c r="H7" s="83"/>
      <c r="I7" s="83"/>
      <c r="J7" s="83"/>
      <c r="K7" s="83"/>
      <c r="L7" s="83"/>
      <c r="M7" s="83"/>
      <c r="N7" s="83"/>
      <c r="O7" s="83"/>
      <c r="P7" s="83"/>
      <c r="Q7" s="83"/>
    </row>
    <row r="8" spans="1:17" x14ac:dyDescent="0.35">
      <c r="A8" s="329"/>
      <c r="B8" s="77" t="s">
        <v>1271</v>
      </c>
      <c r="C8" s="77"/>
      <c r="D8" s="77"/>
      <c r="E8" s="77"/>
      <c r="F8" s="83"/>
      <c r="G8" s="83"/>
      <c r="H8" s="83"/>
      <c r="I8" s="83"/>
      <c r="J8" s="83"/>
      <c r="K8" s="83"/>
      <c r="L8" s="83"/>
      <c r="M8" s="83"/>
      <c r="N8" s="83"/>
      <c r="O8" s="83"/>
      <c r="P8" s="83"/>
      <c r="Q8" s="83"/>
    </row>
    <row r="9" spans="1:17" x14ac:dyDescent="0.35">
      <c r="A9" s="329"/>
      <c r="B9" s="77"/>
      <c r="C9" s="95" t="s">
        <v>1272</v>
      </c>
      <c r="D9" s="77"/>
      <c r="E9" s="77"/>
      <c r="F9" s="83"/>
      <c r="G9" s="83"/>
      <c r="H9" s="83"/>
      <c r="I9" s="83"/>
      <c r="J9" s="83"/>
      <c r="K9" s="83"/>
      <c r="L9" s="83"/>
      <c r="M9" s="83"/>
      <c r="N9" s="83"/>
      <c r="O9" s="83"/>
      <c r="P9" s="83"/>
      <c r="Q9" s="83"/>
    </row>
    <row r="10" spans="1:17" x14ac:dyDescent="0.35">
      <c r="A10" s="329"/>
      <c r="B10" s="329"/>
      <c r="C10" s="77"/>
      <c r="D10" s="77" t="s">
        <v>1273</v>
      </c>
      <c r="E10" s="77"/>
      <c r="F10" s="444">
        <f>Cashflow!D37</f>
        <v>0</v>
      </c>
      <c r="G10" s="444">
        <f>Cashflow!E37</f>
        <v>1707500.0000000005</v>
      </c>
      <c r="H10" s="444">
        <f>Cashflow!F37</f>
        <v>16050500</v>
      </c>
      <c r="I10" s="444">
        <f>Cashflow!G37</f>
        <v>-1231018.2583200522</v>
      </c>
      <c r="J10" s="444">
        <f>Cashflow!H37</f>
        <v>-396007.98746345146</v>
      </c>
      <c r="K10" s="444">
        <f>Cashflow!I37</f>
        <v>513409.16703961021</v>
      </c>
      <c r="L10" s="444">
        <f>Cashflow!J37</f>
        <v>1533142.740869151</v>
      </c>
      <c r="M10" s="444">
        <f>Cashflow!K37</f>
        <v>2307422.4119745474</v>
      </c>
      <c r="N10" s="444">
        <f>Cashflow!L37</f>
        <v>3446826.6097444491</v>
      </c>
      <c r="O10" s="444">
        <f>Cashflow!M37</f>
        <v>4589137.0217742641</v>
      </c>
      <c r="P10" s="444">
        <f>Cashflow!N37</f>
        <v>5787287.4476973191</v>
      </c>
      <c r="Q10" s="444">
        <f>Cashflow!O37</f>
        <v>142197969.59933549</v>
      </c>
    </row>
    <row r="11" spans="1:17" x14ac:dyDescent="0.35">
      <c r="A11" s="329"/>
      <c r="B11" s="329"/>
      <c r="C11" s="77"/>
      <c r="D11" s="77" t="s">
        <v>1274</v>
      </c>
      <c r="E11" s="77"/>
      <c r="F11" s="444">
        <f>0</f>
        <v>0</v>
      </c>
      <c r="G11" s="444">
        <f>F11</f>
        <v>0</v>
      </c>
      <c r="H11" s="444">
        <f>G11</f>
        <v>0</v>
      </c>
      <c r="I11" s="444">
        <f>H11+'P&amp;L'!K100</f>
        <v>139159.72185</v>
      </c>
      <c r="J11" s="444">
        <f>I11+'P&amp;L'!L100</f>
        <v>281212.26067500003</v>
      </c>
      <c r="K11" s="444">
        <f>J11+'P&amp;L'!M100</f>
        <v>433465.78567500005</v>
      </c>
      <c r="L11" s="444">
        <f>K11+'P&amp;L'!N100</f>
        <v>585719.31067500007</v>
      </c>
      <c r="M11" s="444">
        <f>L11+'P&amp;L'!O100</f>
        <v>737972.8356750001</v>
      </c>
      <c r="N11" s="444">
        <f>M11+'P&amp;L'!P100</f>
        <v>890226.36067500012</v>
      </c>
      <c r="O11" s="444">
        <f>N11+'P&amp;L'!Q100</f>
        <v>1042479.8856750001</v>
      </c>
      <c r="P11" s="444">
        <f>O11+'P&amp;L'!R100</f>
        <v>1194733.4106750002</v>
      </c>
      <c r="Q11" s="444">
        <f>P11+'P&amp;L'!S100</f>
        <v>1346986.9356750001</v>
      </c>
    </row>
    <row r="12" spans="1:17" x14ac:dyDescent="0.35">
      <c r="A12" s="329"/>
      <c r="B12" s="329"/>
      <c r="C12" s="77"/>
      <c r="D12" s="77" t="s">
        <v>1275</v>
      </c>
      <c r="E12" s="77"/>
      <c r="F12" s="444">
        <f>INDEX(Cashflow!$D$52:$O$52,MATCH(F$6,Cashflow!$D$42:$O$42,0))</f>
        <v>0</v>
      </c>
      <c r="G12" s="444">
        <f>INDEX(Cashflow!$D$52:$O$52,MATCH(G$6,Cashflow!$D$42:$O$42,0))</f>
        <v>0</v>
      </c>
      <c r="H12" s="444">
        <f>INDEX(Cashflow!$D$52:$O$52,MATCH(H$6,Cashflow!$D$42:$O$42,0))</f>
        <v>0</v>
      </c>
      <c r="I12" s="444">
        <f>INDEX(Cashflow!$D$52:$O$52,MATCH(I$6,Cashflow!$D$42:$O$42,0))</f>
        <v>1495307.6200191784</v>
      </c>
      <c r="J12" s="444">
        <f>INDEX(Cashflow!$D$52:$O$52,MATCH(J$6,Cashflow!$D$42:$O$42,0))</f>
        <v>1575887.2587933084</v>
      </c>
      <c r="K12" s="444">
        <f>INDEX(Cashflow!$D$52:$O$52,MATCH(K$6,Cashflow!$D$42:$O$42,0))</f>
        <v>1667035.9128466439</v>
      </c>
      <c r="L12" s="444">
        <f>INDEX(Cashflow!$D$52:$O$52,MATCH(L$6,Cashflow!$D$42:$O$42,0))</f>
        <v>1710999.3330781974</v>
      </c>
      <c r="M12" s="444">
        <f>INDEX(Cashflow!$D$52:$O$52,MATCH(M$6,Cashflow!$D$42:$O$42,0))</f>
        <v>1750436.5790733793</v>
      </c>
      <c r="N12" s="444">
        <f>INDEX(Cashflow!$D$52:$O$52,MATCH(N$6,Cashflow!$D$42:$O$42,0))</f>
        <v>1791029.4391649256</v>
      </c>
      <c r="O12" s="444">
        <f>INDEX(Cashflow!$D$52:$O$52,MATCH(O$6,Cashflow!$D$42:$O$42,0))</f>
        <v>1832811.8942552849</v>
      </c>
      <c r="P12" s="444">
        <f>INDEX(Cashflow!$D$52:$O$52,MATCH(P$6,Cashflow!$D$42:$O$42,0))</f>
        <v>1875818.9274859657</v>
      </c>
      <c r="Q12" s="444">
        <f>INDEX(Cashflow!$D$52:$O$52,MATCH(Q$6,Cashflow!$D$42:$O$42,0))</f>
        <v>1920086.553875013</v>
      </c>
    </row>
    <row r="13" spans="1:17" x14ac:dyDescent="0.35">
      <c r="A13" s="329"/>
      <c r="B13" s="329"/>
      <c r="C13" s="77"/>
      <c r="D13" s="77" t="s">
        <v>1276</v>
      </c>
      <c r="E13" s="77"/>
      <c r="F13" s="444">
        <f>INDEX(Cashflow!$D$53:$O$53,MATCH(F$6,Cashflow!$D$42:$O$42,0))</f>
        <v>0</v>
      </c>
      <c r="G13" s="444">
        <f>INDEX(Cashflow!$D$53:$O$53,MATCH(G$6,Cashflow!$D$42:$O$42,0))</f>
        <v>0</v>
      </c>
      <c r="H13" s="444">
        <f>INDEX(Cashflow!$D$53:$O$53,MATCH(H$6,Cashflow!$D$42:$O$42,0))</f>
        <v>0</v>
      </c>
      <c r="I13" s="444">
        <f>INDEX(Cashflow!$D$53:$O$53,MATCH(I$6,Cashflow!$D$42:$O$42,0))</f>
        <v>3131.1048760273975</v>
      </c>
      <c r="J13" s="444">
        <f>INDEX(Cashflow!$D$53:$O$53,MATCH(J$6,Cashflow!$D$42:$O$42,0))</f>
        <v>3324.8169308219176</v>
      </c>
      <c r="K13" s="444">
        <f>INDEX(Cashflow!$D$53:$O$53,MATCH(K$6,Cashflow!$D$42:$O$42,0))</f>
        <v>3440.0589041095891</v>
      </c>
      <c r="L13" s="444">
        <f>INDEX(Cashflow!$D$53:$O$53,MATCH(L$6,Cashflow!$D$42:$O$42,0))</f>
        <v>3491.6597876712322</v>
      </c>
      <c r="M13" s="444">
        <f>INDEX(Cashflow!$D$53:$O$53,MATCH(M$6,Cashflow!$D$42:$O$42,0))</f>
        <v>3596.4095813013696</v>
      </c>
      <c r="N13" s="444">
        <f>INDEX(Cashflow!$D$53:$O$53,MATCH(N$6,Cashflow!$D$42:$O$42,0))</f>
        <v>3704.3018687404119</v>
      </c>
      <c r="O13" s="444">
        <f>INDEX(Cashflow!$D$53:$O$53,MATCH(O$6,Cashflow!$D$42:$O$42,0))</f>
        <v>3815.4309248026243</v>
      </c>
      <c r="P13" s="444">
        <f>INDEX(Cashflow!$D$53:$O$53,MATCH(P$6,Cashflow!$D$42:$O$42,0))</f>
        <v>3929.8938525467024</v>
      </c>
      <c r="Q13" s="444">
        <f>INDEX(Cashflow!$D$53:$O$53,MATCH(Q$6,Cashflow!$D$42:$O$42,0))</f>
        <v>4047.7906681231038</v>
      </c>
    </row>
    <row r="14" spans="1:17" x14ac:dyDescent="0.35">
      <c r="A14" s="329"/>
      <c r="B14" s="329"/>
      <c r="C14" s="77"/>
      <c r="D14" s="77"/>
      <c r="E14" s="77"/>
      <c r="F14" s="444"/>
      <c r="G14" s="444"/>
      <c r="H14" s="444"/>
      <c r="I14" s="444"/>
      <c r="J14" s="444"/>
      <c r="K14" s="444"/>
      <c r="L14" s="444"/>
      <c r="M14" s="444"/>
      <c r="N14" s="444"/>
      <c r="O14" s="444"/>
      <c r="P14" s="444"/>
      <c r="Q14" s="444"/>
    </row>
    <row r="15" spans="1:17" x14ac:dyDescent="0.35">
      <c r="A15" s="329"/>
      <c r="B15" s="329"/>
      <c r="C15" s="95" t="s">
        <v>1277</v>
      </c>
      <c r="D15" s="329"/>
      <c r="E15" s="77"/>
      <c r="F15" s="445">
        <f t="shared" ref="F15:Q15" si="0">SUM(F10:F13)</f>
        <v>0</v>
      </c>
      <c r="G15" s="445">
        <f t="shared" si="0"/>
        <v>1707500.0000000005</v>
      </c>
      <c r="H15" s="445">
        <f t="shared" si="0"/>
        <v>16050500</v>
      </c>
      <c r="I15" s="445">
        <f t="shared" si="0"/>
        <v>406580.18842515367</v>
      </c>
      <c r="J15" s="445">
        <f t="shared" si="0"/>
        <v>1464416.3489356788</v>
      </c>
      <c r="K15" s="445">
        <f t="shared" si="0"/>
        <v>2617350.9244653638</v>
      </c>
      <c r="L15" s="445">
        <f t="shared" si="0"/>
        <v>3833353.0444100196</v>
      </c>
      <c r="M15" s="445">
        <f t="shared" si="0"/>
        <v>4799428.2363042291</v>
      </c>
      <c r="N15" s="445">
        <f t="shared" si="0"/>
        <v>6131786.7114531156</v>
      </c>
      <c r="O15" s="445">
        <f t="shared" si="0"/>
        <v>7468244.2326293522</v>
      </c>
      <c r="P15" s="445">
        <f t="shared" si="0"/>
        <v>8861769.6797108315</v>
      </c>
      <c r="Q15" s="445">
        <f t="shared" si="0"/>
        <v>145469090.87955362</v>
      </c>
    </row>
    <row r="16" spans="1:17" x14ac:dyDescent="0.35">
      <c r="A16" s="329"/>
      <c r="B16" s="77"/>
      <c r="C16" s="77"/>
      <c r="D16" s="77"/>
      <c r="E16" s="77"/>
      <c r="F16" s="444"/>
      <c r="G16" s="444"/>
      <c r="H16" s="444"/>
      <c r="I16" s="444"/>
      <c r="J16" s="444"/>
      <c r="K16" s="444"/>
      <c r="L16" s="444"/>
      <c r="M16" s="444"/>
      <c r="N16" s="444"/>
      <c r="O16" s="444"/>
      <c r="P16" s="444"/>
      <c r="Q16" s="444"/>
    </row>
    <row r="17" spans="1:17" x14ac:dyDescent="0.35">
      <c r="A17" s="329"/>
      <c r="B17" s="77"/>
      <c r="C17" s="95" t="s">
        <v>1278</v>
      </c>
      <c r="D17" s="77"/>
      <c r="E17" s="77"/>
      <c r="F17" s="444"/>
      <c r="G17" s="444"/>
      <c r="H17" s="444"/>
      <c r="I17" s="444"/>
      <c r="J17" s="444"/>
      <c r="K17" s="444"/>
      <c r="L17" s="444"/>
      <c r="M17" s="444"/>
      <c r="N17" s="444"/>
      <c r="O17" s="444"/>
      <c r="P17" s="444"/>
      <c r="Q17" s="444"/>
    </row>
    <row r="18" spans="1:17" x14ac:dyDescent="0.35">
      <c r="A18" s="329"/>
      <c r="B18" s="77"/>
      <c r="C18" s="95"/>
      <c r="D18" s="77" t="s">
        <v>1279</v>
      </c>
      <c r="E18" s="77"/>
      <c r="F18" s="444">
        <f>'Construction Timeline'!D170</f>
        <v>0</v>
      </c>
      <c r="G18" s="444">
        <f>'Construction Timeline'!E170</f>
        <v>780000</v>
      </c>
      <c r="H18" s="444">
        <f>'Construction Timeline'!F170</f>
        <v>780000</v>
      </c>
      <c r="I18" s="444">
        <f>'Construction Timeline'!G170</f>
        <v>780000</v>
      </c>
      <c r="J18" s="444">
        <f>'Construction Timeline'!H170</f>
        <v>780000</v>
      </c>
      <c r="K18" s="444">
        <f>'Construction Timeline'!I170</f>
        <v>780000</v>
      </c>
      <c r="L18" s="444">
        <f>'Construction Timeline'!J170</f>
        <v>780000</v>
      </c>
      <c r="M18" s="444">
        <f>'Construction Timeline'!K170</f>
        <v>780000</v>
      </c>
      <c r="N18" s="444">
        <f>'Construction Timeline'!L170</f>
        <v>780000</v>
      </c>
      <c r="O18" s="444">
        <f>'Construction Timeline'!M170</f>
        <v>780000</v>
      </c>
      <c r="P18" s="444">
        <f>'Construction Timeline'!N170</f>
        <v>780000</v>
      </c>
      <c r="Q18" s="444">
        <f>'Construction Timeline'!O170</f>
        <v>780000</v>
      </c>
    </row>
    <row r="19" spans="1:17" x14ac:dyDescent="0.35">
      <c r="A19" s="329"/>
      <c r="B19" s="77"/>
      <c r="C19" s="95"/>
      <c r="D19" s="77" t="s">
        <v>1280</v>
      </c>
      <c r="E19" s="77"/>
      <c r="F19" s="444">
        <f>'Construction Timeline'!D166</f>
        <v>0</v>
      </c>
      <c r="G19" s="444">
        <f>'Construction Timeline'!E166</f>
        <v>0</v>
      </c>
      <c r="H19" s="444">
        <f>'Construction Timeline'!F166</f>
        <v>0</v>
      </c>
      <c r="I19" s="444">
        <f>'Construction Timeline'!G166</f>
        <v>17758000</v>
      </c>
      <c r="J19" s="444">
        <f>'Construction Timeline'!H166</f>
        <v>17758000</v>
      </c>
      <c r="K19" s="444">
        <f>'Construction Timeline'!I166</f>
        <v>17758000</v>
      </c>
      <c r="L19" s="444">
        <f>'Construction Timeline'!J166</f>
        <v>17758000</v>
      </c>
      <c r="M19" s="444">
        <f>'Construction Timeline'!K166</f>
        <v>17758000</v>
      </c>
      <c r="N19" s="444">
        <f>'Construction Timeline'!L166</f>
        <v>17758000</v>
      </c>
      <c r="O19" s="444">
        <f>'Construction Timeline'!M166</f>
        <v>17758000</v>
      </c>
      <c r="P19" s="444">
        <f>'Construction Timeline'!N166</f>
        <v>17758000</v>
      </c>
      <c r="Q19" s="444">
        <f>'Construction Timeline'!O166</f>
        <v>17758000</v>
      </c>
    </row>
    <row r="20" spans="1:17" x14ac:dyDescent="0.35">
      <c r="A20" s="329"/>
      <c r="B20" s="77"/>
      <c r="C20" s="95"/>
      <c r="D20" s="77" t="s">
        <v>1281</v>
      </c>
      <c r="E20" s="77"/>
      <c r="F20" s="444">
        <f>'Construction Timeline'!D177</f>
        <v>0</v>
      </c>
      <c r="G20" s="444">
        <f>'Construction Timeline'!E177</f>
        <v>0</v>
      </c>
      <c r="H20" s="444">
        <f>'Construction Timeline'!F177</f>
        <v>0</v>
      </c>
      <c r="I20" s="444">
        <f>'Construction Timeline'!G177</f>
        <v>0</v>
      </c>
      <c r="J20" s="444">
        <f>'Construction Timeline'!H177</f>
        <v>0</v>
      </c>
      <c r="K20" s="444">
        <f>'Construction Timeline'!I177</f>
        <v>0</v>
      </c>
      <c r="L20" s="444">
        <f>'Construction Timeline'!J177</f>
        <v>0</v>
      </c>
      <c r="M20" s="444">
        <f>'Construction Timeline'!K177</f>
        <v>0</v>
      </c>
      <c r="N20" s="444">
        <f>'Construction Timeline'!L177</f>
        <v>0</v>
      </c>
      <c r="O20" s="444">
        <f>'Construction Timeline'!M177</f>
        <v>0</v>
      </c>
      <c r="P20" s="444">
        <f>'Construction Timeline'!N177</f>
        <v>0</v>
      </c>
      <c r="Q20" s="444">
        <f>'Construction Timeline'!O177</f>
        <v>0</v>
      </c>
    </row>
    <row r="21" spans="1:17" x14ac:dyDescent="0.35">
      <c r="A21" s="329"/>
      <c r="B21" s="77"/>
      <c r="C21" s="95"/>
      <c r="D21" s="77" t="s">
        <v>1282</v>
      </c>
      <c r="E21" s="77"/>
      <c r="F21" s="444">
        <f>-'Construction Timeline'!D181</f>
        <v>0</v>
      </c>
      <c r="G21" s="444">
        <f>-'Construction Timeline'!E181</f>
        <v>0</v>
      </c>
      <c r="H21" s="444">
        <f>-'Construction Timeline'!F181</f>
        <v>0</v>
      </c>
      <c r="I21" s="444">
        <f>-'Construction Timeline'!G181</f>
        <v>0</v>
      </c>
      <c r="J21" s="444">
        <f>-'Construction Timeline'!H181</f>
        <v>0</v>
      </c>
      <c r="K21" s="444">
        <f>-'Construction Timeline'!I181</f>
        <v>0</v>
      </c>
      <c r="L21" s="444">
        <f>-'Construction Timeline'!J181</f>
        <v>0</v>
      </c>
      <c r="M21" s="444">
        <f>-'Construction Timeline'!K181</f>
        <v>0</v>
      </c>
      <c r="N21" s="444">
        <f>-'Construction Timeline'!L181</f>
        <v>0</v>
      </c>
      <c r="O21" s="444">
        <f>-'Construction Timeline'!M181</f>
        <v>0</v>
      </c>
      <c r="P21" s="444">
        <f>-'Construction Timeline'!N181</f>
        <v>0</v>
      </c>
      <c r="Q21" s="444">
        <f>-'Construction Timeline'!O181</f>
        <v>0</v>
      </c>
    </row>
    <row r="22" spans="1:17" x14ac:dyDescent="0.35">
      <c r="A22" s="329"/>
      <c r="B22" s="77"/>
      <c r="C22" s="95"/>
      <c r="D22" s="77" t="s">
        <v>1283</v>
      </c>
      <c r="E22" s="77"/>
      <c r="F22" s="444">
        <f>'Construction Timeline'!D183</f>
        <v>0</v>
      </c>
      <c r="G22" s="444">
        <f>'Construction Timeline'!E183</f>
        <v>0</v>
      </c>
      <c r="H22" s="444">
        <f>'Construction Timeline'!F183</f>
        <v>0</v>
      </c>
      <c r="I22" s="444">
        <f>'Construction Timeline'!G183</f>
        <v>0</v>
      </c>
      <c r="J22" s="444">
        <f>'Construction Timeline'!H183</f>
        <v>0</v>
      </c>
      <c r="K22" s="444">
        <f>'Construction Timeline'!I183</f>
        <v>0</v>
      </c>
      <c r="L22" s="444">
        <f>'Construction Timeline'!J183</f>
        <v>0</v>
      </c>
      <c r="M22" s="444">
        <f>'Construction Timeline'!K183</f>
        <v>0</v>
      </c>
      <c r="N22" s="444">
        <f>'Construction Timeline'!L183</f>
        <v>0</v>
      </c>
      <c r="O22" s="444">
        <f>'Construction Timeline'!M183</f>
        <v>0</v>
      </c>
      <c r="P22" s="444">
        <f>'Construction Timeline'!N183</f>
        <v>0</v>
      </c>
      <c r="Q22" s="444">
        <f>'Construction Timeline'!O183</f>
        <v>0</v>
      </c>
    </row>
    <row r="23" spans="1:17" x14ac:dyDescent="0.35">
      <c r="A23" s="329"/>
      <c r="B23" s="77"/>
      <c r="C23" s="95" t="s">
        <v>1284</v>
      </c>
      <c r="D23" s="77"/>
      <c r="E23" s="77" t="s">
        <v>13</v>
      </c>
      <c r="F23" s="445">
        <f t="shared" ref="F23:Q23" si="1">F18+F19+F22</f>
        <v>0</v>
      </c>
      <c r="G23" s="445">
        <f t="shared" si="1"/>
        <v>780000</v>
      </c>
      <c r="H23" s="445">
        <f t="shared" si="1"/>
        <v>780000</v>
      </c>
      <c r="I23" s="445">
        <f t="shared" si="1"/>
        <v>18538000</v>
      </c>
      <c r="J23" s="445">
        <f t="shared" si="1"/>
        <v>18538000</v>
      </c>
      <c r="K23" s="445">
        <f t="shared" si="1"/>
        <v>18538000</v>
      </c>
      <c r="L23" s="445">
        <f t="shared" si="1"/>
        <v>18538000</v>
      </c>
      <c r="M23" s="445">
        <f t="shared" si="1"/>
        <v>18538000</v>
      </c>
      <c r="N23" s="445">
        <f t="shared" si="1"/>
        <v>18538000</v>
      </c>
      <c r="O23" s="445">
        <f t="shared" si="1"/>
        <v>18538000</v>
      </c>
      <c r="P23" s="445">
        <f t="shared" si="1"/>
        <v>18538000</v>
      </c>
      <c r="Q23" s="445">
        <f t="shared" si="1"/>
        <v>18538000</v>
      </c>
    </row>
    <row r="24" spans="1:17" x14ac:dyDescent="0.35">
      <c r="A24" s="329"/>
      <c r="B24" s="77"/>
      <c r="C24" s="95"/>
      <c r="D24" s="77"/>
      <c r="E24" s="77"/>
      <c r="F24" s="444"/>
      <c r="G24" s="444"/>
      <c r="H24" s="444"/>
      <c r="I24" s="444"/>
      <c r="J24" s="444"/>
      <c r="K24" s="444"/>
      <c r="L24" s="444"/>
      <c r="M24" s="444"/>
      <c r="N24" s="444"/>
      <c r="O24" s="444"/>
      <c r="P24" s="444"/>
      <c r="Q24" s="444"/>
    </row>
    <row r="25" spans="1:17" ht="15" customHeight="1" thickBot="1" x14ac:dyDescent="0.4">
      <c r="A25" s="329"/>
      <c r="B25" s="329"/>
      <c r="C25" s="96" t="s">
        <v>1285</v>
      </c>
      <c r="D25" s="77"/>
      <c r="E25" s="77"/>
      <c r="F25" s="446">
        <f t="shared" ref="F25:Q25" si="2">F15+F23</f>
        <v>0</v>
      </c>
      <c r="G25" s="446">
        <f t="shared" si="2"/>
        <v>2487500.0000000005</v>
      </c>
      <c r="H25" s="446">
        <f t="shared" si="2"/>
        <v>16830500</v>
      </c>
      <c r="I25" s="446">
        <f t="shared" si="2"/>
        <v>18944580.188425153</v>
      </c>
      <c r="J25" s="446">
        <f t="shared" si="2"/>
        <v>20002416.348935679</v>
      </c>
      <c r="K25" s="446">
        <f t="shared" si="2"/>
        <v>21155350.924465366</v>
      </c>
      <c r="L25" s="446">
        <f t="shared" si="2"/>
        <v>22371353.04441002</v>
      </c>
      <c r="M25" s="446">
        <f t="shared" si="2"/>
        <v>23337428.236304231</v>
      </c>
      <c r="N25" s="446">
        <f t="shared" si="2"/>
        <v>24669786.711453117</v>
      </c>
      <c r="O25" s="446">
        <f t="shared" si="2"/>
        <v>26006244.232629351</v>
      </c>
      <c r="P25" s="446">
        <f t="shared" si="2"/>
        <v>27399769.679710831</v>
      </c>
      <c r="Q25" s="446">
        <f t="shared" si="2"/>
        <v>164007090.87955362</v>
      </c>
    </row>
    <row r="26" spans="1:17" ht="15" customHeight="1" thickTop="1" x14ac:dyDescent="0.35">
      <c r="A26" s="329"/>
      <c r="B26" s="329"/>
      <c r="C26" s="77" t="s">
        <v>1286</v>
      </c>
      <c r="D26" s="77"/>
      <c r="E26" s="77"/>
      <c r="F26" s="81">
        <f>F12+F13-IFERROR(INDEX(Cashflow!$D$54:$O$54,MATCH(F$6,Cashflow!$D$42:$O$42,0)),0)-F32</f>
        <v>0</v>
      </c>
      <c r="G26" s="97">
        <f>G12+G13-IFERROR(INDEX(Cashflow!$D$54:$O$54,MATCH(G$6,Cashflow!$D$42:$O$42,0)),0)-G32</f>
        <v>0</v>
      </c>
      <c r="H26" s="97">
        <f>H12+H13-IFERROR(INDEX(Cashflow!$D$54:$O$54,MATCH(H$6,Cashflow!$D$42:$O$42,0)),0)-H32</f>
        <v>0</v>
      </c>
      <c r="I26" s="97">
        <f>I12+I13-IFERROR(INDEX(Cashflow!$D$54:$O$54,MATCH(I$6,Cashflow!$D$42:$O$42,0)),0)-I32</f>
        <v>981418.65365129989</v>
      </c>
      <c r="J26" s="97">
        <f>J12+J13-IFERROR(INDEX(Cashflow!$D$54:$O$54,MATCH(J$6,Cashflow!$D$42:$O$42,0)),0)-J32</f>
        <v>990885.4369032071</v>
      </c>
      <c r="K26" s="97">
        <f>K12+K13-IFERROR(INDEX(Cashflow!$D$54:$O$54,MATCH(K$6,Cashflow!$D$42:$O$42,0)),0)-K32</f>
        <v>1059057.8448789448</v>
      </c>
      <c r="L26" s="97">
        <f>L12+L13-IFERROR(INDEX(Cashflow!$D$54:$O$54,MATCH(L$6,Cashflow!$D$42:$O$42,0)),0)-L32</f>
        <v>1092336.6910293042</v>
      </c>
      <c r="M26" s="97">
        <f>M12+M13-IFERROR(INDEX(Cashflow!$D$54:$O$54,MATCH(M$6,Cashflow!$D$42:$O$42,0)),0)-M32</f>
        <v>1108245.2739637352</v>
      </c>
      <c r="N26" s="97">
        <f>N12+N13-IFERROR(INDEX(Cashflow!$D$54:$O$54,MATCH(N$6,Cashflow!$D$42:$O$42,0)),0)-N32</f>
        <v>1071402.5089894286</v>
      </c>
      <c r="O26" s="97">
        <f>O12+O13-IFERROR(INDEX(Cashflow!$D$54:$O$54,MATCH(O$6,Cashflow!$D$42:$O$42,0)),0)-O32</f>
        <v>1085960.9870808688</v>
      </c>
      <c r="P26" s="97">
        <f>P12+P13-IFERROR(INDEX(Cashflow!$D$54:$O$54,MATCH(P$6,Cashflow!$D$42:$O$42,0)),0)-P32</f>
        <v>1106125.5054030037</v>
      </c>
      <c r="Q26" s="97">
        <f>Q12+Q13-IFERROR(INDEX(Cashflow!$D$54:$O$54,MATCH(Q$6,Cashflow!$D$42:$O$42,0)),0)-Q32</f>
        <v>1126799.0197426686</v>
      </c>
    </row>
    <row r="27" spans="1:17" ht="29.15" customHeight="1" x14ac:dyDescent="0.35">
      <c r="A27" s="329"/>
      <c r="B27" s="77"/>
      <c r="C27" s="77"/>
      <c r="D27" s="77"/>
      <c r="E27" s="77"/>
      <c r="F27" s="81"/>
      <c r="G27" s="81"/>
      <c r="H27" s="81"/>
      <c r="I27" s="81"/>
      <c r="J27" s="81"/>
      <c r="K27" s="81"/>
      <c r="L27" s="81"/>
      <c r="M27" s="81"/>
      <c r="N27" s="81"/>
      <c r="O27" s="81"/>
      <c r="P27" s="81"/>
      <c r="Q27" s="81"/>
    </row>
    <row r="28" spans="1:17" x14ac:dyDescent="0.35">
      <c r="A28" s="329"/>
      <c r="B28" s="77" t="s">
        <v>1287</v>
      </c>
      <c r="C28" s="77"/>
      <c r="D28" s="77"/>
      <c r="E28" s="77"/>
      <c r="F28" s="83"/>
      <c r="G28" s="83"/>
      <c r="H28" s="83"/>
      <c r="I28" s="83"/>
      <c r="J28" s="83"/>
      <c r="K28" s="83"/>
      <c r="L28" s="83"/>
      <c r="M28" s="83"/>
      <c r="N28" s="83"/>
      <c r="O28" s="83"/>
      <c r="P28" s="83"/>
      <c r="Q28" s="83"/>
    </row>
    <row r="29" spans="1:17" x14ac:dyDescent="0.35">
      <c r="A29" s="329"/>
      <c r="B29" s="77"/>
      <c r="C29" s="95" t="s">
        <v>1288</v>
      </c>
      <c r="D29" s="77"/>
      <c r="E29" s="77"/>
      <c r="F29" s="83"/>
      <c r="G29" s="83"/>
      <c r="H29" s="83"/>
      <c r="I29" s="83"/>
      <c r="J29" s="83"/>
      <c r="K29" s="83"/>
      <c r="L29" s="83"/>
      <c r="M29" s="83"/>
      <c r="N29" s="83"/>
      <c r="O29" s="83"/>
      <c r="P29" s="83"/>
      <c r="Q29" s="83"/>
    </row>
    <row r="30" spans="1:17" x14ac:dyDescent="0.35">
      <c r="A30" s="329"/>
      <c r="B30" s="77"/>
      <c r="C30" s="329"/>
      <c r="D30" s="77" t="s">
        <v>1289</v>
      </c>
      <c r="E30" s="77"/>
      <c r="F30" s="444">
        <f t="shared" ref="F30:Q30" si="3">IFERROR(F25-(F31+F36+F32)-F44,0)</f>
        <v>0</v>
      </c>
      <c r="G30" s="444">
        <f t="shared" si="3"/>
        <v>0</v>
      </c>
      <c r="H30" s="444">
        <f t="shared" si="3"/>
        <v>0</v>
      </c>
      <c r="I30" s="444">
        <f t="shared" si="3"/>
        <v>1415370.0117438994</v>
      </c>
      <c r="J30" s="444">
        <f t="shared" si="3"/>
        <v>1709632.9967959151</v>
      </c>
      <c r="K30" s="444">
        <f t="shared" si="3"/>
        <v>1968686.1098468062</v>
      </c>
      <c r="L30" s="444">
        <f t="shared" si="3"/>
        <v>2216639.5313115641</v>
      </c>
      <c r="M30" s="444">
        <f t="shared" si="3"/>
        <v>2111219.1023109481</v>
      </c>
      <c r="N30" s="444">
        <f t="shared" si="3"/>
        <v>2431154.156803593</v>
      </c>
      <c r="O30" s="444">
        <f t="shared" si="3"/>
        <v>2703584.9403621033</v>
      </c>
      <c r="P30" s="444">
        <f t="shared" si="3"/>
        <v>2974422.8602770343</v>
      </c>
      <c r="Q30" s="444">
        <f t="shared" si="3"/>
        <v>138399105.91273725</v>
      </c>
    </row>
    <row r="31" spans="1:17" x14ac:dyDescent="0.35">
      <c r="A31" s="329"/>
      <c r="B31" s="77"/>
      <c r="C31" s="329"/>
      <c r="D31" s="77" t="s">
        <v>1290</v>
      </c>
      <c r="E31" s="77"/>
      <c r="F31" s="444">
        <f>INDEX(Debt!$H$49:$S$49, MATCH(F$6, Debt!$H$14:$S$14,0))</f>
        <v>0</v>
      </c>
      <c r="G31" s="444">
        <f>INDEX(Debt!$H$49:$S$49, MATCH(G$6, Debt!$H$14:$S$14,0))</f>
        <v>0</v>
      </c>
      <c r="H31" s="444">
        <f>INDEX(Debt!$H$49:$S$49, MATCH(H$6, Debt!$H$14:$S$14,0))</f>
        <v>1024500</v>
      </c>
      <c r="I31" s="444">
        <f>INDEX(Debt!$H$49:$S$49, MATCH(I$6, Debt!$H$14:$S$14,0))</f>
        <v>1024500</v>
      </c>
      <c r="J31" s="444">
        <f>INDEX(Debt!$H$49:$S$49, MATCH(J$6, Debt!$H$14:$S$14,0))</f>
        <v>1024500</v>
      </c>
      <c r="K31" s="444">
        <f>INDEX(Debt!$H$49:$S$49, MATCH(K$6, Debt!$H$14:$S$14,0))</f>
        <v>1024500</v>
      </c>
      <c r="L31" s="444">
        <f>INDEX(Debt!$H$49:$S$49, MATCH(L$6, Debt!$H$14:$S$14,0))</f>
        <v>1024500</v>
      </c>
      <c r="M31" s="444">
        <f>INDEX(Debt!$H$49:$S$49, MATCH(M$6, Debt!$H$14:$S$14,0))</f>
        <v>1024500</v>
      </c>
      <c r="N31" s="444">
        <f>INDEX(Debt!$H$49:$S$49, MATCH(N$6, Debt!$H$14:$S$14,0))</f>
        <v>1024500</v>
      </c>
      <c r="O31" s="444">
        <f>INDEX(Debt!$H$49:$S$49, MATCH(O$6, Debt!$H$14:$S$14,0))</f>
        <v>1024500</v>
      </c>
      <c r="P31" s="444">
        <f>INDEX(Debt!$H$49:$S$49, MATCH(P$6, Debt!$H$14:$S$14,0))</f>
        <v>1024500</v>
      </c>
      <c r="Q31" s="444">
        <f>INDEX(Debt!$H$49:$S$49, MATCH(Q$6, Debt!$H$14:$S$14,0))</f>
        <v>0</v>
      </c>
    </row>
    <row r="32" spans="1:17" x14ac:dyDescent="0.35">
      <c r="A32" s="329"/>
      <c r="B32" s="77"/>
      <c r="C32" s="329"/>
      <c r="D32" s="77" t="s">
        <v>1291</v>
      </c>
      <c r="E32" s="77"/>
      <c r="F32" s="444">
        <f>INDEX(Cashflow!$D$20:$O$20, MATCH(F$6,Cashflow!$D$7:$O$7,0))-IF(F$6=Inputs!$E$266,Inputs!$H$306*SUM(Cashflow!$D$20:$O$20),0)</f>
        <v>0</v>
      </c>
      <c r="G32" s="444">
        <f>F32+INDEX(Cashflow!$D$20:$O$20, MATCH(G$6,Cashflow!$D$7:$O$7,0))-IF(G$6=Inputs!$E$266,Inputs!$H$306*SUM(Cashflow!$D$20:$O$20),0)</f>
        <v>0</v>
      </c>
      <c r="H32" s="444">
        <f>G32+INDEX(Cashflow!$D$20:$O$20, MATCH(H$6,Cashflow!$D$7:$O$7,0))-IF(H$6=Inputs!$E$266,Inputs!$H$306*SUM(Cashflow!$D$20:$O$20),0)</f>
        <v>0</v>
      </c>
      <c r="I32" s="444">
        <f>H32+INDEX(Cashflow!$D$20:$O$20, MATCH(I$6,Cashflow!$D$7:$O$7,0))-IF(I$6=Inputs!$E$266,Inputs!$H$306*SUM(Cashflow!$D$20:$O$20),0)</f>
        <v>0</v>
      </c>
      <c r="J32" s="444">
        <f>I32+INDEX(Cashflow!$D$20:$O$20, MATCH(J$6,Cashflow!$D$7:$O$7,0))-IF(J$6=Inputs!$E$266,Inputs!$H$306*SUM(Cashflow!$D$20:$O$20),0)</f>
        <v>0</v>
      </c>
      <c r="K32" s="444">
        <f>J32+INDEX(Cashflow!$D$20:$O$20, MATCH(K$6,Cashflow!$D$7:$O$7,0))-IF(K$6=Inputs!$E$266,Inputs!$H$306*SUM(Cashflow!$D$20:$O$20),0)</f>
        <v>0</v>
      </c>
      <c r="L32" s="444">
        <f>K32+INDEX(Cashflow!$D$20:$O$20, MATCH(L$6,Cashflow!$D$7:$O$7,0))-IF(L$6=Inputs!$E$266,Inputs!$H$306*SUM(Cashflow!$D$20:$O$20),0)</f>
        <v>0</v>
      </c>
      <c r="M32" s="444">
        <f>L32+INDEX(Cashflow!$D$20:$O$20, MATCH(M$6,Cashflow!$D$7:$O$7,0))-IF(M$6=Inputs!$E$266,Inputs!$H$306*SUM(Cashflow!$D$20:$O$20),0)</f>
        <v>0</v>
      </c>
      <c r="N32" s="444">
        <f>M32+INDEX(Cashflow!$D$20:$O$20, MATCH(N$6,Cashflow!$D$7:$O$7,0))-IF(N$6=Inputs!$E$266,Inputs!$H$306*SUM(Cashflow!$D$20:$O$20),0)</f>
        <v>0</v>
      </c>
      <c r="O32" s="444">
        <f>N32+INDEX(Cashflow!$D$20:$O$20, MATCH(O$6,Cashflow!$D$7:$O$7,0))-IF(O$6=Inputs!$E$266,Inputs!$H$306*SUM(Cashflow!$D$20:$O$20),0)</f>
        <v>0</v>
      </c>
      <c r="P32" s="444">
        <f>O32+INDEX(Cashflow!$D$20:$O$20, MATCH(P$6,Cashflow!$D$7:$O$7,0))-IF(P$6=Inputs!$E$266,Inputs!$H$306*SUM(Cashflow!$D$20:$O$20),0)</f>
        <v>0</v>
      </c>
      <c r="Q32" s="444">
        <f>P32+INDEX(Cashflow!$D$20:$O$20, MATCH(Q$6,Cashflow!$D$7:$O$7,0))-IF(Q$6=Inputs!$E$266,Inputs!$H$306*SUM(Cashflow!$D$20:$O$20),0)</f>
        <v>0</v>
      </c>
    </row>
    <row r="33" spans="1:17" x14ac:dyDescent="0.35">
      <c r="A33" s="329"/>
      <c r="B33" s="331"/>
      <c r="C33" s="95" t="str">
        <f>"Total "&amp;C29</f>
        <v>Total Current Liabilities</v>
      </c>
      <c r="D33" s="331"/>
      <c r="E33" s="331"/>
      <c r="F33" s="447">
        <f t="shared" ref="F33:Q33" si="4">F30+F31+F32</f>
        <v>0</v>
      </c>
      <c r="G33" s="447">
        <f t="shared" si="4"/>
        <v>0</v>
      </c>
      <c r="H33" s="447">
        <f t="shared" si="4"/>
        <v>1024500</v>
      </c>
      <c r="I33" s="447">
        <f t="shared" si="4"/>
        <v>2439870.0117438994</v>
      </c>
      <c r="J33" s="447">
        <f t="shared" si="4"/>
        <v>2734132.9967959151</v>
      </c>
      <c r="K33" s="447">
        <f t="shared" si="4"/>
        <v>2993186.1098468062</v>
      </c>
      <c r="L33" s="447">
        <f t="shared" si="4"/>
        <v>3241139.5313115641</v>
      </c>
      <c r="M33" s="447">
        <f t="shared" si="4"/>
        <v>3135719.1023109481</v>
      </c>
      <c r="N33" s="447">
        <f t="shared" si="4"/>
        <v>3455654.156803593</v>
      </c>
      <c r="O33" s="447">
        <f t="shared" si="4"/>
        <v>3728084.9403621033</v>
      </c>
      <c r="P33" s="447">
        <f t="shared" si="4"/>
        <v>3998922.8602770343</v>
      </c>
      <c r="Q33" s="447">
        <f t="shared" si="4"/>
        <v>138399105.91273725</v>
      </c>
    </row>
    <row r="34" spans="1:17" x14ac:dyDescent="0.35">
      <c r="A34" s="329"/>
      <c r="B34" s="331"/>
      <c r="C34" s="331"/>
      <c r="D34" s="331"/>
      <c r="E34" s="331"/>
      <c r="F34" s="447"/>
      <c r="G34" s="447"/>
      <c r="H34" s="447"/>
      <c r="I34" s="447"/>
      <c r="J34" s="447"/>
      <c r="K34" s="447"/>
      <c r="L34" s="447"/>
      <c r="M34" s="447"/>
      <c r="N34" s="447"/>
      <c r="O34" s="447"/>
      <c r="P34" s="447"/>
      <c r="Q34" s="447"/>
    </row>
    <row r="35" spans="1:17" x14ac:dyDescent="0.35">
      <c r="A35" s="329"/>
      <c r="B35" s="331"/>
      <c r="C35" s="95" t="s">
        <v>1292</v>
      </c>
      <c r="D35" s="331"/>
      <c r="E35" s="331"/>
      <c r="F35" s="447"/>
      <c r="G35" s="447"/>
      <c r="H35" s="447"/>
      <c r="I35" s="447"/>
      <c r="J35" s="447"/>
      <c r="K35" s="447"/>
      <c r="L35" s="447"/>
      <c r="M35" s="447"/>
      <c r="N35" s="447"/>
      <c r="O35" s="447"/>
      <c r="P35" s="447"/>
      <c r="Q35" s="447"/>
    </row>
    <row r="36" spans="1:17" x14ac:dyDescent="0.35">
      <c r="A36" s="329"/>
      <c r="B36" s="331"/>
      <c r="C36" s="331"/>
      <c r="D36" s="77" t="s">
        <v>1293</v>
      </c>
      <c r="E36" s="77"/>
      <c r="F36" s="444">
        <f>INDEX(Debt!$H$50:$S$50, MATCH(F$6, Debt!$H$14:$S$14,0))</f>
        <v>0</v>
      </c>
      <c r="G36" s="444">
        <f>INDEX(Debt!$H$50:$S$50, MATCH(G$6, Debt!$H$14:$S$14,0))</f>
        <v>0</v>
      </c>
      <c r="H36" s="444">
        <f>INDEX(Debt!$H$50:$S$50, MATCH(H$6, Debt!$H$14:$S$14,0))</f>
        <v>8196000</v>
      </c>
      <c r="I36" s="444">
        <f>INDEX(Debt!$H$50:$S$50, MATCH(I$6, Debt!$H$14:$S$14,0))</f>
        <v>7171500</v>
      </c>
      <c r="J36" s="444">
        <f>INDEX(Debt!$H$50:$S$50, MATCH(J$6, Debt!$H$14:$S$14,0))</f>
        <v>6147000</v>
      </c>
      <c r="K36" s="444">
        <f>INDEX(Debt!$H$50:$S$50, MATCH(K$6, Debt!$H$14:$S$14,0))</f>
        <v>5122500</v>
      </c>
      <c r="L36" s="444">
        <f>INDEX(Debt!$H$50:$S$50, MATCH(L$6, Debt!$H$14:$S$14,0))</f>
        <v>4098000</v>
      </c>
      <c r="M36" s="444">
        <f>INDEX(Debt!$H$50:$S$50, MATCH(M$6, Debt!$H$14:$S$14,0))</f>
        <v>3073500</v>
      </c>
      <c r="N36" s="444">
        <f>INDEX(Debt!$H$50:$S$50, MATCH(N$6, Debt!$H$14:$S$14,0))</f>
        <v>2049000</v>
      </c>
      <c r="O36" s="444">
        <f>INDEX(Debt!$H$50:$S$50, MATCH(O$6, Debt!$H$14:$S$14,0))</f>
        <v>1024500</v>
      </c>
      <c r="P36" s="444">
        <f>INDEX(Debt!$H$50:$S$50, MATCH(P$6, Debt!$H$14:$S$14,0))</f>
        <v>0</v>
      </c>
      <c r="Q36" s="444">
        <f>INDEX(Debt!$H$50:$S$50, MATCH(Q$6, Debt!$H$14:$S$14,0))</f>
        <v>0</v>
      </c>
    </row>
    <row r="37" spans="1:17" x14ac:dyDescent="0.35">
      <c r="A37" s="329"/>
      <c r="B37" s="331"/>
      <c r="C37" s="95" t="str">
        <f>"Total " &amp;C35</f>
        <v>Total Non-Current Liabilities</v>
      </c>
      <c r="D37" s="331"/>
      <c r="E37" s="331"/>
      <c r="F37" s="447">
        <f t="shared" ref="F37:Q37" si="5">SUM(F36:F36)</f>
        <v>0</v>
      </c>
      <c r="G37" s="447">
        <f t="shared" si="5"/>
        <v>0</v>
      </c>
      <c r="H37" s="447">
        <f t="shared" si="5"/>
        <v>8196000</v>
      </c>
      <c r="I37" s="447">
        <f t="shared" si="5"/>
        <v>7171500</v>
      </c>
      <c r="J37" s="447">
        <f t="shared" si="5"/>
        <v>6147000</v>
      </c>
      <c r="K37" s="447">
        <f t="shared" si="5"/>
        <v>5122500</v>
      </c>
      <c r="L37" s="447">
        <f t="shared" si="5"/>
        <v>4098000</v>
      </c>
      <c r="M37" s="447">
        <f t="shared" si="5"/>
        <v>3073500</v>
      </c>
      <c r="N37" s="447">
        <f t="shared" si="5"/>
        <v>2049000</v>
      </c>
      <c r="O37" s="447">
        <f t="shared" si="5"/>
        <v>1024500</v>
      </c>
      <c r="P37" s="447">
        <f t="shared" si="5"/>
        <v>0</v>
      </c>
      <c r="Q37" s="447">
        <f t="shared" si="5"/>
        <v>0</v>
      </c>
    </row>
    <row r="38" spans="1:17" ht="15" customHeight="1" thickBot="1" x14ac:dyDescent="0.4">
      <c r="A38" s="329"/>
      <c r="B38" s="329"/>
      <c r="C38" s="77" t="s">
        <v>1294</v>
      </c>
      <c r="D38" s="77"/>
      <c r="E38" s="77"/>
      <c r="F38" s="448">
        <f t="shared" ref="F38:Q38" si="6">F33+F37</f>
        <v>0</v>
      </c>
      <c r="G38" s="448">
        <f t="shared" si="6"/>
        <v>0</v>
      </c>
      <c r="H38" s="448">
        <f t="shared" si="6"/>
        <v>9220500</v>
      </c>
      <c r="I38" s="448">
        <f t="shared" si="6"/>
        <v>9611370.0117438994</v>
      </c>
      <c r="J38" s="448">
        <f t="shared" si="6"/>
        <v>8881132.9967959151</v>
      </c>
      <c r="K38" s="448">
        <f t="shared" si="6"/>
        <v>8115686.1098468062</v>
      </c>
      <c r="L38" s="448">
        <f t="shared" si="6"/>
        <v>7339139.5313115641</v>
      </c>
      <c r="M38" s="448">
        <f t="shared" si="6"/>
        <v>6209219.1023109481</v>
      </c>
      <c r="N38" s="448">
        <f t="shared" si="6"/>
        <v>5504654.156803593</v>
      </c>
      <c r="O38" s="448">
        <f t="shared" si="6"/>
        <v>4752584.9403621033</v>
      </c>
      <c r="P38" s="448">
        <f t="shared" si="6"/>
        <v>3998922.8602770343</v>
      </c>
      <c r="Q38" s="448">
        <f t="shared" si="6"/>
        <v>138399105.91273725</v>
      </c>
    </row>
    <row r="39" spans="1:17" x14ac:dyDescent="0.35">
      <c r="A39" s="329"/>
      <c r="B39" s="331"/>
      <c r="C39" s="331"/>
      <c r="D39" s="331"/>
      <c r="E39" s="331"/>
      <c r="F39" s="83"/>
      <c r="G39" s="83"/>
      <c r="H39" s="83"/>
      <c r="I39" s="83"/>
      <c r="J39" s="83"/>
      <c r="K39" s="83"/>
      <c r="L39" s="83"/>
      <c r="M39" s="83"/>
      <c r="N39" s="83"/>
      <c r="O39" s="83"/>
      <c r="P39" s="83"/>
      <c r="Q39" s="83"/>
    </row>
    <row r="40" spans="1:17" x14ac:dyDescent="0.35">
      <c r="A40" s="329"/>
      <c r="B40" s="77" t="s">
        <v>1295</v>
      </c>
      <c r="C40" s="77"/>
      <c r="D40" s="77"/>
      <c r="E40" s="77"/>
      <c r="F40" s="83"/>
      <c r="G40" s="83"/>
      <c r="H40" s="83"/>
      <c r="I40" s="83"/>
      <c r="J40" s="83"/>
      <c r="K40" s="83"/>
      <c r="L40" s="83"/>
      <c r="M40" s="83"/>
      <c r="N40" s="83"/>
      <c r="O40" s="83"/>
      <c r="P40" s="83"/>
      <c r="Q40" s="83"/>
    </row>
    <row r="41" spans="1:17" x14ac:dyDescent="0.35">
      <c r="A41" s="329"/>
      <c r="B41" s="329"/>
      <c r="C41" s="77" t="s">
        <v>1296</v>
      </c>
      <c r="D41" s="77"/>
      <c r="E41" s="77"/>
      <c r="F41" s="444">
        <f>INDEX(Cashflow!$D$95:$O$95,MATCH(F$6,Cashflow!$D$7:$O$7,0))</f>
        <v>0</v>
      </c>
      <c r="G41" s="444">
        <f>INDEX(Cashflow!$D$95:$O$95,MATCH(G$6,Cashflow!$D$7:$O$7,0))</f>
        <v>2487500.0000000005</v>
      </c>
      <c r="H41" s="444">
        <f>INDEX(Cashflow!$D$95:$O$95,MATCH(H$6,Cashflow!$D$7:$O$7,0))</f>
        <v>7610000</v>
      </c>
      <c r="I41" s="444">
        <f>INDEX(Cashflow!$D$95:$O$95,MATCH(I$6,Cashflow!$D$7:$O$7,0))</f>
        <v>7610000</v>
      </c>
      <c r="J41" s="444">
        <f>INDEX(Cashflow!$D$95:$O$95,MATCH(J$6,Cashflow!$D$7:$O$7,0))</f>
        <v>7610000</v>
      </c>
      <c r="K41" s="444">
        <f>INDEX(Cashflow!$D$95:$O$95,MATCH(K$6,Cashflow!$D$7:$O$7,0))</f>
        <v>7610000</v>
      </c>
      <c r="L41" s="444">
        <f>INDEX(Cashflow!$D$95:$O$95,MATCH(L$6,Cashflow!$D$7:$O$7,0))</f>
        <v>7610000</v>
      </c>
      <c r="M41" s="444">
        <f>INDEX(Cashflow!$D$95:$O$95,MATCH(M$6,Cashflow!$D$7:$O$7,0))</f>
        <v>7610000</v>
      </c>
      <c r="N41" s="444">
        <f>INDEX(Cashflow!$D$95:$O$95,MATCH(N$6,Cashflow!$D$7:$O$7,0))</f>
        <v>7610000</v>
      </c>
      <c r="O41" s="444">
        <f>INDEX(Cashflow!$D$95:$O$95,MATCH(O$6,Cashflow!$D$7:$O$7,0))</f>
        <v>7610000</v>
      </c>
      <c r="P41" s="444">
        <f>INDEX(Cashflow!$D$95:$O$95,MATCH(P$6,Cashflow!$D$7:$O$7,0))</f>
        <v>7610000</v>
      </c>
      <c r="Q41" s="444">
        <f>INDEX(Cashflow!$D$95:$O$95,MATCH(Q$6,Cashflow!$D$7:$O$7,0))</f>
        <v>7610000</v>
      </c>
    </row>
    <row r="42" spans="1:17" x14ac:dyDescent="0.35">
      <c r="A42" s="329"/>
      <c r="B42" s="329"/>
      <c r="C42" s="77" t="s">
        <v>1297</v>
      </c>
      <c r="D42" s="77"/>
      <c r="E42" s="77"/>
      <c r="F42" s="444">
        <f>INDEX('P&amp;L'!$H$93:$S$93, MATCH(F$6,'P&amp;L'!$H$6:$S$6,0))-INDEX('P&amp;L'!$H$102:$S$102, MATCH(F$6,'P&amp;L'!$H$6:$S$6,0))-INDEX('P&amp;L'!$H$100:$S$100, MATCH(F$6,'P&amp;L'!$H$6:$S$6,0))</f>
        <v>0</v>
      </c>
      <c r="G42" s="444">
        <f>F42+INDEX('P&amp;L'!$H$93:$S$93, MATCH(G$6,'P&amp;L'!$H$6:$S$6,0))-INDEX('P&amp;L'!$H$102:$S$102, MATCH(G$6,'P&amp;L'!$H$6:$S$6,0))-INDEX('P&amp;L'!$H$100:$S$100, MATCH(G$6,'P&amp;L'!$H$6:$S$6,0))</f>
        <v>0</v>
      </c>
      <c r="H42" s="444">
        <f>G42+INDEX('P&amp;L'!$H$93:$S$93, MATCH(H$6,'P&amp;L'!$H$6:$S$6,0))-INDEX('P&amp;L'!$H$102:$S$102, MATCH(H$6,'P&amp;L'!$H$6:$S$6,0))-INDEX('P&amp;L'!$H$100:$S$100, MATCH(H$6,'P&amp;L'!$H$6:$S$6,0))</f>
        <v>0</v>
      </c>
      <c r="I42" s="444">
        <f>H42+INDEX('P&amp;L'!$H$93:$S$93, MATCH(I$6,'P&amp;L'!$H$6:$S$6,0))-INDEX('P&amp;L'!$H$102:$S$102, MATCH(I$6,'P&amp;L'!$H$6:$S$6,0))-INDEX('P&amp;L'!$H$100:$S$100, MATCH(I$6,'P&amp;L'!$H$6:$S$6,0))</f>
        <v>1723210.1766812534</v>
      </c>
      <c r="J42" s="444">
        <f>I42+INDEX('P&amp;L'!$H$93:$S$93, MATCH(J$6,'P&amp;L'!$H$6:$S$6,0))-INDEX('P&amp;L'!$H$102:$S$102, MATCH(J$6,'P&amp;L'!$H$6:$S$6,0))-INDEX('P&amp;L'!$H$100:$S$100, MATCH(J$6,'P&amp;L'!$H$6:$S$6,0))</f>
        <v>3511283.3521397631</v>
      </c>
      <c r="K42" s="444">
        <f>J42+INDEX('P&amp;L'!$H$93:$S$93, MATCH(K$6,'P&amp;L'!$H$6:$S$6,0))-INDEX('P&amp;L'!$H$102:$S$102, MATCH(K$6,'P&amp;L'!$H$6:$S$6,0))-INDEX('P&amp;L'!$H$100:$S$100, MATCH(K$6,'P&amp;L'!$H$6:$S$6,0))</f>
        <v>5429664.8146185596</v>
      </c>
      <c r="L42" s="444">
        <f>K42+INDEX('P&amp;L'!$H$93:$S$93, MATCH(L$6,'P&amp;L'!$H$6:$S$6,0))-INDEX('P&amp;L'!$H$102:$S$102, MATCH(L$6,'P&amp;L'!$H$6:$S$6,0))-INDEX('P&amp;L'!$H$100:$S$100, MATCH(L$6,'P&amp;L'!$H$6:$S$6,0))</f>
        <v>7422213.513098456</v>
      </c>
      <c r="M42" s="444">
        <f>L42+INDEX('P&amp;L'!$H$93:$S$93, MATCH(M$6,'P&amp;L'!$H$6:$S$6,0))-INDEX('P&amp;L'!$H$102:$S$102, MATCH(M$6,'P&amp;L'!$H$6:$S$6,0))-INDEX('P&amp;L'!$H$100:$S$100, MATCH(M$6,'P&amp;L'!$H$6:$S$6,0))</f>
        <v>9518209.1339932829</v>
      </c>
      <c r="N42" s="444">
        <f>M42+INDEX('P&amp;L'!$H$93:$S$93, MATCH(N$6,'P&amp;L'!$H$6:$S$6,0))-INDEX('P&amp;L'!$H$102:$S$102, MATCH(N$6,'P&amp;L'!$H$6:$S$6,0))-INDEX('P&amp;L'!$H$100:$S$100, MATCH(N$6,'P&amp;L'!$H$6:$S$6,0))</f>
        <v>11555132.554649526</v>
      </c>
      <c r="O42" s="444">
        <f>N42+INDEX('P&amp;L'!$H$93:$S$93, MATCH(O$6,'P&amp;L'!$H$6:$S$6,0))-INDEX('P&amp;L'!$H$102:$S$102, MATCH(O$6,'P&amp;L'!$H$6:$S$6,0))-INDEX('P&amp;L'!$H$100:$S$100, MATCH(O$6,'P&amp;L'!$H$6:$S$6,0))</f>
        <v>13643659.292267246</v>
      </c>
      <c r="P42" s="444">
        <f>O42+INDEX('P&amp;L'!$H$93:$S$93, MATCH(P$6,'P&amp;L'!$H$6:$S$6,0))-INDEX('P&amp;L'!$H$102:$S$102, MATCH(P$6,'P&amp;L'!$H$6:$S$6,0))-INDEX('P&amp;L'!$H$100:$S$100, MATCH(P$6,'P&amp;L'!$H$6:$S$6,0))</f>
        <v>15790846.819433797</v>
      </c>
      <c r="Q42" s="444">
        <f>P42+INDEX('P&amp;L'!$H$93:$S$93, MATCH(Q$6,'P&amp;L'!$H$6:$S$6,0))-INDEX('P&amp;L'!$H$102:$S$102, MATCH(Q$6,'P&amp;L'!$H$6:$S$6,0))-INDEX('P&amp;L'!$H$100:$S$100, MATCH(Q$6,'P&amp;L'!$H$6:$S$6,0))</f>
        <v>17997984.966816373</v>
      </c>
    </row>
    <row r="43" spans="1:17" x14ac:dyDescent="0.35">
      <c r="A43" s="329"/>
      <c r="B43" s="331"/>
      <c r="C43" s="331"/>
      <c r="D43" s="331"/>
      <c r="E43" s="331"/>
      <c r="F43" s="447"/>
      <c r="G43" s="447"/>
      <c r="H43" s="447"/>
      <c r="I43" s="447"/>
      <c r="J43" s="447"/>
      <c r="K43" s="447"/>
      <c r="L43" s="447"/>
      <c r="M43" s="447"/>
      <c r="N43" s="447"/>
      <c r="O43" s="447"/>
      <c r="P43" s="447"/>
      <c r="Q43" s="447"/>
    </row>
    <row r="44" spans="1:17" ht="15" customHeight="1" thickBot="1" x14ac:dyDescent="0.4">
      <c r="A44" s="329"/>
      <c r="B44" s="77" t="s">
        <v>1298</v>
      </c>
      <c r="C44" s="77"/>
      <c r="D44" s="77"/>
      <c r="E44" s="77"/>
      <c r="F44" s="448">
        <f t="shared" ref="F44:Q44" si="7">SUM(F41:F42)</f>
        <v>0</v>
      </c>
      <c r="G44" s="448">
        <f t="shared" si="7"/>
        <v>2487500.0000000005</v>
      </c>
      <c r="H44" s="448">
        <f t="shared" si="7"/>
        <v>7610000</v>
      </c>
      <c r="I44" s="448">
        <f t="shared" si="7"/>
        <v>9333210.1766812541</v>
      </c>
      <c r="J44" s="448">
        <f t="shared" si="7"/>
        <v>11121283.352139764</v>
      </c>
      <c r="K44" s="448">
        <f t="shared" si="7"/>
        <v>13039664.81461856</v>
      </c>
      <c r="L44" s="448">
        <f t="shared" si="7"/>
        <v>15032213.513098456</v>
      </c>
      <c r="M44" s="448">
        <f t="shared" si="7"/>
        <v>17128209.133993283</v>
      </c>
      <c r="N44" s="448">
        <f t="shared" si="7"/>
        <v>19165132.554649524</v>
      </c>
      <c r="O44" s="448">
        <f t="shared" si="7"/>
        <v>21253659.292267248</v>
      </c>
      <c r="P44" s="448">
        <f t="shared" si="7"/>
        <v>23400846.819433797</v>
      </c>
      <c r="Q44" s="448">
        <f t="shared" si="7"/>
        <v>25607984.966816373</v>
      </c>
    </row>
    <row r="45" spans="1:17" x14ac:dyDescent="0.35">
      <c r="A45" s="329"/>
      <c r="B45" s="331"/>
      <c r="C45" s="331"/>
      <c r="D45" s="331"/>
      <c r="E45" s="331"/>
      <c r="F45" s="83"/>
      <c r="G45" s="83"/>
      <c r="H45" s="83"/>
      <c r="I45" s="83"/>
      <c r="J45" s="83"/>
      <c r="K45" s="83"/>
      <c r="L45" s="83"/>
      <c r="M45" s="83"/>
      <c r="N45" s="83"/>
      <c r="O45" s="83"/>
      <c r="P45" s="83"/>
      <c r="Q45" s="83"/>
    </row>
    <row r="46" spans="1:17" x14ac:dyDescent="0.35">
      <c r="A46" s="329"/>
      <c r="B46" s="77" t="s">
        <v>1299</v>
      </c>
      <c r="C46" s="77"/>
      <c r="D46" s="77"/>
      <c r="E46" s="77"/>
      <c r="F46" s="444">
        <f t="shared" ref="F46:Q46" si="8">F25-F38-F44</f>
        <v>0</v>
      </c>
      <c r="G46" s="444">
        <f t="shared" si="8"/>
        <v>0</v>
      </c>
      <c r="H46" s="444">
        <f t="shared" si="8"/>
        <v>0</v>
      </c>
      <c r="I46" s="444">
        <f t="shared" si="8"/>
        <v>0</v>
      </c>
      <c r="J46" s="444">
        <f t="shared" si="8"/>
        <v>0</v>
      </c>
      <c r="K46" s="444">
        <f t="shared" si="8"/>
        <v>0</v>
      </c>
      <c r="L46" s="444">
        <f t="shared" si="8"/>
        <v>0</v>
      </c>
      <c r="M46" s="444">
        <f t="shared" si="8"/>
        <v>0</v>
      </c>
      <c r="N46" s="444">
        <f t="shared" si="8"/>
        <v>0</v>
      </c>
      <c r="O46" s="444">
        <f t="shared" si="8"/>
        <v>0</v>
      </c>
      <c r="P46" s="444">
        <f t="shared" si="8"/>
        <v>0</v>
      </c>
      <c r="Q46" s="444">
        <f t="shared" si="8"/>
        <v>0</v>
      </c>
    </row>
    <row r="47" spans="1:17" x14ac:dyDescent="0.35">
      <c r="A47" s="329"/>
      <c r="B47" s="77" t="s">
        <v>1300</v>
      </c>
      <c r="C47" s="77"/>
      <c r="D47" s="77"/>
      <c r="E47" s="77"/>
      <c r="F47" s="81" t="str">
        <f t="shared" ref="F47:Q47" si="9">IF(ABS(F46)&lt;1,"OK","CHECK")</f>
        <v>OK</v>
      </c>
      <c r="G47" s="81" t="str">
        <f t="shared" si="9"/>
        <v>OK</v>
      </c>
      <c r="H47" s="81" t="str">
        <f t="shared" si="9"/>
        <v>OK</v>
      </c>
      <c r="I47" s="81" t="str">
        <f t="shared" si="9"/>
        <v>OK</v>
      </c>
      <c r="J47" s="81" t="str">
        <f t="shared" si="9"/>
        <v>OK</v>
      </c>
      <c r="K47" s="81" t="str">
        <f t="shared" si="9"/>
        <v>OK</v>
      </c>
      <c r="L47" s="81" t="str">
        <f t="shared" si="9"/>
        <v>OK</v>
      </c>
      <c r="M47" s="81" t="str">
        <f t="shared" si="9"/>
        <v>OK</v>
      </c>
      <c r="N47" s="81" t="str">
        <f t="shared" si="9"/>
        <v>OK</v>
      </c>
      <c r="O47" s="81" t="str">
        <f t="shared" si="9"/>
        <v>OK</v>
      </c>
      <c r="P47" s="81" t="str">
        <f t="shared" si="9"/>
        <v>OK</v>
      </c>
      <c r="Q47" s="81" t="str">
        <f t="shared" si="9"/>
        <v>OK</v>
      </c>
    </row>
    <row r="48" spans="1:17" x14ac:dyDescent="0.35">
      <c r="A48" s="329"/>
      <c r="B48" s="329"/>
      <c r="C48" s="329"/>
      <c r="D48" s="329"/>
      <c r="E48" s="329"/>
      <c r="F48" s="329"/>
      <c r="G48" s="329"/>
      <c r="H48" s="329"/>
      <c r="I48" s="329"/>
      <c r="J48" s="329"/>
      <c r="K48" s="329"/>
      <c r="L48" s="329"/>
      <c r="M48" s="329"/>
      <c r="N48" s="329"/>
      <c r="O48" s="329"/>
      <c r="P48" s="329"/>
      <c r="Q48" s="329"/>
    </row>
    <row r="49" spans="1:17" x14ac:dyDescent="0.35">
      <c r="A49" s="329"/>
      <c r="B49" s="330" t="s">
        <v>1301</v>
      </c>
      <c r="C49" s="329"/>
      <c r="D49" s="329"/>
      <c r="E49" s="329"/>
      <c r="F49" s="329"/>
      <c r="G49" s="329"/>
      <c r="H49" s="329"/>
      <c r="I49" s="329"/>
      <c r="J49" s="329"/>
      <c r="K49" s="329"/>
      <c r="L49" s="329"/>
      <c r="M49" s="329"/>
      <c r="N49" s="329"/>
      <c r="O49" s="329"/>
      <c r="P49" s="329"/>
      <c r="Q49" s="329"/>
    </row>
    <row r="50" spans="1:17" x14ac:dyDescent="0.35">
      <c r="A50" s="329"/>
      <c r="B50" s="329"/>
      <c r="C50" s="329"/>
      <c r="D50" s="329"/>
      <c r="E50" s="329"/>
      <c r="F50" s="329"/>
      <c r="G50" s="329"/>
      <c r="H50" s="329"/>
      <c r="I50" s="329"/>
      <c r="J50" s="329"/>
      <c r="K50" s="329"/>
      <c r="L50" s="329"/>
      <c r="M50" s="329"/>
      <c r="N50" s="329"/>
      <c r="O50" s="329"/>
      <c r="P50" s="329"/>
      <c r="Q50" s="329"/>
    </row>
    <row r="51" spans="1:17" x14ac:dyDescent="0.35">
      <c r="A51" s="329"/>
      <c r="B51" s="329" t="s">
        <v>1302</v>
      </c>
      <c r="C51" s="329"/>
      <c r="D51" s="329"/>
      <c r="E51" s="329" t="s">
        <v>24</v>
      </c>
      <c r="F51" s="329" t="s">
        <v>25</v>
      </c>
      <c r="G51" s="329" t="s">
        <v>26</v>
      </c>
      <c r="H51" s="329" t="s">
        <v>27</v>
      </c>
      <c r="I51" s="329" t="s">
        <v>28</v>
      </c>
      <c r="J51" s="329" t="s">
        <v>29</v>
      </c>
      <c r="K51" s="329" t="s">
        <v>30</v>
      </c>
      <c r="L51" s="329" t="s">
        <v>31</v>
      </c>
      <c r="M51" s="329" t="s">
        <v>32</v>
      </c>
      <c r="N51" s="329" t="s">
        <v>33</v>
      </c>
      <c r="O51" s="329" t="s">
        <v>34</v>
      </c>
      <c r="P51" s="329" t="s">
        <v>35</v>
      </c>
      <c r="Q51" s="329"/>
    </row>
    <row r="52" spans="1:17" x14ac:dyDescent="0.35">
      <c r="A52" s="329"/>
      <c r="B52" s="329" t="s">
        <v>1303</v>
      </c>
      <c r="C52" s="329"/>
      <c r="D52" s="329"/>
      <c r="E52" s="329"/>
      <c r="F52" s="449">
        <f t="shared" ref="F52:Q52" si="10">F46</f>
        <v>0</v>
      </c>
      <c r="G52" s="449">
        <f t="shared" si="10"/>
        <v>0</v>
      </c>
      <c r="H52" s="449">
        <f t="shared" si="10"/>
        <v>0</v>
      </c>
      <c r="I52" s="449">
        <f t="shared" si="10"/>
        <v>0</v>
      </c>
      <c r="J52" s="449">
        <f t="shared" si="10"/>
        <v>0</v>
      </c>
      <c r="K52" s="449">
        <f t="shared" si="10"/>
        <v>0</v>
      </c>
      <c r="L52" s="449">
        <f t="shared" si="10"/>
        <v>0</v>
      </c>
      <c r="M52" s="449">
        <f t="shared" si="10"/>
        <v>0</v>
      </c>
      <c r="N52" s="449">
        <f t="shared" si="10"/>
        <v>0</v>
      </c>
      <c r="O52" s="449">
        <f t="shared" si="10"/>
        <v>0</v>
      </c>
      <c r="P52" s="449">
        <f t="shared" si="10"/>
        <v>0</v>
      </c>
      <c r="Q52" s="449">
        <f t="shared" si="10"/>
        <v>0</v>
      </c>
    </row>
    <row r="53" spans="1:17" x14ac:dyDescent="0.35">
      <c r="A53" s="329"/>
      <c r="B53" s="329" t="s">
        <v>1304</v>
      </c>
      <c r="C53" s="329"/>
      <c r="D53" s="329"/>
      <c r="E53" s="329"/>
      <c r="F53" s="449">
        <f>F10-Cashflow!D37</f>
        <v>0</v>
      </c>
      <c r="G53" s="449">
        <f>G10-Cashflow!E37</f>
        <v>0</v>
      </c>
      <c r="H53" s="449">
        <f>H10-Cashflow!F37</f>
        <v>0</v>
      </c>
      <c r="I53" s="449">
        <f>I10-Cashflow!G37</f>
        <v>0</v>
      </c>
      <c r="J53" s="449">
        <f>J10-Cashflow!H37</f>
        <v>0</v>
      </c>
      <c r="K53" s="449">
        <f>K10-Cashflow!I37</f>
        <v>0</v>
      </c>
      <c r="L53" s="449">
        <f>L10-Cashflow!J37</f>
        <v>0</v>
      </c>
      <c r="M53" s="449">
        <f>M10-Cashflow!K37</f>
        <v>0</v>
      </c>
      <c r="N53" s="449">
        <f>N10-Cashflow!L37</f>
        <v>0</v>
      </c>
      <c r="O53" s="449">
        <f>O10-Cashflow!M37</f>
        <v>0</v>
      </c>
      <c r="P53" s="449">
        <f>P10-Cashflow!N37</f>
        <v>0</v>
      </c>
      <c r="Q53" s="449">
        <f>Q10-Cashflow!O37</f>
        <v>0</v>
      </c>
    </row>
    <row r="54" spans="1:17" x14ac:dyDescent="0.35">
      <c r="A54" s="329"/>
      <c r="B54" s="329" t="s">
        <v>1305</v>
      </c>
      <c r="C54" s="329"/>
      <c r="D54" s="329"/>
      <c r="E54" s="329"/>
      <c r="F54" s="449">
        <f>F22-'Construction Timeline'!D183</f>
        <v>0</v>
      </c>
      <c r="G54" s="449">
        <f>G22-'Construction Timeline'!E183</f>
        <v>0</v>
      </c>
      <c r="H54" s="449">
        <f>H22-'Construction Timeline'!F183</f>
        <v>0</v>
      </c>
      <c r="I54" s="449">
        <f>I22-'Construction Timeline'!G183</f>
        <v>0</v>
      </c>
      <c r="J54" s="449">
        <f>J22-'Construction Timeline'!H183</f>
        <v>0</v>
      </c>
      <c r="K54" s="449">
        <f>K22-'Construction Timeline'!I183</f>
        <v>0</v>
      </c>
      <c r="L54" s="449">
        <f>L22-'Construction Timeline'!J183</f>
        <v>0</v>
      </c>
      <c r="M54" s="449">
        <f>M22-'Construction Timeline'!K183</f>
        <v>0</v>
      </c>
      <c r="N54" s="449">
        <f>N22-'Construction Timeline'!L183</f>
        <v>0</v>
      </c>
      <c r="O54" s="449">
        <f>O22-'Construction Timeline'!M183</f>
        <v>0</v>
      </c>
      <c r="P54" s="449">
        <f>P22-'Construction Timeline'!N183</f>
        <v>0</v>
      </c>
      <c r="Q54" s="449">
        <f>Q22-'Construction Timeline'!O183</f>
        <v>0</v>
      </c>
    </row>
    <row r="55" spans="1:17" x14ac:dyDescent="0.35">
      <c r="A55" s="329"/>
      <c r="B55" s="329"/>
      <c r="C55" s="329"/>
      <c r="D55" s="329"/>
      <c r="E55" s="329"/>
      <c r="F55" s="329"/>
      <c r="G55" s="329"/>
      <c r="H55" s="329"/>
      <c r="I55" s="329"/>
      <c r="J55" s="329"/>
      <c r="K55" s="329"/>
      <c r="L55" s="329"/>
      <c r="M55" s="329"/>
      <c r="N55" s="329"/>
      <c r="O55" s="329"/>
      <c r="P55" s="329"/>
      <c r="Q55" s="329"/>
    </row>
    <row r="56" spans="1:17" x14ac:dyDescent="0.35">
      <c r="A56" s="329"/>
      <c r="B56" s="330" t="s">
        <v>1306</v>
      </c>
      <c r="C56" s="329"/>
      <c r="D56" s="329"/>
      <c r="E56" s="329"/>
      <c r="F56" s="329" t="s">
        <v>1307</v>
      </c>
      <c r="G56" s="329"/>
      <c r="H56" s="329"/>
      <c r="I56" s="329"/>
      <c r="J56" s="329"/>
      <c r="K56" s="329"/>
      <c r="L56" s="329"/>
      <c r="M56" s="329"/>
      <c r="N56" s="329"/>
      <c r="O56" s="329"/>
      <c r="P56" s="329"/>
      <c r="Q56" s="329"/>
    </row>
  </sheetData>
  <pageMargins left="0.25" right="0.25" top="0.35" bottom="0.35" header="0.2" footer="0.2"/>
  <pageSetup fitToHeight="0"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C000"/>
    <pageSetUpPr fitToPage="1"/>
  </sheetPr>
  <dimension ref="A1:XFC97"/>
  <sheetViews>
    <sheetView showGridLines="0" workbookViewId="0">
      <selection activeCell="A26" sqref="A26"/>
    </sheetView>
  </sheetViews>
  <sheetFormatPr defaultRowHeight="14.5" x14ac:dyDescent="0.35"/>
  <cols>
    <col min="1" max="1" width="58" customWidth="1"/>
    <col min="2" max="2" width="10.54296875" customWidth="1"/>
    <col min="3" max="3" width="7.453125" bestFit="1" customWidth="1"/>
    <col min="4" max="5" width="13.453125" bestFit="1" customWidth="1"/>
    <col min="6" max="6" width="16.1796875" bestFit="1" customWidth="1"/>
    <col min="7" max="14" width="15.1796875" bestFit="1" customWidth="1"/>
    <col min="15" max="15" width="16.453125" bestFit="1" customWidth="1"/>
    <col min="16" max="16" width="14.1796875" bestFit="1" customWidth="1"/>
    <col min="17" max="17" width="41.1796875" hidden="1" customWidth="1"/>
    <col min="18" max="30" width="12" hidden="1" customWidth="1"/>
    <col min="31" max="16383" width="13" hidden="1" customWidth="1"/>
  </cols>
  <sheetData>
    <row r="1" spans="1:26" ht="24" customHeight="1" x14ac:dyDescent="0.5">
      <c r="A1" s="61" t="s">
        <v>1308</v>
      </c>
      <c r="B1" s="61"/>
      <c r="C1" s="61"/>
      <c r="D1" s="61"/>
      <c r="E1" s="61"/>
      <c r="F1" s="61"/>
      <c r="G1" s="61"/>
      <c r="H1" s="61"/>
      <c r="I1" s="61"/>
      <c r="J1" s="61"/>
      <c r="K1" s="61"/>
      <c r="L1" s="61"/>
      <c r="M1" s="61"/>
      <c r="N1" s="61"/>
      <c r="O1" s="61"/>
      <c r="P1" s="61"/>
      <c r="Q1" s="61"/>
      <c r="R1" s="61"/>
      <c r="S1" s="61"/>
      <c r="T1" s="61"/>
      <c r="U1" s="331"/>
      <c r="V1" s="329"/>
      <c r="W1" s="329"/>
      <c r="X1" s="329"/>
      <c r="Y1" s="329"/>
      <c r="Z1" s="450"/>
    </row>
    <row r="2" spans="1:26" ht="16.5" customHeight="1" x14ac:dyDescent="0.35">
      <c r="A2" s="62" t="s">
        <v>10</v>
      </c>
      <c r="B2" s="62"/>
      <c r="C2" s="62"/>
      <c r="D2" s="62"/>
      <c r="E2" s="62"/>
      <c r="F2" s="62"/>
      <c r="G2" s="62"/>
      <c r="H2" s="62"/>
      <c r="I2" s="62"/>
      <c r="J2" s="62"/>
      <c r="K2" s="62"/>
      <c r="L2" s="62"/>
      <c r="M2" s="62"/>
      <c r="N2" s="62"/>
      <c r="O2" s="62"/>
      <c r="P2" s="62"/>
      <c r="Q2" s="62"/>
      <c r="R2" s="62"/>
      <c r="S2" s="62"/>
      <c r="T2" s="62"/>
      <c r="U2" s="331"/>
      <c r="V2" s="329"/>
      <c r="W2" s="329"/>
      <c r="X2" s="329"/>
      <c r="Y2" s="329"/>
      <c r="Z2" s="450">
        <f>D13</f>
        <v>0</v>
      </c>
    </row>
    <row r="3" spans="1:26" ht="24" customHeight="1" x14ac:dyDescent="0.35">
      <c r="A3" s="71"/>
      <c r="B3" s="71"/>
      <c r="C3" s="71"/>
      <c r="D3" s="75"/>
      <c r="E3" s="75"/>
      <c r="F3" s="75"/>
      <c r="G3" s="75"/>
      <c r="H3" s="75"/>
      <c r="I3" s="75"/>
      <c r="J3" s="75"/>
      <c r="K3" s="75"/>
      <c r="L3" s="75"/>
      <c r="M3" s="75"/>
      <c r="N3" s="75"/>
      <c r="O3" s="75"/>
      <c r="P3" s="329"/>
      <c r="Q3" s="329"/>
      <c r="R3" s="329"/>
      <c r="S3" s="329"/>
      <c r="T3" s="329"/>
      <c r="U3" s="329"/>
      <c r="V3" s="329"/>
      <c r="W3" s="329"/>
      <c r="X3" s="329"/>
      <c r="Y3" s="329"/>
      <c r="Z3" s="329"/>
    </row>
    <row r="4" spans="1:26" x14ac:dyDescent="0.35">
      <c r="A4" s="329"/>
      <c r="B4" s="98"/>
      <c r="C4" s="98" t="s">
        <v>410</v>
      </c>
      <c r="D4" s="98" t="s">
        <v>173</v>
      </c>
      <c r="E4" s="99"/>
      <c r="F4" s="99"/>
      <c r="G4" s="99"/>
      <c r="H4" s="99"/>
      <c r="I4" s="99"/>
      <c r="J4" s="99"/>
      <c r="K4" s="99"/>
      <c r="L4" s="99"/>
      <c r="M4" s="99"/>
      <c r="N4" s="99"/>
      <c r="O4" s="83"/>
      <c r="P4" s="329"/>
      <c r="Q4" s="329"/>
      <c r="R4" s="329"/>
      <c r="S4" s="329"/>
      <c r="T4" s="329"/>
      <c r="U4" s="329"/>
      <c r="V4" s="329"/>
      <c r="W4" s="329"/>
      <c r="X4" s="329"/>
      <c r="Y4" s="329"/>
      <c r="Z4" s="329"/>
    </row>
    <row r="5" spans="1:26" x14ac:dyDescent="0.35">
      <c r="A5" s="329"/>
      <c r="B5" s="100"/>
      <c r="C5" s="101" t="s">
        <v>1269</v>
      </c>
      <c r="D5" s="451">
        <f>'P&amp;L'!H4</f>
        <v>45715</v>
      </c>
      <c r="E5" s="451">
        <f>'P&amp;L'!I4</f>
        <v>45839</v>
      </c>
      <c r="F5" s="451">
        <f>'P&amp;L'!J4</f>
        <v>46204</v>
      </c>
      <c r="G5" s="451">
        <f>'P&amp;L'!K4</f>
        <v>46569</v>
      </c>
      <c r="H5" s="451">
        <f>'P&amp;L'!L4</f>
        <v>46935</v>
      </c>
      <c r="I5" s="451">
        <f>'P&amp;L'!M4</f>
        <v>47300</v>
      </c>
      <c r="J5" s="451">
        <f>'P&amp;L'!N4</f>
        <v>47665</v>
      </c>
      <c r="K5" s="451">
        <f>'P&amp;L'!O4</f>
        <v>48030</v>
      </c>
      <c r="L5" s="451">
        <f>'P&amp;L'!P4</f>
        <v>48396</v>
      </c>
      <c r="M5" s="451">
        <f>'P&amp;L'!Q4</f>
        <v>48761</v>
      </c>
      <c r="N5" s="451">
        <f>'P&amp;L'!R4</f>
        <v>49126</v>
      </c>
      <c r="O5" s="451">
        <f>'P&amp;L'!S4</f>
        <v>49491</v>
      </c>
      <c r="P5" s="329"/>
      <c r="Q5" s="329"/>
      <c r="R5" s="329"/>
      <c r="S5" s="329"/>
      <c r="T5" s="329"/>
      <c r="U5" s="329"/>
      <c r="V5" s="329"/>
      <c r="W5" s="329"/>
      <c r="X5" s="329"/>
      <c r="Y5" s="329"/>
      <c r="Z5" s="329"/>
    </row>
    <row r="6" spans="1:26" x14ac:dyDescent="0.35">
      <c r="A6" s="329"/>
      <c r="B6" s="100"/>
      <c r="C6" s="101" t="s">
        <v>1270</v>
      </c>
      <c r="D6" s="451">
        <f>'P&amp;L'!H5</f>
        <v>45838</v>
      </c>
      <c r="E6" s="451">
        <f>'P&amp;L'!I5</f>
        <v>46203</v>
      </c>
      <c r="F6" s="451">
        <f>'P&amp;L'!J5</f>
        <v>46568</v>
      </c>
      <c r="G6" s="451">
        <f>'P&amp;L'!K5</f>
        <v>46934</v>
      </c>
      <c r="H6" s="451">
        <f>'P&amp;L'!L5</f>
        <v>47299</v>
      </c>
      <c r="I6" s="451">
        <f>'P&amp;L'!M5</f>
        <v>47664</v>
      </c>
      <c r="J6" s="451">
        <f>'P&amp;L'!N5</f>
        <v>48029</v>
      </c>
      <c r="K6" s="451">
        <f>'P&amp;L'!O5</f>
        <v>48395</v>
      </c>
      <c r="L6" s="451">
        <f>'P&amp;L'!P5</f>
        <v>48760</v>
      </c>
      <c r="M6" s="451">
        <f>'P&amp;L'!Q5</f>
        <v>49125</v>
      </c>
      <c r="N6" s="451">
        <f>'P&amp;L'!R5</f>
        <v>49490</v>
      </c>
      <c r="O6" s="451">
        <f>'P&amp;L'!S5</f>
        <v>49856</v>
      </c>
      <c r="P6" s="329"/>
      <c r="Q6" s="329"/>
      <c r="R6" s="329"/>
      <c r="S6" s="329"/>
      <c r="T6" s="329"/>
      <c r="U6" s="329"/>
      <c r="V6" s="329"/>
      <c r="W6" s="329"/>
      <c r="X6" s="329"/>
      <c r="Y6" s="329"/>
      <c r="Z6" s="329"/>
    </row>
    <row r="7" spans="1:26" x14ac:dyDescent="0.35">
      <c r="A7" s="329"/>
      <c r="B7" s="100"/>
      <c r="C7" s="101" t="s">
        <v>464</v>
      </c>
      <c r="D7" s="451" t="str">
        <f>'P&amp;L'!H6</f>
        <v>FY25</v>
      </c>
      <c r="E7" s="451" t="str">
        <f>'P&amp;L'!I6</f>
        <v>FY26</v>
      </c>
      <c r="F7" s="451" t="str">
        <f>'P&amp;L'!J6</f>
        <v>FY27</v>
      </c>
      <c r="G7" s="451" t="str">
        <f>'P&amp;L'!K6</f>
        <v>FY28</v>
      </c>
      <c r="H7" s="451" t="str">
        <f>'P&amp;L'!L6</f>
        <v>FY29</v>
      </c>
      <c r="I7" s="451" t="str">
        <f>'P&amp;L'!M6</f>
        <v>FY30</v>
      </c>
      <c r="J7" s="451" t="str">
        <f>'P&amp;L'!N6</f>
        <v>FY31</v>
      </c>
      <c r="K7" s="451" t="str">
        <f>'P&amp;L'!O6</f>
        <v>FY32</v>
      </c>
      <c r="L7" s="451" t="str">
        <f>'P&amp;L'!P6</f>
        <v>FY33</v>
      </c>
      <c r="M7" s="451" t="str">
        <f>'P&amp;L'!Q6</f>
        <v>FY34</v>
      </c>
      <c r="N7" s="451" t="str">
        <f>'P&amp;L'!R6</f>
        <v>FY35</v>
      </c>
      <c r="O7" s="451" t="str">
        <f>'P&amp;L'!S6</f>
        <v>FY36</v>
      </c>
      <c r="P7" s="329"/>
      <c r="Q7" s="329"/>
      <c r="R7" s="329"/>
      <c r="S7" s="329"/>
      <c r="T7" s="329"/>
      <c r="U7" s="329"/>
      <c r="V7" s="329"/>
      <c r="W7" s="329"/>
      <c r="X7" s="329"/>
      <c r="Y7" s="329"/>
      <c r="Z7" s="329"/>
    </row>
    <row r="8" spans="1:26" x14ac:dyDescent="0.35">
      <c r="A8" s="102"/>
      <c r="B8" s="102"/>
      <c r="C8" s="102"/>
      <c r="D8" s="122"/>
      <c r="E8" s="122"/>
      <c r="F8" s="122"/>
      <c r="G8" s="122"/>
      <c r="H8" s="122"/>
      <c r="I8" s="122"/>
      <c r="J8" s="122"/>
      <c r="K8" s="122"/>
      <c r="L8" s="122"/>
      <c r="M8" s="122"/>
      <c r="N8" s="122"/>
      <c r="O8" s="122"/>
      <c r="P8" s="329"/>
      <c r="Q8" s="329"/>
      <c r="R8" s="329"/>
      <c r="S8" s="329"/>
      <c r="T8" s="329"/>
      <c r="U8" s="329"/>
      <c r="V8" s="329"/>
      <c r="W8" s="329"/>
      <c r="X8" s="329"/>
      <c r="Y8" s="329"/>
      <c r="Z8" s="329"/>
    </row>
    <row r="9" spans="1:26" x14ac:dyDescent="0.35">
      <c r="A9" s="102"/>
      <c r="B9" s="102"/>
      <c r="C9" s="102"/>
      <c r="D9" s="122"/>
      <c r="E9" s="122"/>
      <c r="F9" s="122"/>
      <c r="G9" s="122"/>
      <c r="H9" s="122"/>
      <c r="I9" s="122"/>
      <c r="J9" s="122"/>
      <c r="K9" s="122"/>
      <c r="L9" s="122"/>
      <c r="M9" s="122"/>
      <c r="N9" s="122"/>
      <c r="O9" s="122"/>
      <c r="P9" s="329"/>
      <c r="Q9" s="329"/>
      <c r="R9" s="329"/>
      <c r="S9" s="329"/>
      <c r="T9" s="329"/>
      <c r="U9" s="329"/>
      <c r="V9" s="329"/>
      <c r="W9" s="329"/>
      <c r="X9" s="329"/>
      <c r="Y9" s="329"/>
      <c r="Z9" s="329"/>
    </row>
    <row r="10" spans="1:26" x14ac:dyDescent="0.35">
      <c r="A10" s="72" t="s">
        <v>1309</v>
      </c>
      <c r="B10" s="103"/>
      <c r="C10" s="103"/>
      <c r="D10" s="452">
        <v>0</v>
      </c>
      <c r="E10" s="432">
        <f>Cashflow!D37</f>
        <v>0</v>
      </c>
      <c r="F10" s="432">
        <f t="shared" ref="F10:O10" si="0">E37</f>
        <v>1707500.0000000005</v>
      </c>
      <c r="G10" s="432">
        <f t="shared" si="0"/>
        <v>16050500</v>
      </c>
      <c r="H10" s="432">
        <f t="shared" si="0"/>
        <v>-1231018.2583200522</v>
      </c>
      <c r="I10" s="432">
        <f t="shared" si="0"/>
        <v>-396007.98746345146</v>
      </c>
      <c r="J10" s="432">
        <f t="shared" si="0"/>
        <v>513409.16703961021</v>
      </c>
      <c r="K10" s="432">
        <f t="shared" si="0"/>
        <v>1533142.740869151</v>
      </c>
      <c r="L10" s="432">
        <f t="shared" si="0"/>
        <v>2307422.4119745474</v>
      </c>
      <c r="M10" s="432">
        <f t="shared" si="0"/>
        <v>3446826.6097444491</v>
      </c>
      <c r="N10" s="432">
        <f t="shared" si="0"/>
        <v>4589137.0217742641</v>
      </c>
      <c r="O10" s="432">
        <f t="shared" si="0"/>
        <v>5787287.4476973191</v>
      </c>
      <c r="P10" s="329"/>
      <c r="Q10" s="329"/>
      <c r="R10" s="329"/>
      <c r="S10" s="329"/>
      <c r="T10" s="329"/>
      <c r="U10" s="329"/>
      <c r="V10" s="329"/>
      <c r="W10" s="329"/>
      <c r="X10" s="329"/>
      <c r="Y10" s="329"/>
      <c r="Z10" s="329"/>
    </row>
    <row r="11" spans="1:26" x14ac:dyDescent="0.35">
      <c r="A11" s="72"/>
      <c r="B11" s="102"/>
      <c r="C11" s="102"/>
      <c r="D11" s="452"/>
      <c r="E11" s="432"/>
      <c r="F11" s="432"/>
      <c r="G11" s="432"/>
      <c r="H11" s="432"/>
      <c r="I11" s="432"/>
      <c r="J11" s="432"/>
      <c r="K11" s="432"/>
      <c r="L11" s="432"/>
      <c r="M11" s="432"/>
      <c r="N11" s="432"/>
      <c r="O11" s="101"/>
      <c r="P11" s="329"/>
      <c r="Q11" s="329"/>
      <c r="R11" s="329"/>
      <c r="S11" s="329"/>
      <c r="T11" s="329"/>
      <c r="U11" s="329"/>
      <c r="V11" s="329"/>
      <c r="W11" s="329"/>
      <c r="X11" s="329"/>
      <c r="Y11" s="329"/>
      <c r="Z11" s="329"/>
    </row>
    <row r="12" spans="1:26" x14ac:dyDescent="0.35">
      <c r="A12" s="72" t="s">
        <v>1310</v>
      </c>
      <c r="B12" s="103"/>
      <c r="C12" s="103"/>
      <c r="D12" s="452"/>
      <c r="E12" s="432"/>
      <c r="F12" s="432"/>
      <c r="G12" s="432"/>
      <c r="H12" s="432"/>
      <c r="I12" s="432"/>
      <c r="J12" s="432"/>
      <c r="K12" s="432"/>
      <c r="L12" s="432"/>
      <c r="M12" s="432"/>
      <c r="N12" s="432"/>
      <c r="O12" s="101"/>
      <c r="P12" s="329"/>
      <c r="Q12" s="329"/>
      <c r="R12" s="329"/>
      <c r="S12" s="329"/>
      <c r="T12" s="329"/>
      <c r="U12" s="329"/>
      <c r="V12" s="329"/>
      <c r="W12" s="329"/>
      <c r="X12" s="329"/>
      <c r="Y12" s="329"/>
      <c r="Z12" s="329"/>
    </row>
    <row r="13" spans="1:26" x14ac:dyDescent="0.35">
      <c r="A13" s="72" t="s">
        <v>1311</v>
      </c>
      <c r="B13" s="103"/>
      <c r="C13" s="103"/>
      <c r="D13" s="321">
        <f>IF(D7=Inputs!$E$81,Inputs!$E$69,0)</f>
        <v>0</v>
      </c>
      <c r="E13" s="322">
        <f>IF(E7=Inputs!$E$81,Inputs!$E$69,0)</f>
        <v>2487500.0000000005</v>
      </c>
      <c r="F13" s="322">
        <f>IF(F7=Inputs!$E$81,Inputs!$E$69,0)</f>
        <v>0</v>
      </c>
      <c r="G13" s="322">
        <f>IF(G7=Inputs!$E$81,Inputs!$E$69,0)</f>
        <v>0</v>
      </c>
      <c r="H13" s="322">
        <f>IF(H7=Inputs!$E$81,Inputs!$E$69,0)</f>
        <v>0</v>
      </c>
      <c r="I13" s="322">
        <f>IF(I7=Inputs!$E$81,Inputs!$E$69,0)</f>
        <v>0</v>
      </c>
      <c r="J13" s="322">
        <f>IF(J7=Inputs!$E$81,Inputs!$E$69,0)</f>
        <v>0</v>
      </c>
      <c r="K13" s="322">
        <f>IF(K7=Inputs!$E$81,Inputs!$E$69,0)</f>
        <v>0</v>
      </c>
      <c r="L13" s="322">
        <f>IF(L7=Inputs!$E$81,Inputs!$E$69,0)</f>
        <v>0</v>
      </c>
      <c r="M13" s="322">
        <f>IF(M7=Inputs!$E$81,Inputs!$E$69,0)</f>
        <v>0</v>
      </c>
      <c r="N13" s="322">
        <f>IF(N7=Inputs!$E$81,Inputs!$E$69,0)</f>
        <v>0</v>
      </c>
      <c r="O13" s="322">
        <f>IF(O7=Inputs!$E$81,Inputs!$E$69,0)</f>
        <v>0</v>
      </c>
      <c r="P13" s="329"/>
      <c r="Q13" s="329"/>
      <c r="R13" s="329"/>
      <c r="S13" s="329"/>
      <c r="T13" s="329"/>
      <c r="U13" s="329"/>
      <c r="V13" s="329"/>
      <c r="W13" s="329"/>
      <c r="X13" s="329"/>
      <c r="Y13" s="329"/>
      <c r="Z13" s="329"/>
    </row>
    <row r="14" spans="1:26" x14ac:dyDescent="0.35">
      <c r="A14" s="72" t="s">
        <v>1312</v>
      </c>
      <c r="B14" s="103"/>
      <c r="C14" s="103"/>
      <c r="D14" s="321">
        <f>IF(AND(D7=Inputs!$E$86,Inputs!$E$88=0),Inputs!$E$73,0)</f>
        <v>0</v>
      </c>
      <c r="E14" s="322">
        <f>IF(AND(E7=Inputs!$E$86,Inputs!$E$88=0),Inputs!$E$73,0)</f>
        <v>0</v>
      </c>
      <c r="F14" s="322">
        <f>IF(AND(F7=Inputs!$E$86,Inputs!$E$88=0),Inputs!$E$73,0)</f>
        <v>5122500</v>
      </c>
      <c r="G14" s="322">
        <f>IF(AND(G7=Inputs!$E$86,Inputs!$E$88=0),Inputs!$E$73,0)</f>
        <v>0</v>
      </c>
      <c r="H14" s="322">
        <f>IF(AND(H7=Inputs!$E$86,Inputs!$E$88=0),Inputs!$E$73,0)</f>
        <v>0</v>
      </c>
      <c r="I14" s="322">
        <f>IF(AND(I7=Inputs!$E$86,Inputs!$E$88=0),Inputs!$E$73,0)</f>
        <v>0</v>
      </c>
      <c r="J14" s="322">
        <f>IF(AND(J7=Inputs!$E$86,Inputs!$E$88=0),Inputs!$E$73,0)</f>
        <v>0</v>
      </c>
      <c r="K14" s="322">
        <f>IF(AND(K7=Inputs!$E$86,Inputs!$E$88=0),Inputs!$E$73,0)</f>
        <v>0</v>
      </c>
      <c r="L14" s="322">
        <f>IF(AND(L7=Inputs!$E$86,Inputs!$E$88=0),Inputs!$E$73,0)</f>
        <v>0</v>
      </c>
      <c r="M14" s="322">
        <f>IF(AND(M7=Inputs!$E$86,Inputs!$E$88=0),Inputs!$E$73,0)</f>
        <v>0</v>
      </c>
      <c r="N14" s="322">
        <f>IF(AND(N7=Inputs!$E$86,Inputs!$E$88=0),Inputs!$E$73,0)</f>
        <v>0</v>
      </c>
      <c r="O14" s="322">
        <f>IF(AND(O7=Inputs!$E$86,Inputs!$E$88=0),Inputs!$E$73,0)</f>
        <v>0</v>
      </c>
      <c r="P14" s="329"/>
      <c r="Q14" s="329"/>
      <c r="R14" s="329"/>
      <c r="S14" s="329"/>
      <c r="T14" s="329"/>
      <c r="U14" s="329"/>
      <c r="V14" s="329"/>
      <c r="W14" s="329"/>
      <c r="X14" s="329"/>
      <c r="Y14" s="329"/>
      <c r="Z14" s="329"/>
    </row>
    <row r="15" spans="1:26" x14ac:dyDescent="0.35">
      <c r="A15" s="72" t="s">
        <v>1313</v>
      </c>
      <c r="B15" s="103"/>
      <c r="C15" s="103"/>
      <c r="D15" s="321">
        <f>IF(D7=Inputs!$E$83,Inputs!$E$82,0)+IF(D7=Inputs!$E$85,Inputs!$E$84,0)+IF(D7=Inputs!$E$90,Inputs!$E$89,0)</f>
        <v>0</v>
      </c>
      <c r="E15" s="322">
        <f>IF(E7=Inputs!$E$83,Inputs!$E$82,0)+IF(E7=Inputs!$E$85,Inputs!$E$84,0)+IF(E7=Inputs!$E$90,Inputs!$E$89,0)</f>
        <v>0</v>
      </c>
      <c r="F15" s="322">
        <f>IF(F7=Inputs!$E$83,Inputs!$E$82,0)+IF(F7=Inputs!$E$85,Inputs!$E$84,0)+IF(F7=Inputs!$E$90,Inputs!$E$89,0)</f>
        <v>0</v>
      </c>
      <c r="G15" s="322">
        <f>IF(G7=Inputs!$E$83,Inputs!$E$82,0)+IF(G7=Inputs!$E$85,Inputs!$E$84,0)+IF(G7=Inputs!$E$90,Inputs!$E$89,0)</f>
        <v>0</v>
      </c>
      <c r="H15" s="322">
        <f>IF(H7=Inputs!$E$83,Inputs!$E$82,0)+IF(H7=Inputs!$E$85,Inputs!$E$84,0)+IF(H7=Inputs!$E$90,Inputs!$E$89,0)</f>
        <v>0</v>
      </c>
      <c r="I15" s="322">
        <f>IF(I7=Inputs!$E$83,Inputs!$E$82,0)+IF(I7=Inputs!$E$85,Inputs!$E$84,0)+IF(I7=Inputs!$E$90,Inputs!$E$89,0)</f>
        <v>0</v>
      </c>
      <c r="J15" s="322">
        <f>IF(J7=Inputs!$E$83,Inputs!$E$82,0)+IF(J7=Inputs!$E$85,Inputs!$E$84,0)+IF(J7=Inputs!$E$90,Inputs!$E$89,0)</f>
        <v>0</v>
      </c>
      <c r="K15" s="322">
        <f>IF(K7=Inputs!$E$83,Inputs!$E$82,0)+IF(K7=Inputs!$E$85,Inputs!$E$84,0)+IF(K7=Inputs!$E$90,Inputs!$E$89,0)</f>
        <v>0</v>
      </c>
      <c r="L15" s="322">
        <f>IF(L7=Inputs!$E$83,Inputs!$E$82,0)+IF(L7=Inputs!$E$85,Inputs!$E$84,0)+IF(L7=Inputs!$E$90,Inputs!$E$89,0)</f>
        <v>0</v>
      </c>
      <c r="M15" s="322">
        <f>IF(M7=Inputs!$E$83,Inputs!$E$82,0)+IF(M7=Inputs!$E$85,Inputs!$E$84,0)+IF(M7=Inputs!$E$90,Inputs!$E$89,0)</f>
        <v>0</v>
      </c>
      <c r="N15" s="322">
        <f>IF(N7=Inputs!$E$83,Inputs!$E$82,0)+IF(N7=Inputs!$E$85,Inputs!$E$84,0)+IF(N7=Inputs!$E$90,Inputs!$E$89,0)</f>
        <v>0</v>
      </c>
      <c r="O15" s="322">
        <f>IF(O7=Inputs!$E$83,Inputs!$E$82,0)+IF(O7=Inputs!$E$85,Inputs!$E$84,0)+IF(O7=Inputs!$E$90,Inputs!$E$89,0)</f>
        <v>0</v>
      </c>
      <c r="P15" s="329"/>
      <c r="Q15" s="329"/>
      <c r="R15" s="329"/>
      <c r="S15" s="329"/>
      <c r="T15" s="329"/>
      <c r="U15" s="329"/>
      <c r="V15" s="329"/>
      <c r="W15" s="329"/>
      <c r="X15" s="329"/>
      <c r="Y15" s="329"/>
      <c r="Z15" s="329"/>
    </row>
    <row r="16" spans="1:26" x14ac:dyDescent="0.35">
      <c r="A16" s="72" t="s">
        <v>1314</v>
      </c>
      <c r="B16" s="103"/>
      <c r="C16" s="103"/>
      <c r="D16" s="321">
        <f t="shared" ref="D16:O16" si="1">D13+D14+D15</f>
        <v>0</v>
      </c>
      <c r="E16" s="322">
        <f t="shared" si="1"/>
        <v>2487500.0000000005</v>
      </c>
      <c r="F16" s="322">
        <f t="shared" si="1"/>
        <v>5122500</v>
      </c>
      <c r="G16" s="322">
        <f t="shared" si="1"/>
        <v>0</v>
      </c>
      <c r="H16" s="322">
        <f t="shared" si="1"/>
        <v>0</v>
      </c>
      <c r="I16" s="322">
        <f t="shared" si="1"/>
        <v>0</v>
      </c>
      <c r="J16" s="322">
        <f t="shared" si="1"/>
        <v>0</v>
      </c>
      <c r="K16" s="322">
        <f t="shared" si="1"/>
        <v>0</v>
      </c>
      <c r="L16" s="322">
        <f t="shared" si="1"/>
        <v>0</v>
      </c>
      <c r="M16" s="322">
        <f t="shared" si="1"/>
        <v>0</v>
      </c>
      <c r="N16" s="322">
        <f t="shared" si="1"/>
        <v>0</v>
      </c>
      <c r="O16" s="322">
        <f t="shared" si="1"/>
        <v>0</v>
      </c>
      <c r="P16" s="329"/>
      <c r="Q16" s="329"/>
      <c r="R16" s="329"/>
      <c r="S16" s="329"/>
      <c r="T16" s="329"/>
      <c r="U16" s="329"/>
      <c r="V16" s="329"/>
      <c r="W16" s="329"/>
      <c r="X16" s="329"/>
      <c r="Y16" s="329"/>
      <c r="Z16" s="329"/>
    </row>
    <row r="17" spans="1:15" x14ac:dyDescent="0.35">
      <c r="A17" s="72"/>
      <c r="B17" s="103"/>
      <c r="C17" s="103"/>
      <c r="D17" s="452"/>
      <c r="E17" s="444"/>
      <c r="F17" s="444"/>
      <c r="G17" s="444"/>
      <c r="H17" s="444"/>
      <c r="I17" s="444"/>
      <c r="J17" s="444"/>
      <c r="K17" s="444"/>
      <c r="L17" s="444"/>
      <c r="M17" s="444"/>
      <c r="N17" s="444"/>
      <c r="O17" s="444"/>
    </row>
    <row r="18" spans="1:15" x14ac:dyDescent="0.35">
      <c r="A18" s="72" t="s">
        <v>1315</v>
      </c>
      <c r="B18" s="103"/>
      <c r="C18" s="103"/>
      <c r="D18" s="452">
        <f>IFERROR(Debt!H20,0)</f>
        <v>0</v>
      </c>
      <c r="E18" s="444">
        <f>IFERROR(Debt!I20,0)</f>
        <v>0</v>
      </c>
      <c r="F18" s="444">
        <f>IFERROR(Debt!J20,0)</f>
        <v>10245000</v>
      </c>
      <c r="G18" s="444">
        <f>IFERROR(Debt!K20,0)</f>
        <v>0</v>
      </c>
      <c r="H18" s="444">
        <f>IFERROR(Debt!L20,0)</f>
        <v>0</v>
      </c>
      <c r="I18" s="444">
        <f>IFERROR(Debt!M20,0)</f>
        <v>0</v>
      </c>
      <c r="J18" s="444">
        <f>IFERROR(Debt!N20,0)</f>
        <v>0</v>
      </c>
      <c r="K18" s="444">
        <f>IFERROR(Debt!O20,0)</f>
        <v>0</v>
      </c>
      <c r="L18" s="444">
        <f>IFERROR(Debt!P20,0)</f>
        <v>0</v>
      </c>
      <c r="M18" s="444">
        <f>IFERROR(Debt!Q20,0)</f>
        <v>0</v>
      </c>
      <c r="N18" s="444">
        <f>IFERROR(Debt!R20,0)</f>
        <v>0</v>
      </c>
      <c r="O18" s="81">
        <f>IFERROR(Debt!S20,0)</f>
        <v>0</v>
      </c>
    </row>
    <row r="19" spans="1:15" x14ac:dyDescent="0.35">
      <c r="A19" s="72" t="s">
        <v>1316</v>
      </c>
      <c r="B19" s="103"/>
      <c r="C19" s="103"/>
      <c r="D19" s="452">
        <f>0</f>
        <v>0</v>
      </c>
      <c r="E19" s="432">
        <f>0</f>
        <v>0</v>
      </c>
      <c r="F19" s="432">
        <f>0</f>
        <v>0</v>
      </c>
      <c r="G19" s="432">
        <f>0</f>
        <v>0</v>
      </c>
      <c r="H19" s="432">
        <f>0</f>
        <v>0</v>
      </c>
      <c r="I19" s="432">
        <f>0</f>
        <v>0</v>
      </c>
      <c r="J19" s="432">
        <f>0</f>
        <v>0</v>
      </c>
      <c r="K19" s="432">
        <f>0</f>
        <v>0</v>
      </c>
      <c r="L19" s="432">
        <f>0</f>
        <v>0</v>
      </c>
      <c r="M19" s="432">
        <f>0</f>
        <v>0</v>
      </c>
      <c r="N19" s="432">
        <f>0</f>
        <v>0</v>
      </c>
      <c r="O19" s="101">
        <f>0</f>
        <v>0</v>
      </c>
    </row>
    <row r="20" spans="1:15" x14ac:dyDescent="0.35">
      <c r="A20" s="72" t="s">
        <v>1317</v>
      </c>
      <c r="B20" s="103"/>
      <c r="C20" s="103"/>
      <c r="D20" s="452">
        <f>SUMIF(Timing!$C$6:$Q$6,D7,Timing!$C$22:$Q$22)</f>
        <v>0</v>
      </c>
      <c r="E20" s="432">
        <f>SUMIF(Timing!$C$6:$Q$6,E7,Timing!$C$22:$Q$22)</f>
        <v>0</v>
      </c>
      <c r="F20" s="432">
        <f>SUMIF(Timing!$C$6:$Q$6,F7,Timing!$C$22:$Q$22)</f>
        <v>0</v>
      </c>
      <c r="G20" s="432">
        <f>SUMIF(Timing!$C$6:$Q$6,G7,Timing!$C$22:$Q$22)</f>
        <v>0</v>
      </c>
      <c r="H20" s="432">
        <f>SUMIF(Timing!$C$6:$Q$6,H7,Timing!$C$22:$Q$22)</f>
        <v>0</v>
      </c>
      <c r="I20" s="432">
        <f>SUMIF(Timing!$C$6:$Q$6,I7,Timing!$C$22:$Q$22)</f>
        <v>0</v>
      </c>
      <c r="J20" s="432">
        <f>SUMIF(Timing!$C$6:$Q$6,J7,Timing!$C$22:$Q$22)</f>
        <v>0</v>
      </c>
      <c r="K20" s="432">
        <f>SUMIF(Timing!$C$6:$Q$6,K7,Timing!$C$22:$Q$22)</f>
        <v>0</v>
      </c>
      <c r="L20" s="432">
        <f>SUMIF(Timing!$C$6:$Q$6,L7,Timing!$C$22:$Q$22)</f>
        <v>0</v>
      </c>
      <c r="M20" s="432">
        <f>SUMIF(Timing!$C$6:$Q$6,M7,Timing!$C$22:$Q$22)</f>
        <v>0</v>
      </c>
      <c r="N20" s="432">
        <f>SUMIF(Timing!$C$6:$Q$6,N7,Timing!$C$22:$Q$22)</f>
        <v>0</v>
      </c>
      <c r="O20" s="101">
        <f>SUMIF(Timing!$C$6:$Q$6,O7,Timing!$C$22:$Q$22)</f>
        <v>0</v>
      </c>
    </row>
    <row r="21" spans="1:15" x14ac:dyDescent="0.35">
      <c r="A21" s="72" t="s">
        <v>1318</v>
      </c>
      <c r="B21" s="103"/>
      <c r="C21" s="103"/>
      <c r="D21" s="452">
        <f>IFERROR('P&amp;L'!H28,0)</f>
        <v>0</v>
      </c>
      <c r="E21" s="432">
        <f>IFERROR('P&amp;L'!I28,0)</f>
        <v>0</v>
      </c>
      <c r="F21" s="432">
        <f>IFERROR('P&amp;L'!J28,0)</f>
        <v>0</v>
      </c>
      <c r="G21" s="432">
        <f>IFERROR('P&amp;L'!K28,0)</f>
        <v>18192909.376900002</v>
      </c>
      <c r="H21" s="432">
        <f>IFERROR('P&amp;L'!L28,0)</f>
        <v>19173294.981985252</v>
      </c>
      <c r="I21" s="432">
        <f>IFERROR('P&amp;L'!M28,0)</f>
        <v>20282270.272967502</v>
      </c>
      <c r="J21" s="432">
        <f>IFERROR('P&amp;L'!N28,0)</f>
        <v>20817158.552451402</v>
      </c>
      <c r="K21" s="432">
        <f>IFERROR('P&amp;L'!O28,0)</f>
        <v>21296978.378726114</v>
      </c>
      <c r="L21" s="432">
        <f>IFERROR('P&amp;L'!P28,0)</f>
        <v>21790858.176506594</v>
      </c>
      <c r="M21" s="432">
        <f>IFERROR('P&amp;L'!Q28,0)</f>
        <v>22299211.380105965</v>
      </c>
      <c r="N21" s="432">
        <f>IFERROR('P&amp;L'!R28,0)</f>
        <v>22822463.617745914</v>
      </c>
      <c r="O21" s="101">
        <f>IFERROR('P&amp;L'!S28,0)</f>
        <v>23361053.072145991</v>
      </c>
    </row>
    <row r="22" spans="1:15" x14ac:dyDescent="0.35">
      <c r="A22" s="72" t="s">
        <v>1319</v>
      </c>
      <c r="B22" s="103"/>
      <c r="C22" s="103"/>
      <c r="D22" s="453">
        <f t="shared" ref="D22:O22" si="2">D16+D18+D19+D20+D21</f>
        <v>0</v>
      </c>
      <c r="E22" s="454">
        <f t="shared" si="2"/>
        <v>2487500.0000000005</v>
      </c>
      <c r="F22" s="454">
        <f t="shared" si="2"/>
        <v>15367500</v>
      </c>
      <c r="G22" s="454">
        <f t="shared" si="2"/>
        <v>18192909.376900002</v>
      </c>
      <c r="H22" s="454">
        <f t="shared" si="2"/>
        <v>19173294.981985252</v>
      </c>
      <c r="I22" s="454">
        <f t="shared" si="2"/>
        <v>20282270.272967502</v>
      </c>
      <c r="J22" s="454">
        <f t="shared" si="2"/>
        <v>20817158.552451402</v>
      </c>
      <c r="K22" s="454">
        <f t="shared" si="2"/>
        <v>21296978.378726114</v>
      </c>
      <c r="L22" s="454">
        <f t="shared" si="2"/>
        <v>21790858.176506594</v>
      </c>
      <c r="M22" s="454">
        <f t="shared" si="2"/>
        <v>22299211.380105965</v>
      </c>
      <c r="N22" s="454">
        <f t="shared" si="2"/>
        <v>22822463.617745914</v>
      </c>
      <c r="O22" s="454">
        <f t="shared" si="2"/>
        <v>23361053.072145991</v>
      </c>
    </row>
    <row r="23" spans="1:15" x14ac:dyDescent="0.35">
      <c r="A23" s="72" t="s">
        <v>1320</v>
      </c>
      <c r="B23" s="103"/>
      <c r="C23" s="103"/>
      <c r="D23" s="452">
        <f>IF(D$7=Inputs!$E$266,D63*Valuations!$C$15,0)</f>
        <v>0</v>
      </c>
      <c r="E23" s="444">
        <f>IF(E$7=Inputs!$E$266,E63*Valuations!$C$15,0)</f>
        <v>0</v>
      </c>
      <c r="F23" s="444">
        <f>IF(F$7=Inputs!$E$266,F63*Valuations!$C$15,0)</f>
        <v>0</v>
      </c>
      <c r="G23" s="444">
        <f>IF(G$7=Inputs!$E$266,G63*Valuations!$C$15,0)</f>
        <v>0</v>
      </c>
      <c r="H23" s="444">
        <f>IF(H$7=Inputs!$E$266,H63*Valuations!$C$15,0)</f>
        <v>0</v>
      </c>
      <c r="I23" s="444">
        <f>IF(I$7=Inputs!$E$266,I63*Valuations!$C$15,0)</f>
        <v>0</v>
      </c>
      <c r="J23" s="444">
        <f>IF(J$7=Inputs!$E$266,J63*Valuations!$C$15,0)</f>
        <v>0</v>
      </c>
      <c r="K23" s="444">
        <f>IF(K$7=Inputs!$E$266,K63*Valuations!$C$15,0)</f>
        <v>0</v>
      </c>
      <c r="L23" s="444">
        <f>IF(L$7=Inputs!$E$266,L63*Valuations!$C$15,0)</f>
        <v>0</v>
      </c>
      <c r="M23" s="444">
        <f>IF(M$7=Inputs!$E$266,M63*Valuations!$C$15,0)</f>
        <v>0</v>
      </c>
      <c r="N23" s="444">
        <f>IF(N$7=Inputs!$E$266,N63*Valuations!$C$15,0)</f>
        <v>0</v>
      </c>
      <c r="O23" s="455">
        <f>O63*Valuations!$C$15</f>
        <v>135150221.27900428</v>
      </c>
    </row>
    <row r="24" spans="1:15" x14ac:dyDescent="0.35">
      <c r="A24" s="72"/>
      <c r="B24" s="104"/>
      <c r="C24" s="104"/>
      <c r="D24" s="452"/>
      <c r="E24" s="432"/>
      <c r="F24" s="432"/>
      <c r="G24" s="432"/>
      <c r="H24" s="432"/>
      <c r="I24" s="432"/>
      <c r="J24" s="432"/>
      <c r="K24" s="432"/>
      <c r="L24" s="432"/>
      <c r="M24" s="432"/>
      <c r="N24" s="432"/>
      <c r="O24" s="101"/>
    </row>
    <row r="25" spans="1:15" x14ac:dyDescent="0.35">
      <c r="A25" s="72" t="s">
        <v>1321</v>
      </c>
      <c r="B25" s="103"/>
      <c r="C25" s="103"/>
      <c r="D25" s="432"/>
      <c r="E25" s="432"/>
      <c r="F25" s="432"/>
      <c r="G25" s="432"/>
      <c r="H25" s="432"/>
      <c r="I25" s="432"/>
      <c r="J25" s="432"/>
      <c r="K25" s="432"/>
      <c r="L25" s="432"/>
      <c r="M25" s="432"/>
      <c r="N25" s="432"/>
      <c r="O25" s="101"/>
    </row>
    <row r="26" spans="1:15" x14ac:dyDescent="0.35">
      <c r="A26" s="72" t="s">
        <v>1322</v>
      </c>
      <c r="B26" s="103"/>
      <c r="C26" s="103"/>
      <c r="D26" s="432">
        <f>-'Construction Timeline'!D172</f>
        <v>0</v>
      </c>
      <c r="E26" s="432">
        <f>-'Construction Timeline'!E172</f>
        <v>-780000</v>
      </c>
      <c r="F26" s="432">
        <f>-'Construction Timeline'!F172</f>
        <v>0</v>
      </c>
      <c r="G26" s="432">
        <f>-'Construction Timeline'!G172</f>
        <v>-17075000</v>
      </c>
      <c r="H26" s="432">
        <f>-'Construction Timeline'!H172</f>
        <v>0</v>
      </c>
      <c r="I26" s="432">
        <f>-'Construction Timeline'!I172</f>
        <v>0</v>
      </c>
      <c r="J26" s="432">
        <f>-'Construction Timeline'!J172</f>
        <v>0</v>
      </c>
      <c r="K26" s="432">
        <f>-'Construction Timeline'!K172</f>
        <v>0</v>
      </c>
      <c r="L26" s="432">
        <f>-'Construction Timeline'!L172</f>
        <v>0</v>
      </c>
      <c r="M26" s="432">
        <f>-'Construction Timeline'!M172</f>
        <v>0</v>
      </c>
      <c r="N26" s="432">
        <f>-'Construction Timeline'!N172</f>
        <v>0</v>
      </c>
      <c r="O26" s="101">
        <f>-'Construction Timeline'!O172</f>
        <v>0</v>
      </c>
    </row>
    <row r="27" spans="1:15" x14ac:dyDescent="0.35">
      <c r="A27" s="72" t="s">
        <v>1323</v>
      </c>
      <c r="B27" s="103"/>
      <c r="C27" s="103"/>
      <c r="D27" s="432">
        <f>-SUMIF(Timing!$C$6:$Q$6,D7,Timing!$C$23:$Q$23)</f>
        <v>0</v>
      </c>
      <c r="E27" s="432">
        <f>-SUMIF(Timing!$C$6:$Q$6,E7,Timing!$C$23:$Q$23)</f>
        <v>0</v>
      </c>
      <c r="F27" s="432">
        <f>-SUMIF(Timing!$C$6:$Q$6,F7,Timing!$C$23:$Q$23)</f>
        <v>0</v>
      </c>
      <c r="G27" s="432">
        <f>-SUMIF(Timing!$C$6:$Q$6,G7,Timing!$C$23:$Q$23)</f>
        <v>0</v>
      </c>
      <c r="H27" s="432">
        <f>-SUMIF(Timing!$C$6:$Q$6,H7,Timing!$C$23:$Q$23)</f>
        <v>0</v>
      </c>
      <c r="I27" s="432">
        <f>-SUMIF(Timing!$C$6:$Q$6,I7,Timing!$C$23:$Q$23)</f>
        <v>0</v>
      </c>
      <c r="J27" s="432">
        <f>-SUMIF(Timing!$C$6:$Q$6,J7,Timing!$C$23:$Q$23)</f>
        <v>0</v>
      </c>
      <c r="K27" s="432">
        <f>-SUMIF(Timing!$C$6:$Q$6,K7,Timing!$C$23:$Q$23)</f>
        <v>0</v>
      </c>
      <c r="L27" s="432">
        <f>-SUMIF(Timing!$C$6:$Q$6,L7,Timing!$C$23:$Q$23)</f>
        <v>0</v>
      </c>
      <c r="M27" s="432">
        <f>-SUMIF(Timing!$C$6:$Q$6,M7,Timing!$C$23:$Q$23)</f>
        <v>0</v>
      </c>
      <c r="N27" s="432">
        <f>-SUMIF(Timing!$C$6:$Q$6,N7,Timing!$C$23:$Q$23)</f>
        <v>0</v>
      </c>
      <c r="O27" s="101">
        <f>-SUMIF(Timing!$C$6:$Q$6,O7,Timing!$C$23:$Q$23)</f>
        <v>0</v>
      </c>
    </row>
    <row r="28" spans="1:15" x14ac:dyDescent="0.35">
      <c r="A28" s="72" t="s">
        <v>1324</v>
      </c>
      <c r="B28" s="103"/>
      <c r="C28" s="103"/>
      <c r="D28" s="432">
        <f>IFERROR(-('P&amp;L'!H75-'P&amp;L'!H60-'P&amp;L'!H61),0)</f>
        <v>0</v>
      </c>
      <c r="E28" s="432">
        <f>IFERROR(-('P&amp;L'!I75-'P&amp;L'!I60-'P&amp;L'!I61),0)</f>
        <v>0</v>
      </c>
      <c r="F28" s="432">
        <f>IFERROR(-('P&amp;L'!J75-'P&amp;L'!J60-'P&amp;L'!J61),0)</f>
        <v>0</v>
      </c>
      <c r="G28" s="432">
        <f>IFERROR(-('P&amp;L'!K75-'P&amp;L'!K60-'P&amp;L'!K61),0)</f>
        <v>-4117417.0258839042</v>
      </c>
      <c r="H28" s="432">
        <f>IFERROR(-('P&amp;L'!L75-'P&amp;L'!L60-'P&amp;L'!L61),0)</f>
        <v>-4279953.8584530428</v>
      </c>
      <c r="I28" s="432">
        <f>IFERROR(-('P&amp;L'!M75-'P&amp;L'!M60-'P&amp;L'!M61),0)</f>
        <v>-4412682.8874046709</v>
      </c>
      <c r="J28" s="432">
        <f>IFERROR(-('P&amp;L'!N75-'P&amp;L'!N60-'P&amp;L'!N61),0)</f>
        <v>-4482308.445827134</v>
      </c>
      <c r="K28" s="432">
        <f>IFERROR(-('P&amp;L'!O75-'P&amp;L'!O60-'P&amp;L'!O61),0)</f>
        <v>-4654684.6041694032</v>
      </c>
      <c r="L28" s="432">
        <f>IFERROR(-('P&amp;L'!P75-'P&amp;L'!P60-'P&amp;L'!P61),0)</f>
        <v>-4791892.8632663228</v>
      </c>
      <c r="M28" s="432">
        <f>IFERROR(-('P&amp;L'!Q75-'P&amp;L'!Q60-'P&amp;L'!Q61),0)</f>
        <v>-4933543.5140752718</v>
      </c>
      <c r="N28" s="432">
        <f>IFERROR(-('P&amp;L'!R75-'P&amp;L'!R60-'P&amp;L'!R61),0)</f>
        <v>-5079782.5131866094</v>
      </c>
      <c r="O28" s="101">
        <f>IFERROR(-('P&amp;L'!S75-'P&amp;L'!S60-'P&amp;L'!S61),0)</f>
        <v>-5230760.7132253964</v>
      </c>
    </row>
    <row r="29" spans="1:15" x14ac:dyDescent="0.35">
      <c r="A29" s="72" t="s">
        <v>1325</v>
      </c>
      <c r="B29" s="103"/>
      <c r="C29" s="103"/>
      <c r="D29" s="432">
        <f>IFERROR(-('P&amp;L'!H60+'P&amp;L'!H61),0)</f>
        <v>0</v>
      </c>
      <c r="E29" s="432">
        <f>IFERROR(-('P&amp;L'!I60+'P&amp;L'!I61),0)</f>
        <v>0</v>
      </c>
      <c r="F29" s="432">
        <f>IFERROR(-('P&amp;L'!J60+'P&amp;L'!J61),0)</f>
        <v>0</v>
      </c>
      <c r="G29" s="432">
        <f>IFERROR(-('P&amp;L'!K60+'P&amp;L'!K61),0)</f>
        <v>0</v>
      </c>
      <c r="H29" s="432">
        <f>IFERROR(-('P&amp;L'!L60+'P&amp;L'!L61),0)</f>
        <v>-411125</v>
      </c>
      <c r="I29" s="432">
        <f>IFERROR(-('P&amp;L'!M60+'P&amp;L'!M61),0)</f>
        <v>-462889.375</v>
      </c>
      <c r="J29" s="432">
        <f>IFERROR(-('P&amp;L'!N60+'P&amp;L'!N61),0)</f>
        <v>-479090.50312499993</v>
      </c>
      <c r="K29" s="432">
        <f>IFERROR(-('P&amp;L'!O60+'P&amp;L'!O61),0)</f>
        <v>-495858.6707343749</v>
      </c>
      <c r="L29" s="432">
        <f>IFERROR(-('P&amp;L'!P60+'P&amp;L'!P61),0)</f>
        <v>-984989.11784203094</v>
      </c>
      <c r="M29" s="432">
        <f>IFERROR(-('P&amp;L'!Q60+'P&amp;L'!Q61),0)</f>
        <v>-1062352.4091148609</v>
      </c>
      <c r="N29" s="432">
        <f>IFERROR(-('P&amp;L'!R60+'P&amp;L'!R61),0)</f>
        <v>-1099534.7434338816</v>
      </c>
      <c r="O29" s="101">
        <f>IFERROR(-('P&amp;L'!S60+'P&amp;L'!S61),0)</f>
        <v>-1138018.4594540675</v>
      </c>
    </row>
    <row r="30" spans="1:15" x14ac:dyDescent="0.35">
      <c r="A30" s="72" t="s">
        <v>1326</v>
      </c>
      <c r="B30" s="103"/>
      <c r="C30" s="103"/>
      <c r="D30" s="432">
        <f>IFERROR(-INDEX(Debt!$H$58:$S$58,MATCH(D$7,Debt!$H$14:$S$14,0))+IF(D$5&lt;Inputs!$E$22,INDEX(Debt!$H$57:$S$57,MATCH(D$7,Debt!$H$14:$S$14,0)),0),0)</f>
        <v>0</v>
      </c>
      <c r="E30" s="432">
        <f>IFERROR(-INDEX(Debt!$H$58:$S$58,MATCH(E$7,Debt!$H$14:$S$14,0))+IF(E$5&lt;Inputs!$E$22,INDEX(Debt!$H$57:$S$57,MATCH(E$7,Debt!$H$14:$S$14,0)),0),0)</f>
        <v>0</v>
      </c>
      <c r="F30" s="432">
        <f>IFERROR(-INDEX(Debt!$H$58:$S$58,MATCH(F$7,Debt!$H$14:$S$14,0))+IF(F$5&lt;Inputs!$E$22,INDEX(Debt!$H$57:$S$57,MATCH(F$7,Debt!$H$14:$S$14,0)),0),0)</f>
        <v>-1024500</v>
      </c>
      <c r="G30" s="432">
        <f>IFERROR(-INDEX(Debt!$H$58:$S$58,MATCH(G$7,Debt!$H$14:$S$14,0))+IF(G$5&lt;Inputs!$E$22,INDEX(Debt!$H$57:$S$57,MATCH(G$7,Debt!$H$14:$S$14,0)),0),0)</f>
        <v>-1721160</v>
      </c>
      <c r="H30" s="432">
        <f>IFERROR(-INDEX(Debt!$H$58:$S$58,MATCH(H$7,Debt!$H$14:$S$14,0))+IF(H$5&lt;Inputs!$E$22,INDEX(Debt!$H$57:$S$57,MATCH(H$7,Debt!$H$14:$S$14,0)),0),0)</f>
        <v>-1639200</v>
      </c>
      <c r="I30" s="432">
        <f>IFERROR(-INDEX(Debt!$H$58:$S$58,MATCH(I$7,Debt!$H$14:$S$14,0))+IF(I$5&lt;Inputs!$E$22,INDEX(Debt!$H$57:$S$57,MATCH(I$7,Debt!$H$14:$S$14,0)),0),0)</f>
        <v>-1557240</v>
      </c>
      <c r="J30" s="432">
        <f>IFERROR(-INDEX(Debt!$H$58:$S$58,MATCH(J$7,Debt!$H$14:$S$14,0))+IF(J$5&lt;Inputs!$E$22,INDEX(Debt!$H$57:$S$57,MATCH(J$7,Debt!$H$14:$S$14,0)),0),0)</f>
        <v>-1475280</v>
      </c>
      <c r="K30" s="432">
        <f>IFERROR(-INDEX(Debt!$H$58:$S$58,MATCH(K$7,Debt!$H$14:$S$14,0))+IF(K$5&lt;Inputs!$E$22,INDEX(Debt!$H$57:$S$57,MATCH(K$7,Debt!$H$14:$S$14,0)),0),0)</f>
        <v>-1393320</v>
      </c>
      <c r="L30" s="432">
        <f>IFERROR(-INDEX(Debt!$H$58:$S$58,MATCH(L$7,Debt!$H$14:$S$14,0))+IF(L$5&lt;Inputs!$E$22,INDEX(Debt!$H$57:$S$57,MATCH(L$7,Debt!$H$14:$S$14,0)),0),0)</f>
        <v>-1311360</v>
      </c>
      <c r="M30" s="432">
        <f>IFERROR(-INDEX(Debt!$H$58:$S$58,MATCH(M$7,Debt!$H$14:$S$14,0))+IF(M$5&lt;Inputs!$E$22,INDEX(Debt!$H$57:$S$57,MATCH(M$7,Debt!$H$14:$S$14,0)),0),0)</f>
        <v>-1229400</v>
      </c>
      <c r="N30" s="432">
        <f>IFERROR(-INDEX(Debt!$H$58:$S$58,MATCH(N$7,Debt!$H$14:$S$14,0))+IF(N$5&lt;Inputs!$E$22,INDEX(Debt!$H$57:$S$57,MATCH(N$7,Debt!$H$14:$S$14,0)),0),0)</f>
        <v>-1147440</v>
      </c>
      <c r="O30" s="432">
        <f>IFERROR(-INDEX(Debt!$H$58:$S$58,MATCH(O$7,Debt!$H$14:$S$14,0))+IF(O$5&lt;Inputs!$E$22,INDEX(Debt!$H$57:$S$57,MATCH(O$7,Debt!$H$14:$S$14,0)),0),0)</f>
        <v>-1065480</v>
      </c>
    </row>
    <row r="31" spans="1:15" x14ac:dyDescent="0.35">
      <c r="A31" s="72" t="s">
        <v>1327</v>
      </c>
      <c r="B31" s="103"/>
      <c r="C31" s="103"/>
      <c r="D31" s="432">
        <f>-INDEX('P&amp;L'!$H$89:$S$89,MATCH(D$7,'P&amp;L'!$H$6:$S$6,0))</f>
        <v>0</v>
      </c>
      <c r="E31" s="432">
        <f>-INDEX('P&amp;L'!$H$89:$S$89,MATCH(E$7,'P&amp;L'!$H$6:$S$6,0))</f>
        <v>0</v>
      </c>
      <c r="F31" s="432">
        <f>-INDEX('P&amp;L'!$H$89:$S$89,MATCH(F$7,'P&amp;L'!$H$6:$S$6,0))</f>
        <v>0</v>
      </c>
      <c r="G31" s="432">
        <f>-INDEX('P&amp;L'!$H$89:$S$89,MATCH(G$7,'P&amp;L'!$H$6:$S$6,0))</f>
        <v>-3990792.6397098298</v>
      </c>
      <c r="H31" s="432">
        <f>-INDEX('P&amp;L'!$H$89:$S$89,MATCH(H$7,'P&amp;L'!$H$6:$S$6,0))</f>
        <v>-4135983.6734646633</v>
      </c>
      <c r="I31" s="432">
        <f>-INDEX('P&amp;L'!$H$89:$S$89,MATCH(I$7,'P&amp;L'!$H$6:$S$6,0))</f>
        <v>-4437074.973168849</v>
      </c>
      <c r="J31" s="432">
        <f>-INDEX('P&amp;L'!$H$89:$S$89,MATCH(J$7,'P&amp;L'!$H$6:$S$6,0))</f>
        <v>-4596004.7645997796</v>
      </c>
      <c r="K31" s="243">
        <f>-INDEX('P&amp;L'!$H$89:$S$89,MATCH(K$7,'P&amp;L'!$H$6:$S$6,0))</f>
        <v>-4817676.7412032001</v>
      </c>
      <c r="L31" s="243">
        <f>-INDEX('P&amp;L'!$H$89:$S$89,MATCH(L$7,'P&amp;L'!$H$6:$S$6,0))</f>
        <v>-4691093.454977667</v>
      </c>
      <c r="M31" s="243">
        <f>-INDEX('P&amp;L'!$H$89:$S$89,MATCH(M$7,'P&amp;L'!$H$6:$S$6,0))</f>
        <v>-4801671.9913236899</v>
      </c>
      <c r="N31" s="243">
        <f>-INDEX('P&amp;L'!$H$89:$S$89,MATCH(N$7,'P&amp;L'!$H$6:$S$6,0))</f>
        <v>-4927373.6832140358</v>
      </c>
      <c r="O31" s="243">
        <f>-INDEX('P&amp;L'!$H$89:$S$89,MATCH(O$7,'P&amp;L'!$H$6:$S$6,0))</f>
        <v>-5055839.29796266</v>
      </c>
    </row>
    <row r="32" spans="1:15" x14ac:dyDescent="0.35">
      <c r="A32" s="72" t="s">
        <v>1265</v>
      </c>
      <c r="B32" s="103"/>
      <c r="C32" s="103"/>
      <c r="D32" s="432">
        <f>-'P&amp;L'!H102</f>
        <v>0</v>
      </c>
      <c r="E32" s="432">
        <f>-'P&amp;L'!I102</f>
        <v>0</v>
      </c>
      <c r="F32" s="432">
        <f>-'P&amp;L'!J102</f>
        <v>0</v>
      </c>
      <c r="G32" s="432">
        <f>-'P&amp;L'!K102</f>
        <v>-7449479.5941250166</v>
      </c>
      <c r="H32" s="432">
        <f>-'P&amp;L'!L102</f>
        <v>-7720502.8571340386</v>
      </c>
      <c r="I32" s="432">
        <f>-'P&amp;L'!M102</f>
        <v>-8282539.9499151856</v>
      </c>
      <c r="J32" s="432">
        <f>-'P&amp;L'!N102</f>
        <v>-8579208.893919589</v>
      </c>
      <c r="K32" s="432">
        <f>-'P&amp;L'!O102</f>
        <v>-8992996.5835793074</v>
      </c>
      <c r="L32" s="432">
        <f>-'P&amp;L'!P102</f>
        <v>-8756707.7826249786</v>
      </c>
      <c r="M32" s="432">
        <f>-'P&amp;L'!Q102</f>
        <v>-8963121.0504708886</v>
      </c>
      <c r="N32" s="432">
        <f>-'P&amp;L'!R102</f>
        <v>-9197764.2086661998</v>
      </c>
      <c r="O32" s="432">
        <f>-'P&amp;L'!S102</f>
        <v>-9437566.6895303</v>
      </c>
    </row>
    <row r="33" spans="1:15" x14ac:dyDescent="0.35">
      <c r="A33" s="72" t="s">
        <v>1328</v>
      </c>
      <c r="B33" s="103"/>
      <c r="C33" s="103"/>
      <c r="D33" s="432">
        <f>IFERROR(-'P&amp;L'!H100,0)</f>
        <v>0</v>
      </c>
      <c r="E33" s="432">
        <f>IFERROR(-'P&amp;L'!I100,0)</f>
        <v>0</v>
      </c>
      <c r="F33" s="432">
        <f>IFERROR(-'P&amp;L'!J100,0)</f>
        <v>0</v>
      </c>
      <c r="G33" s="432">
        <f>IFERROR(-'P&amp;L'!K100,0)</f>
        <v>-139159.72185</v>
      </c>
      <c r="H33" s="169">
        <f>IFERROR(-'P&amp;L'!L100,0)</f>
        <v>-142052.53882500003</v>
      </c>
      <c r="I33" s="169">
        <f>IFERROR(-'P&amp;L'!M100,0)</f>
        <v>-152253.52499999999</v>
      </c>
      <c r="J33" s="169">
        <f>IFERROR(-'P&amp;L'!N100,0)</f>
        <v>-152253.52499999999</v>
      </c>
      <c r="K33" s="169">
        <f>IFERROR(-'P&amp;L'!O100,0)</f>
        <v>-152253.52499999999</v>
      </c>
      <c r="L33" s="169">
        <f>IFERROR(-'P&amp;L'!P100,0)</f>
        <v>-152253.52499999999</v>
      </c>
      <c r="M33" s="169">
        <f>IFERROR(-'P&amp;L'!Q100,0)</f>
        <v>-152253.52499999999</v>
      </c>
      <c r="N33" s="169">
        <f>IFERROR(-'P&amp;L'!R100,0)</f>
        <v>-152253.52499999999</v>
      </c>
      <c r="O33" s="169">
        <f>IFERROR(-'P&amp;L'!S100,0)</f>
        <v>-152253.52499999999</v>
      </c>
    </row>
    <row r="34" spans="1:15" x14ac:dyDescent="0.35">
      <c r="A34" s="72" t="s">
        <v>1329</v>
      </c>
      <c r="B34" s="103"/>
      <c r="C34" s="103"/>
      <c r="D34" s="432">
        <f t="shared" ref="D34:O34" si="3">D26+D27+D28+D29+D30+D31+D32+D33</f>
        <v>0</v>
      </c>
      <c r="E34" s="432">
        <f t="shared" si="3"/>
        <v>-780000</v>
      </c>
      <c r="F34" s="432">
        <f t="shared" si="3"/>
        <v>-1024500</v>
      </c>
      <c r="G34" s="432">
        <f t="shared" si="3"/>
        <v>-34493008.981568754</v>
      </c>
      <c r="H34" s="444">
        <f t="shared" si="3"/>
        <v>-18328817.927876744</v>
      </c>
      <c r="I34" s="444">
        <f t="shared" si="3"/>
        <v>-19304680.710488703</v>
      </c>
      <c r="J34" s="444">
        <f t="shared" si="3"/>
        <v>-19764146.132471502</v>
      </c>
      <c r="K34" s="444">
        <f t="shared" si="3"/>
        <v>-20506790.124686286</v>
      </c>
      <c r="L34" s="444">
        <f t="shared" si="3"/>
        <v>-20688296.743710998</v>
      </c>
      <c r="M34" s="444">
        <f t="shared" si="3"/>
        <v>-21142342.48998471</v>
      </c>
      <c r="N34" s="444">
        <f t="shared" si="3"/>
        <v>-21604148.673500724</v>
      </c>
      <c r="O34" s="444">
        <f t="shared" si="3"/>
        <v>-22079918.685172424</v>
      </c>
    </row>
    <row r="35" spans="1:15" x14ac:dyDescent="0.35">
      <c r="A35" s="72" t="s">
        <v>1330</v>
      </c>
      <c r="B35" s="103"/>
      <c r="C35" s="103"/>
      <c r="D35" s="432">
        <f>-('Balance Sheet'!F26)</f>
        <v>0</v>
      </c>
      <c r="E35" s="432">
        <f>-('Balance Sheet'!G26-'Balance Sheet'!F26)</f>
        <v>0</v>
      </c>
      <c r="F35" s="432">
        <f>-('Balance Sheet'!H26-'Balance Sheet'!G26)</f>
        <v>0</v>
      </c>
      <c r="G35" s="432">
        <f>-('Balance Sheet'!I26-'Balance Sheet'!H26)</f>
        <v>-981418.65365129989</v>
      </c>
      <c r="H35" s="444">
        <f>-('Balance Sheet'!J26-'Balance Sheet'!I26)</f>
        <v>-9466.7832519072108</v>
      </c>
      <c r="I35" s="444">
        <f>-('Balance Sheet'!K26-'Balance Sheet'!J26)</f>
        <v>-68172.407975737704</v>
      </c>
      <c r="J35" s="444">
        <f>-('Balance Sheet'!L26-'Balance Sheet'!K26)</f>
        <v>-33278.846150359372</v>
      </c>
      <c r="K35" s="444">
        <f>-('Balance Sheet'!M26-'Balance Sheet'!L26)</f>
        <v>-15908.582934431033</v>
      </c>
      <c r="L35" s="444">
        <f>-('Balance Sheet'!N26-'Balance Sheet'!M26)</f>
        <v>36842.76497430657</v>
      </c>
      <c r="M35" s="444">
        <f>-('Balance Sheet'!O26-'Balance Sheet'!N26)</f>
        <v>-14558.478091440164</v>
      </c>
      <c r="N35" s="444">
        <f>-('Balance Sheet'!P26-'Balance Sheet'!O26)</f>
        <v>-20164.518322134856</v>
      </c>
      <c r="O35" s="97">
        <f>-('Balance Sheet'!Q26-'Balance Sheet'!P26)</f>
        <v>-20673.514339664951</v>
      </c>
    </row>
    <row r="36" spans="1:15" x14ac:dyDescent="0.35">
      <c r="A36" s="72" t="s">
        <v>1331</v>
      </c>
      <c r="B36" s="103"/>
      <c r="C36" s="103"/>
      <c r="D36" s="432">
        <f t="shared" ref="D36:O36" si="4">D22+D23+D34+D35</f>
        <v>0</v>
      </c>
      <c r="E36" s="432">
        <f t="shared" si="4"/>
        <v>1707500.0000000005</v>
      </c>
      <c r="F36" s="432">
        <f t="shared" si="4"/>
        <v>14343000</v>
      </c>
      <c r="G36" s="432">
        <f t="shared" si="4"/>
        <v>-17281518.258320052</v>
      </c>
      <c r="H36" s="444">
        <f t="shared" si="4"/>
        <v>835010.27085660072</v>
      </c>
      <c r="I36" s="444">
        <f t="shared" si="4"/>
        <v>909417.15450306167</v>
      </c>
      <c r="J36" s="444">
        <f t="shared" si="4"/>
        <v>1019733.5738295408</v>
      </c>
      <c r="K36" s="444">
        <f t="shared" si="4"/>
        <v>774279.6711053967</v>
      </c>
      <c r="L36" s="444">
        <f t="shared" si="4"/>
        <v>1139404.1977699019</v>
      </c>
      <c r="M36" s="444">
        <f t="shared" si="4"/>
        <v>1142310.4120298149</v>
      </c>
      <c r="N36" s="444">
        <f t="shared" si="4"/>
        <v>1198150.4259230546</v>
      </c>
      <c r="O36" s="444">
        <f t="shared" si="4"/>
        <v>136410682.15163818</v>
      </c>
    </row>
    <row r="37" spans="1:15" x14ac:dyDescent="0.35">
      <c r="A37" s="72" t="s">
        <v>1332</v>
      </c>
      <c r="B37" s="103"/>
      <c r="C37" s="103"/>
      <c r="D37" s="432">
        <f t="shared" ref="D37:O37" si="5">D10+D36</f>
        <v>0</v>
      </c>
      <c r="E37" s="432">
        <f t="shared" si="5"/>
        <v>1707500.0000000005</v>
      </c>
      <c r="F37" s="432">
        <f t="shared" si="5"/>
        <v>16050500</v>
      </c>
      <c r="G37" s="432">
        <f t="shared" si="5"/>
        <v>-1231018.2583200522</v>
      </c>
      <c r="H37" s="432">
        <f t="shared" si="5"/>
        <v>-396007.98746345146</v>
      </c>
      <c r="I37" s="432">
        <f t="shared" si="5"/>
        <v>513409.16703961021</v>
      </c>
      <c r="J37" s="432">
        <f t="shared" si="5"/>
        <v>1533142.740869151</v>
      </c>
      <c r="K37" s="432">
        <f t="shared" si="5"/>
        <v>2307422.4119745474</v>
      </c>
      <c r="L37" s="432">
        <f t="shared" si="5"/>
        <v>3446826.6097444491</v>
      </c>
      <c r="M37" s="432">
        <f t="shared" si="5"/>
        <v>4589137.0217742641</v>
      </c>
      <c r="N37" s="432">
        <f t="shared" si="5"/>
        <v>5787287.4476973191</v>
      </c>
      <c r="O37" s="146">
        <f t="shared" si="5"/>
        <v>142197969.59933549</v>
      </c>
    </row>
    <row r="38" spans="1:15" x14ac:dyDescent="0.35">
      <c r="A38" s="72" t="s">
        <v>1333</v>
      </c>
      <c r="B38" s="103"/>
      <c r="C38" s="103"/>
      <c r="D38" s="432">
        <f>D37-'Balance Sheet'!F10</f>
        <v>0</v>
      </c>
      <c r="E38" s="432">
        <f>E37-'Balance Sheet'!G10</f>
        <v>0</v>
      </c>
      <c r="F38" s="432">
        <f>F37-'Balance Sheet'!H10</f>
        <v>0</v>
      </c>
      <c r="G38" s="432">
        <f>G37-'Balance Sheet'!I10</f>
        <v>0</v>
      </c>
      <c r="H38" s="432">
        <f>H37-'Balance Sheet'!J10</f>
        <v>0</v>
      </c>
      <c r="I38" s="432">
        <f>I37-'Balance Sheet'!K10</f>
        <v>0</v>
      </c>
      <c r="J38" s="432">
        <f>J37-'Balance Sheet'!L10</f>
        <v>0</v>
      </c>
      <c r="K38" s="432">
        <f>K37-'Balance Sheet'!M10</f>
        <v>0</v>
      </c>
      <c r="L38" s="432">
        <f>L37-'Balance Sheet'!N10</f>
        <v>0</v>
      </c>
      <c r="M38" s="432">
        <f>M37-'Balance Sheet'!O10</f>
        <v>0</v>
      </c>
      <c r="N38" s="432">
        <f>N37-'Balance Sheet'!P10</f>
        <v>0</v>
      </c>
      <c r="O38" s="146">
        <f>O37-'Balance Sheet'!Q10</f>
        <v>0</v>
      </c>
    </row>
    <row r="39" spans="1:15" x14ac:dyDescent="0.35">
      <c r="A39" s="72" t="s">
        <v>1334</v>
      </c>
      <c r="B39" s="103"/>
      <c r="C39" s="103"/>
      <c r="D39" s="432">
        <f t="shared" ref="D39:O39" si="6">D10+D36-D37</f>
        <v>0</v>
      </c>
      <c r="E39" s="432">
        <f t="shared" si="6"/>
        <v>0</v>
      </c>
      <c r="F39" s="432">
        <f t="shared" si="6"/>
        <v>0</v>
      </c>
      <c r="G39" s="432">
        <f t="shared" si="6"/>
        <v>0</v>
      </c>
      <c r="H39" s="432">
        <f t="shared" si="6"/>
        <v>0</v>
      </c>
      <c r="I39" s="432">
        <f t="shared" si="6"/>
        <v>0</v>
      </c>
      <c r="J39" s="432">
        <f t="shared" si="6"/>
        <v>0</v>
      </c>
      <c r="K39" s="432">
        <f t="shared" si="6"/>
        <v>0</v>
      </c>
      <c r="L39" s="432">
        <f t="shared" si="6"/>
        <v>0</v>
      </c>
      <c r="M39" s="432">
        <f t="shared" si="6"/>
        <v>0</v>
      </c>
      <c r="N39" s="432">
        <f t="shared" si="6"/>
        <v>0</v>
      </c>
      <c r="O39" s="432">
        <f t="shared" si="6"/>
        <v>0</v>
      </c>
    </row>
    <row r="40" spans="1:15" x14ac:dyDescent="0.35">
      <c r="A40" s="72"/>
      <c r="B40" s="102"/>
      <c r="C40" s="102"/>
      <c r="D40" s="122"/>
      <c r="E40" s="122"/>
      <c r="F40" s="122"/>
      <c r="G40" s="122"/>
      <c r="H40" s="122"/>
      <c r="I40" s="122"/>
      <c r="J40" s="122"/>
      <c r="K40" s="122"/>
      <c r="L40" s="122"/>
      <c r="M40" s="122"/>
      <c r="N40" s="122"/>
      <c r="O40" s="122"/>
    </row>
    <row r="41" spans="1:15" x14ac:dyDescent="0.35">
      <c r="A41" s="72"/>
      <c r="B41" s="72"/>
      <c r="C41" s="72"/>
      <c r="D41" s="81"/>
      <c r="E41" s="81"/>
      <c r="F41" s="81"/>
      <c r="G41" s="81"/>
      <c r="H41" s="81"/>
      <c r="I41" s="81"/>
      <c r="J41" s="81"/>
      <c r="K41" s="81"/>
      <c r="L41" s="81"/>
      <c r="M41" s="81"/>
      <c r="N41" s="81"/>
      <c r="O41" s="81"/>
    </row>
    <row r="42" spans="1:15" x14ac:dyDescent="0.35">
      <c r="A42" s="72" t="s">
        <v>464</v>
      </c>
      <c r="B42" s="72"/>
      <c r="C42" s="72"/>
      <c r="D42" s="451" t="str">
        <f t="shared" ref="D42:O42" si="7">D7</f>
        <v>FY25</v>
      </c>
      <c r="E42" s="451" t="str">
        <f t="shared" si="7"/>
        <v>FY26</v>
      </c>
      <c r="F42" s="451" t="str">
        <f t="shared" si="7"/>
        <v>FY27</v>
      </c>
      <c r="G42" s="451" t="str">
        <f t="shared" si="7"/>
        <v>FY28</v>
      </c>
      <c r="H42" s="451" t="str">
        <f t="shared" si="7"/>
        <v>FY29</v>
      </c>
      <c r="I42" s="451" t="str">
        <f t="shared" si="7"/>
        <v>FY30</v>
      </c>
      <c r="J42" s="451" t="str">
        <f t="shared" si="7"/>
        <v>FY31</v>
      </c>
      <c r="K42" s="451" t="str">
        <f t="shared" si="7"/>
        <v>FY32</v>
      </c>
      <c r="L42" s="451" t="str">
        <f t="shared" si="7"/>
        <v>FY33</v>
      </c>
      <c r="M42" s="451" t="str">
        <f t="shared" si="7"/>
        <v>FY34</v>
      </c>
      <c r="N42" s="451" t="str">
        <f t="shared" si="7"/>
        <v>FY35</v>
      </c>
      <c r="O42" s="451" t="str">
        <f t="shared" si="7"/>
        <v>FY36</v>
      </c>
    </row>
    <row r="43" spans="1:15" x14ac:dyDescent="0.35">
      <c r="A43" s="72" t="s">
        <v>1269</v>
      </c>
      <c r="B43" s="72"/>
      <c r="C43" s="72"/>
      <c r="D43" s="105">
        <f t="shared" ref="D43:O43" si="8">D5</f>
        <v>45715</v>
      </c>
      <c r="E43" s="105">
        <f t="shared" si="8"/>
        <v>45839</v>
      </c>
      <c r="F43" s="105">
        <f t="shared" si="8"/>
        <v>46204</v>
      </c>
      <c r="G43" s="105">
        <f t="shared" si="8"/>
        <v>46569</v>
      </c>
      <c r="H43" s="105">
        <f t="shared" si="8"/>
        <v>46935</v>
      </c>
      <c r="I43" s="105">
        <f t="shared" si="8"/>
        <v>47300</v>
      </c>
      <c r="J43" s="105">
        <f t="shared" si="8"/>
        <v>47665</v>
      </c>
      <c r="K43" s="105">
        <f t="shared" si="8"/>
        <v>48030</v>
      </c>
      <c r="L43" s="105">
        <f t="shared" si="8"/>
        <v>48396</v>
      </c>
      <c r="M43" s="105">
        <f t="shared" si="8"/>
        <v>48761</v>
      </c>
      <c r="N43" s="105">
        <f t="shared" si="8"/>
        <v>49126</v>
      </c>
      <c r="O43" s="105">
        <f t="shared" si="8"/>
        <v>49491</v>
      </c>
    </row>
    <row r="44" spans="1:15" x14ac:dyDescent="0.35">
      <c r="A44" s="72" t="s">
        <v>1270</v>
      </c>
      <c r="B44" s="72"/>
      <c r="C44" s="72"/>
      <c r="D44" s="105">
        <f t="shared" ref="D44:O44" si="9">D6</f>
        <v>45838</v>
      </c>
      <c r="E44" s="105">
        <f t="shared" si="9"/>
        <v>46203</v>
      </c>
      <c r="F44" s="105">
        <f t="shared" si="9"/>
        <v>46568</v>
      </c>
      <c r="G44" s="105">
        <f t="shared" si="9"/>
        <v>46934</v>
      </c>
      <c r="H44" s="105">
        <f t="shared" si="9"/>
        <v>47299</v>
      </c>
      <c r="I44" s="105">
        <f t="shared" si="9"/>
        <v>47664</v>
      </c>
      <c r="J44" s="105">
        <f t="shared" si="9"/>
        <v>48029</v>
      </c>
      <c r="K44" s="105">
        <f t="shared" si="9"/>
        <v>48395</v>
      </c>
      <c r="L44" s="105">
        <f t="shared" si="9"/>
        <v>48760</v>
      </c>
      <c r="M44" s="105">
        <f t="shared" si="9"/>
        <v>49125</v>
      </c>
      <c r="N44" s="105">
        <f t="shared" si="9"/>
        <v>49490</v>
      </c>
      <c r="O44" s="105">
        <f t="shared" si="9"/>
        <v>49856</v>
      </c>
    </row>
    <row r="45" spans="1:15" x14ac:dyDescent="0.35">
      <c r="A45" s="331"/>
      <c r="B45" s="331"/>
      <c r="C45" s="331"/>
      <c r="D45" s="81"/>
      <c r="E45" s="81"/>
      <c r="F45" s="81"/>
      <c r="G45" s="81"/>
      <c r="H45" s="81"/>
      <c r="I45" s="81"/>
      <c r="J45" s="81"/>
      <c r="K45" s="81"/>
      <c r="L45" s="81"/>
      <c r="M45" s="81"/>
      <c r="N45" s="81"/>
      <c r="O45" s="81"/>
    </row>
    <row r="46" spans="1:15" x14ac:dyDescent="0.35">
      <c r="A46" s="72" t="s">
        <v>1335</v>
      </c>
      <c r="B46" s="72"/>
      <c r="C46" s="72"/>
      <c r="D46" s="81"/>
      <c r="E46" s="81"/>
      <c r="F46" s="81"/>
      <c r="G46" s="81"/>
      <c r="H46" s="81"/>
      <c r="I46" s="81"/>
      <c r="J46" s="81"/>
      <c r="K46" s="81"/>
      <c r="L46" s="81"/>
      <c r="M46" s="81"/>
      <c r="N46" s="81"/>
      <c r="O46" s="81"/>
    </row>
    <row r="47" spans="1:15" x14ac:dyDescent="0.35">
      <c r="A47" s="72" t="s">
        <v>16</v>
      </c>
      <c r="B47" s="72"/>
      <c r="C47" s="72"/>
      <c r="D47" s="452">
        <f>IFERROR('P&amp;L'!H28,0)</f>
        <v>0</v>
      </c>
      <c r="E47" s="452">
        <f>IFERROR('P&amp;L'!I28,0)</f>
        <v>0</v>
      </c>
      <c r="F47" s="452">
        <f>IFERROR('P&amp;L'!J28,0)</f>
        <v>0</v>
      </c>
      <c r="G47" s="452">
        <f>IFERROR('P&amp;L'!K28,0)</f>
        <v>18192909.376900002</v>
      </c>
      <c r="H47" s="452">
        <f>IFERROR('P&amp;L'!L28,0)</f>
        <v>19173294.981985252</v>
      </c>
      <c r="I47" s="452">
        <f>IFERROR('P&amp;L'!M28,0)</f>
        <v>20282270.272967502</v>
      </c>
      <c r="J47" s="452">
        <f>IFERROR('P&amp;L'!N28,0)</f>
        <v>20817158.552451402</v>
      </c>
      <c r="K47" s="452">
        <f>IFERROR('P&amp;L'!O28,0)</f>
        <v>21296978.378726114</v>
      </c>
      <c r="L47" s="452">
        <f>IFERROR('P&amp;L'!P28,0)</f>
        <v>21790858.176506594</v>
      </c>
      <c r="M47" s="452">
        <f>IFERROR('P&amp;L'!Q28,0)</f>
        <v>22299211.380105965</v>
      </c>
      <c r="N47" s="452">
        <f>IFERROR('P&amp;L'!R28,0)</f>
        <v>22822463.617745914</v>
      </c>
      <c r="O47" s="452">
        <f>IFERROR('P&amp;L'!S28,0)</f>
        <v>23361053.072145991</v>
      </c>
    </row>
    <row r="48" spans="1:15" x14ac:dyDescent="0.35">
      <c r="A48" s="72" t="s">
        <v>1225</v>
      </c>
      <c r="B48" s="72"/>
      <c r="C48" s="72"/>
      <c r="D48" s="452">
        <f>IFERROR('P&amp;L'!H36,0)</f>
        <v>0</v>
      </c>
      <c r="E48" s="452">
        <f>IFERROR('P&amp;L'!I36,0)</f>
        <v>0</v>
      </c>
      <c r="F48" s="452">
        <f>IFERROR('P&amp;L'!J36,0)</f>
        <v>0</v>
      </c>
      <c r="G48" s="452">
        <f>IFERROR('P&amp;L'!K36,0)</f>
        <v>76190.21865000001</v>
      </c>
      <c r="H48" s="452">
        <f>IFERROR('P&amp;L'!L36,0)</f>
        <v>80903.878649999999</v>
      </c>
      <c r="I48" s="452">
        <f>IFERROR('P&amp;L'!M36,0)</f>
        <v>83708.100000000006</v>
      </c>
      <c r="J48" s="452">
        <f>IFERROR('P&amp;L'!N36,0)</f>
        <v>84963.721499999985</v>
      </c>
      <c r="K48" s="452">
        <f>IFERROR('P&amp;L'!O36,0)</f>
        <v>87512.633145</v>
      </c>
      <c r="L48" s="452">
        <f>IFERROR('P&amp;L'!P36,0)</f>
        <v>90138.012139350016</v>
      </c>
      <c r="M48" s="452">
        <f>IFERROR('P&amp;L'!Q36,0)</f>
        <v>92842.152503530524</v>
      </c>
      <c r="N48" s="452">
        <f>IFERROR('P&amp;L'!R36,0)</f>
        <v>95627.417078636427</v>
      </c>
      <c r="O48" s="452">
        <f>IFERROR('P&amp;L'!S36,0)</f>
        <v>98496.239590995523</v>
      </c>
    </row>
    <row r="49" spans="1:15" x14ac:dyDescent="0.35">
      <c r="A49" s="72" t="s">
        <v>1336</v>
      </c>
      <c r="B49" s="72"/>
      <c r="C49" s="72"/>
      <c r="D49" s="452">
        <f>IFERROR('P&amp;L'!H75,0)</f>
        <v>0</v>
      </c>
      <c r="E49" s="452">
        <f>IFERROR('P&amp;L'!I75,0)</f>
        <v>0</v>
      </c>
      <c r="F49" s="452">
        <f>IFERROR('P&amp;L'!J75,0)</f>
        <v>0</v>
      </c>
      <c r="G49" s="452">
        <f>IFERROR('P&amp;L'!K75,0)</f>
        <v>4117417.0258839042</v>
      </c>
      <c r="H49" s="452">
        <f>IFERROR('P&amp;L'!L75,0)</f>
        <v>4691078.8584530428</v>
      </c>
      <c r="I49" s="452">
        <f>IFERROR('P&amp;L'!M75,0)</f>
        <v>4875572.2624046709</v>
      </c>
      <c r="J49" s="452">
        <f>IFERROR('P&amp;L'!N75,0)</f>
        <v>4961398.9489521338</v>
      </c>
      <c r="K49" s="452">
        <f>IFERROR('P&amp;L'!O75,0)</f>
        <v>5150543.2749037789</v>
      </c>
      <c r="L49" s="452">
        <f>IFERROR('P&amp;L'!P75,0)</f>
        <v>5776881.9811083544</v>
      </c>
      <c r="M49" s="452">
        <f>IFERROR('P&amp;L'!Q75,0)</f>
        <v>5995895.9231901327</v>
      </c>
      <c r="N49" s="452">
        <f>IFERROR('P&amp;L'!R75,0)</f>
        <v>6179317.2566204909</v>
      </c>
      <c r="O49" s="452">
        <f>IFERROR('P&amp;L'!S75,0)</f>
        <v>6368779.1726794634</v>
      </c>
    </row>
    <row r="50" spans="1:15" x14ac:dyDescent="0.35">
      <c r="A50" s="331"/>
      <c r="B50" s="331"/>
      <c r="C50" s="331"/>
      <c r="D50" s="452"/>
      <c r="E50" s="452"/>
      <c r="F50" s="452"/>
      <c r="G50" s="452"/>
      <c r="H50" s="452"/>
      <c r="I50" s="452"/>
      <c r="J50" s="452"/>
      <c r="K50" s="452"/>
      <c r="L50" s="452"/>
      <c r="M50" s="452"/>
      <c r="N50" s="452"/>
      <c r="O50" s="452"/>
    </row>
    <row r="51" spans="1:15" x14ac:dyDescent="0.35">
      <c r="A51" s="72" t="s">
        <v>1337</v>
      </c>
      <c r="B51" s="72"/>
      <c r="C51" s="72"/>
      <c r="D51" s="452"/>
      <c r="E51" s="452"/>
      <c r="F51" s="452"/>
      <c r="G51" s="452"/>
      <c r="H51" s="452"/>
      <c r="I51" s="452"/>
      <c r="J51" s="452"/>
      <c r="K51" s="452"/>
      <c r="L51" s="452"/>
      <c r="M51" s="452"/>
      <c r="N51" s="452"/>
      <c r="O51" s="452"/>
    </row>
    <row r="52" spans="1:15" x14ac:dyDescent="0.35">
      <c r="A52" s="72" t="s">
        <v>1275</v>
      </c>
      <c r="B52" s="72"/>
      <c r="C52" s="72"/>
      <c r="D52" s="452">
        <f>(D47/365)*Inputs!$E$300</f>
        <v>0</v>
      </c>
      <c r="E52" s="452">
        <f>(E47/365)*Inputs!$E$300</f>
        <v>0</v>
      </c>
      <c r="F52" s="452">
        <f>(F47/365)*Inputs!$E$300</f>
        <v>0</v>
      </c>
      <c r="G52" s="452">
        <f>(G47/365)*Inputs!$E$300</f>
        <v>1495307.6200191784</v>
      </c>
      <c r="H52" s="452">
        <f>(H47/365)*Inputs!$E$300</f>
        <v>1575887.2587933084</v>
      </c>
      <c r="I52" s="452">
        <f>(I47/365)*Inputs!$E$300</f>
        <v>1667035.9128466439</v>
      </c>
      <c r="J52" s="452">
        <f>(J47/365)*Inputs!$E$300</f>
        <v>1710999.3330781974</v>
      </c>
      <c r="K52" s="452">
        <f>(K47/365)*Inputs!$E$300</f>
        <v>1750436.5790733793</v>
      </c>
      <c r="L52" s="452">
        <f>(L47/365)*Inputs!$E$300</f>
        <v>1791029.4391649256</v>
      </c>
      <c r="M52" s="452">
        <f>(M47/365)*Inputs!$E$300</f>
        <v>1832811.8942552849</v>
      </c>
      <c r="N52" s="452">
        <f>(N47/365)*Inputs!$E$300</f>
        <v>1875818.9274859657</v>
      </c>
      <c r="O52" s="452">
        <f>(O47/365)*Inputs!$E$300</f>
        <v>1920086.553875013</v>
      </c>
    </row>
    <row r="53" spans="1:15" x14ac:dyDescent="0.35">
      <c r="A53" s="72" t="s">
        <v>1276</v>
      </c>
      <c r="B53" s="72"/>
      <c r="C53" s="72"/>
      <c r="D53" s="452">
        <f>(D48/365)*Inputs!$E$302</f>
        <v>0</v>
      </c>
      <c r="E53" s="452">
        <f>(E48/365)*Inputs!$E$302</f>
        <v>0</v>
      </c>
      <c r="F53" s="452">
        <f>(F48/365)*Inputs!$E$302</f>
        <v>0</v>
      </c>
      <c r="G53" s="452">
        <f>(G48/365)*Inputs!$E$302</f>
        <v>3131.1048760273975</v>
      </c>
      <c r="H53" s="452">
        <f>(H48/365)*Inputs!$E$302</f>
        <v>3324.8169308219176</v>
      </c>
      <c r="I53" s="452">
        <f>(I48/365)*Inputs!$E$302</f>
        <v>3440.0589041095891</v>
      </c>
      <c r="J53" s="452">
        <f>(J48/365)*Inputs!$E$302</f>
        <v>3491.6597876712322</v>
      </c>
      <c r="K53" s="452">
        <f>(K48/365)*Inputs!$E$302</f>
        <v>3596.4095813013696</v>
      </c>
      <c r="L53" s="452">
        <f>(L48/365)*Inputs!$E$302</f>
        <v>3704.3018687404119</v>
      </c>
      <c r="M53" s="452">
        <f>(M48/365)*Inputs!$E$302</f>
        <v>3815.4309248026243</v>
      </c>
      <c r="N53" s="452">
        <f>(N48/365)*Inputs!$E$302</f>
        <v>3929.8938525467024</v>
      </c>
      <c r="O53" s="452">
        <f>(O48/365)*Inputs!$E$302</f>
        <v>4047.7906681231038</v>
      </c>
    </row>
    <row r="54" spans="1:15" x14ac:dyDescent="0.35">
      <c r="A54" s="72" t="s">
        <v>1338</v>
      </c>
      <c r="B54" s="72"/>
      <c r="C54" s="72"/>
      <c r="D54" s="452">
        <f>(((D48+D49)/365))*Inputs!$E$301</f>
        <v>0</v>
      </c>
      <c r="E54" s="452">
        <f>(((E48+E49)/365))*Inputs!$E$301</f>
        <v>0</v>
      </c>
      <c r="F54" s="452">
        <f>(((F48+F49)/365))*Inputs!$E$301</f>
        <v>0</v>
      </c>
      <c r="G54" s="452">
        <f>(((G48+G49)/365))*Inputs!$E$301</f>
        <v>517020.07124390599</v>
      </c>
      <c r="H54" s="452">
        <f>(((H48+H49)/365))*Inputs!$E$301</f>
        <v>588326.63882092317</v>
      </c>
      <c r="I54" s="452">
        <f>(((I48+I49)/365))*Inputs!$E$301</f>
        <v>611418.12687180866</v>
      </c>
      <c r="J54" s="452">
        <f>(((J48+J49)/365))*Inputs!$E$301</f>
        <v>622154.30183656444</v>
      </c>
      <c r="K54" s="452">
        <f>(((K48+K49)/365))*Inputs!$E$301</f>
        <v>645787.71469094534</v>
      </c>
      <c r="L54" s="452">
        <f>(((L48+L49)/365))*Inputs!$E$301</f>
        <v>723331.23204423755</v>
      </c>
      <c r="M54" s="452">
        <f>(((M48+M49)/365))*Inputs!$E$301</f>
        <v>750666.33809921879</v>
      </c>
      <c r="N54" s="452">
        <f>(((N48+N49)/365))*Inputs!$E$301</f>
        <v>773623.31593550893</v>
      </c>
      <c r="O54" s="452">
        <f>(((O48+O49)/365))*Inputs!$E$301</f>
        <v>797335.32480046758</v>
      </c>
    </row>
    <row r="55" spans="1:15" x14ac:dyDescent="0.35">
      <c r="A55" s="331"/>
      <c r="B55" s="331"/>
      <c r="C55" s="331"/>
      <c r="D55" s="452"/>
      <c r="E55" s="452"/>
      <c r="F55" s="452"/>
      <c r="G55" s="452"/>
      <c r="H55" s="452"/>
      <c r="I55" s="452"/>
      <c r="J55" s="452"/>
      <c r="K55" s="452"/>
      <c r="L55" s="452"/>
      <c r="M55" s="452"/>
      <c r="N55" s="452"/>
      <c r="O55" s="452"/>
    </row>
    <row r="56" spans="1:15" x14ac:dyDescent="0.35">
      <c r="A56" s="72" t="s">
        <v>1339</v>
      </c>
      <c r="B56" s="72"/>
      <c r="C56" s="72"/>
      <c r="D56" s="452"/>
      <c r="E56" s="452"/>
      <c r="F56" s="452"/>
      <c r="G56" s="452"/>
      <c r="H56" s="452"/>
      <c r="I56" s="452"/>
      <c r="J56" s="452"/>
      <c r="K56" s="452"/>
      <c r="L56" s="452"/>
      <c r="M56" s="452"/>
      <c r="N56" s="452"/>
      <c r="O56" s="452"/>
    </row>
    <row r="57" spans="1:15" x14ac:dyDescent="0.35">
      <c r="A57" s="72" t="s">
        <v>1340</v>
      </c>
      <c r="B57" s="72"/>
      <c r="C57" s="72"/>
      <c r="D57" s="452">
        <f>-D52</f>
        <v>0</v>
      </c>
      <c r="E57" s="452">
        <f t="shared" ref="E57:O57" si="10">-(E52-D52)</f>
        <v>0</v>
      </c>
      <c r="F57" s="452">
        <f t="shared" si="10"/>
        <v>0</v>
      </c>
      <c r="G57" s="452">
        <f t="shared" si="10"/>
        <v>-1495307.6200191784</v>
      </c>
      <c r="H57" s="452">
        <f t="shared" si="10"/>
        <v>-80579.638774130028</v>
      </c>
      <c r="I57" s="452">
        <f t="shared" si="10"/>
        <v>-91148.654053335544</v>
      </c>
      <c r="J57" s="452">
        <f t="shared" si="10"/>
        <v>-43963.420231553493</v>
      </c>
      <c r="K57" s="452">
        <f t="shared" si="10"/>
        <v>-39437.245995181846</v>
      </c>
      <c r="L57" s="452">
        <f t="shared" si="10"/>
        <v>-40592.860091546318</v>
      </c>
      <c r="M57" s="452">
        <f t="shared" si="10"/>
        <v>-41782.455090359319</v>
      </c>
      <c r="N57" s="452">
        <f t="shared" si="10"/>
        <v>-43007.03323068074</v>
      </c>
      <c r="O57" s="452">
        <f t="shared" si="10"/>
        <v>-44267.626389047364</v>
      </c>
    </row>
    <row r="58" spans="1:15" x14ac:dyDescent="0.35">
      <c r="A58" s="72" t="s">
        <v>1341</v>
      </c>
      <c r="B58" s="72"/>
      <c r="C58" s="72"/>
      <c r="D58" s="452">
        <f>-D53</f>
        <v>0</v>
      </c>
      <c r="E58" s="452">
        <f t="shared" ref="E58:O58" si="11">-(E53-D53)</f>
        <v>0</v>
      </c>
      <c r="F58" s="452">
        <f t="shared" si="11"/>
        <v>0</v>
      </c>
      <c r="G58" s="452">
        <f t="shared" si="11"/>
        <v>-3131.1048760273975</v>
      </c>
      <c r="H58" s="452">
        <f t="shared" si="11"/>
        <v>-193.7120547945201</v>
      </c>
      <c r="I58" s="452">
        <f t="shared" si="11"/>
        <v>-115.2419732876715</v>
      </c>
      <c r="J58" s="452">
        <f t="shared" si="11"/>
        <v>-51.600883561643059</v>
      </c>
      <c r="K58" s="452">
        <f t="shared" si="11"/>
        <v>-104.74979363013745</v>
      </c>
      <c r="L58" s="452">
        <f t="shared" si="11"/>
        <v>-107.89228743904232</v>
      </c>
      <c r="M58" s="452">
        <f t="shared" si="11"/>
        <v>-111.12905606221238</v>
      </c>
      <c r="N58" s="452">
        <f t="shared" si="11"/>
        <v>-114.46292774407812</v>
      </c>
      <c r="O58" s="452">
        <f t="shared" si="11"/>
        <v>-117.89681557640142</v>
      </c>
    </row>
    <row r="59" spans="1:15" x14ac:dyDescent="0.35">
      <c r="A59" s="72" t="s">
        <v>1342</v>
      </c>
      <c r="B59" s="72"/>
      <c r="C59" s="72"/>
      <c r="D59" s="452">
        <f>D54</f>
        <v>0</v>
      </c>
      <c r="E59" s="452">
        <f t="shared" ref="E59:O59" si="12">(E54-D54)</f>
        <v>0</v>
      </c>
      <c r="F59" s="452">
        <f t="shared" si="12"/>
        <v>0</v>
      </c>
      <c r="G59" s="452">
        <f t="shared" si="12"/>
        <v>517020.07124390599</v>
      </c>
      <c r="H59" s="452">
        <f t="shared" si="12"/>
        <v>71306.56757701718</v>
      </c>
      <c r="I59" s="452">
        <f t="shared" si="12"/>
        <v>23091.488050885499</v>
      </c>
      <c r="J59" s="452">
        <f t="shared" si="12"/>
        <v>10736.174964755774</v>
      </c>
      <c r="K59" s="452">
        <f t="shared" si="12"/>
        <v>23633.412854380906</v>
      </c>
      <c r="L59" s="452">
        <f t="shared" si="12"/>
        <v>77543.517353292205</v>
      </c>
      <c r="M59" s="452">
        <f t="shared" si="12"/>
        <v>27335.106054981239</v>
      </c>
      <c r="N59" s="452">
        <f t="shared" si="12"/>
        <v>22956.977836290142</v>
      </c>
      <c r="O59" s="452">
        <f t="shared" si="12"/>
        <v>23712.008864958654</v>
      </c>
    </row>
    <row r="60" spans="1:15" x14ac:dyDescent="0.35">
      <c r="A60" s="72" t="s">
        <v>1343</v>
      </c>
      <c r="B60" s="72"/>
      <c r="C60" s="72"/>
      <c r="D60" s="452">
        <f t="shared" ref="D60:O60" si="13">D36</f>
        <v>0</v>
      </c>
      <c r="E60" s="452">
        <f t="shared" si="13"/>
        <v>1707500.0000000005</v>
      </c>
      <c r="F60" s="452">
        <f t="shared" si="13"/>
        <v>14343000</v>
      </c>
      <c r="G60" s="452">
        <f t="shared" si="13"/>
        <v>-17281518.258320052</v>
      </c>
      <c r="H60" s="452">
        <f t="shared" si="13"/>
        <v>835010.27085660072</v>
      </c>
      <c r="I60" s="452">
        <f t="shared" si="13"/>
        <v>909417.15450306167</v>
      </c>
      <c r="J60" s="452">
        <f t="shared" si="13"/>
        <v>1019733.5738295408</v>
      </c>
      <c r="K60" s="452">
        <f t="shared" si="13"/>
        <v>774279.6711053967</v>
      </c>
      <c r="L60" s="452">
        <f t="shared" si="13"/>
        <v>1139404.1977699019</v>
      </c>
      <c r="M60" s="452">
        <f t="shared" si="13"/>
        <v>1142310.4120298149</v>
      </c>
      <c r="N60" s="452">
        <f t="shared" si="13"/>
        <v>1198150.4259230546</v>
      </c>
      <c r="O60" s="452">
        <f t="shared" si="13"/>
        <v>136410682.15163818</v>
      </c>
    </row>
    <row r="61" spans="1:15" x14ac:dyDescent="0.35">
      <c r="A61" s="331"/>
      <c r="B61" s="331"/>
      <c r="C61" s="331"/>
      <c r="D61" s="452"/>
      <c r="E61" s="452"/>
      <c r="F61" s="452"/>
      <c r="G61" s="452"/>
      <c r="H61" s="452"/>
      <c r="I61" s="452"/>
      <c r="J61" s="452"/>
      <c r="K61" s="452"/>
      <c r="L61" s="452"/>
      <c r="M61" s="452"/>
      <c r="N61" s="452"/>
      <c r="O61" s="452"/>
    </row>
    <row r="62" spans="1:15" x14ac:dyDescent="0.35">
      <c r="A62" s="106" t="s">
        <v>1344</v>
      </c>
      <c r="B62" s="103"/>
      <c r="C62" s="103"/>
      <c r="D62" s="452"/>
      <c r="E62" s="452"/>
      <c r="F62" s="452"/>
      <c r="G62" s="452"/>
      <c r="H62" s="452"/>
      <c r="I62" s="452"/>
      <c r="J62" s="452"/>
      <c r="K62" s="452"/>
      <c r="L62" s="452"/>
      <c r="M62" s="452"/>
      <c r="N62" s="452"/>
      <c r="O62" s="452"/>
    </row>
    <row r="63" spans="1:15" x14ac:dyDescent="0.35">
      <c r="A63" s="72" t="s">
        <v>1345</v>
      </c>
      <c r="B63" s="103"/>
      <c r="C63" s="103"/>
      <c r="D63" s="452">
        <f>IFERROR('P&amp;L'!H77,0)</f>
        <v>0</v>
      </c>
      <c r="E63" s="452">
        <f>IFERROR('P&amp;L'!I77,0)</f>
        <v>0</v>
      </c>
      <c r="F63" s="452">
        <f>IFERROR('P&amp;L'!J77,0)</f>
        <v>0</v>
      </c>
      <c r="G63" s="452">
        <f>IFERROR('P&amp;L'!K77,0)</f>
        <v>13999302.1323661</v>
      </c>
      <c r="H63" s="452">
        <f>IFERROR('P&amp;L'!L77,0)</f>
        <v>14401312.244882211</v>
      </c>
      <c r="I63" s="452">
        <f>IFERROR('P&amp;L'!M77,0)</f>
        <v>15322989.91056283</v>
      </c>
      <c r="J63" s="452">
        <f>IFERROR('P&amp;L'!N77,0)</f>
        <v>15770795.881999265</v>
      </c>
      <c r="K63" s="452">
        <f>IFERROR('P&amp;L'!O77,0)</f>
        <v>16058922.470677335</v>
      </c>
      <c r="L63" s="452">
        <f>IFERROR('P&amp;L'!P77,0)</f>
        <v>15923838.183258889</v>
      </c>
      <c r="M63" s="452">
        <f>IFERROR('P&amp;L'!Q77,0)</f>
        <v>16210473.304412302</v>
      </c>
      <c r="N63" s="452">
        <f>IFERROR('P&amp;L'!R77,0)</f>
        <v>16547518.944046786</v>
      </c>
      <c r="O63" s="452">
        <f>IFERROR('P&amp;L'!S77,0)</f>
        <v>16893777.659875534</v>
      </c>
    </row>
    <row r="64" spans="1:15" x14ac:dyDescent="0.35">
      <c r="A64" s="72" t="s">
        <v>1346</v>
      </c>
      <c r="B64" s="103"/>
      <c r="C64" s="103"/>
      <c r="D64" s="452">
        <f t="shared" ref="D64:O64" si="14">ABS(D30)</f>
        <v>0</v>
      </c>
      <c r="E64" s="452">
        <f t="shared" si="14"/>
        <v>0</v>
      </c>
      <c r="F64" s="452">
        <f t="shared" si="14"/>
        <v>1024500</v>
      </c>
      <c r="G64" s="452">
        <f t="shared" si="14"/>
        <v>1721160</v>
      </c>
      <c r="H64" s="452">
        <f t="shared" si="14"/>
        <v>1639200</v>
      </c>
      <c r="I64" s="452">
        <f t="shared" si="14"/>
        <v>1557240</v>
      </c>
      <c r="J64" s="452">
        <f t="shared" si="14"/>
        <v>1475280</v>
      </c>
      <c r="K64" s="452">
        <f t="shared" si="14"/>
        <v>1393320</v>
      </c>
      <c r="L64" s="452">
        <f t="shared" si="14"/>
        <v>1311360</v>
      </c>
      <c r="M64" s="452">
        <f t="shared" si="14"/>
        <v>1229400</v>
      </c>
      <c r="N64" s="452">
        <f t="shared" si="14"/>
        <v>1147440</v>
      </c>
      <c r="O64" s="452">
        <f t="shared" si="14"/>
        <v>1065480</v>
      </c>
    </row>
    <row r="65" spans="1:15" x14ac:dyDescent="0.35">
      <c r="A65" s="72" t="s">
        <v>1347</v>
      </c>
      <c r="B65" s="103"/>
      <c r="C65" s="103"/>
      <c r="D65" s="456" t="str">
        <f t="shared" ref="D65:O65" si="15">IF(OR(D64=0,D63=0),"",(D63+D31+D35)/D64)</f>
        <v/>
      </c>
      <c r="E65" s="456" t="str">
        <f t="shared" si="15"/>
        <v/>
      </c>
      <c r="F65" s="456" t="str">
        <f t="shared" si="15"/>
        <v/>
      </c>
      <c r="G65" s="456">
        <f t="shared" si="15"/>
        <v>5.244771455881482</v>
      </c>
      <c r="H65" s="456">
        <f t="shared" si="15"/>
        <v>6.2566262738931426</v>
      </c>
      <c r="I65" s="456">
        <f t="shared" si="15"/>
        <v>6.9467407268104111</v>
      </c>
      <c r="J65" s="456">
        <f t="shared" si="15"/>
        <v>7.5521340160844899</v>
      </c>
      <c r="K65" s="456">
        <f t="shared" si="15"/>
        <v>8.0565391629630696</v>
      </c>
      <c r="L65" s="456">
        <f t="shared" si="15"/>
        <v>8.5938167194786548</v>
      </c>
      <c r="M65" s="456">
        <f t="shared" si="15"/>
        <v>9.2681331015106316</v>
      </c>
      <c r="N65" s="456">
        <f t="shared" si="15"/>
        <v>10.10944427814144</v>
      </c>
      <c r="O65" s="456">
        <f t="shared" si="15"/>
        <v>11.091024559422241</v>
      </c>
    </row>
    <row r="66" spans="1:15" x14ac:dyDescent="0.35">
      <c r="A66" s="72" t="s">
        <v>1348</v>
      </c>
      <c r="B66" s="103"/>
      <c r="C66" s="103"/>
      <c r="D66" s="452">
        <f>IF(D$6&gt;=Inputs!$E$9,Inputs!$E$304,0)</f>
        <v>100000</v>
      </c>
      <c r="E66" s="452">
        <f>IF(E$6&gt;=Inputs!$E$9,Inputs!$E$304,0)</f>
        <v>100000</v>
      </c>
      <c r="F66" s="452">
        <f>IF(F$6&gt;=Inputs!$E$9,Inputs!$E$304,0)</f>
        <v>100000</v>
      </c>
      <c r="G66" s="452">
        <f>IF(G$6&gt;=Inputs!$E$9,Inputs!$E$304,0)</f>
        <v>100000</v>
      </c>
      <c r="H66" s="452">
        <f>IF(H$6&gt;=Inputs!$E$9,Inputs!$E$304,0)</f>
        <v>100000</v>
      </c>
      <c r="I66" s="452">
        <f>IF(I$6&gt;=Inputs!$E$9,Inputs!$E$304,0)</f>
        <v>100000</v>
      </c>
      <c r="J66" s="452">
        <f>IF(J$6&gt;=Inputs!$E$9,Inputs!$E$304,0)</f>
        <v>100000</v>
      </c>
      <c r="K66" s="452">
        <f>IF(K$6&gt;=Inputs!$E$9,Inputs!$E$304,0)</f>
        <v>100000</v>
      </c>
      <c r="L66" s="452">
        <f>IF(L$6&gt;=Inputs!$E$9,Inputs!$E$304,0)</f>
        <v>100000</v>
      </c>
      <c r="M66" s="452">
        <f>IF(M$6&gt;=Inputs!$E$9,Inputs!$E$304,0)</f>
        <v>100000</v>
      </c>
      <c r="N66" s="452">
        <f>IF(N$6&gt;=Inputs!$E$9,Inputs!$E$304,0)</f>
        <v>100000</v>
      </c>
      <c r="O66" s="452">
        <f>IF(O$6&gt;=Inputs!$E$9,Inputs!$E$304,0)</f>
        <v>100000</v>
      </c>
    </row>
    <row r="67" spans="1:15" x14ac:dyDescent="0.35">
      <c r="A67" s="72" t="s">
        <v>1349</v>
      </c>
      <c r="B67" s="103"/>
      <c r="C67" s="103"/>
      <c r="D67" s="452">
        <f t="shared" ref="D67:O67" si="16">MAX(0,D66-D37)</f>
        <v>100000</v>
      </c>
      <c r="E67" s="452">
        <f t="shared" si="16"/>
        <v>0</v>
      </c>
      <c r="F67" s="452">
        <f t="shared" si="16"/>
        <v>0</v>
      </c>
      <c r="G67" s="452">
        <f t="shared" si="16"/>
        <v>1331018.2583200522</v>
      </c>
      <c r="H67" s="452">
        <f t="shared" si="16"/>
        <v>496007.98746345146</v>
      </c>
      <c r="I67" s="452">
        <f t="shared" si="16"/>
        <v>0</v>
      </c>
      <c r="J67" s="452">
        <f t="shared" si="16"/>
        <v>0</v>
      </c>
      <c r="K67" s="452">
        <f t="shared" si="16"/>
        <v>0</v>
      </c>
      <c r="L67" s="452">
        <f t="shared" si="16"/>
        <v>0</v>
      </c>
      <c r="M67" s="452">
        <f t="shared" si="16"/>
        <v>0</v>
      </c>
      <c r="N67" s="452">
        <f t="shared" si="16"/>
        <v>0</v>
      </c>
      <c r="O67" s="452">
        <f t="shared" si="16"/>
        <v>0</v>
      </c>
    </row>
    <row r="68" spans="1:15" x14ac:dyDescent="0.35">
      <c r="A68" s="72" t="s">
        <v>1350</v>
      </c>
      <c r="B68" s="103"/>
      <c r="C68" s="103"/>
      <c r="D68" s="452" t="str">
        <f t="shared" ref="D68:O68" si="17">IF(D67&gt;0,"Shortfall",IF(D37&lt;0,"Negative Cash","OK"))</f>
        <v>Shortfall</v>
      </c>
      <c r="E68" s="452" t="str">
        <f t="shared" si="17"/>
        <v>OK</v>
      </c>
      <c r="F68" s="452" t="str">
        <f t="shared" si="17"/>
        <v>OK</v>
      </c>
      <c r="G68" s="452" t="str">
        <f t="shared" si="17"/>
        <v>Shortfall</v>
      </c>
      <c r="H68" s="452" t="str">
        <f t="shared" si="17"/>
        <v>Shortfall</v>
      </c>
      <c r="I68" s="452" t="str">
        <f t="shared" si="17"/>
        <v>OK</v>
      </c>
      <c r="J68" s="452" t="str">
        <f t="shared" si="17"/>
        <v>OK</v>
      </c>
      <c r="K68" s="452" t="str">
        <f t="shared" si="17"/>
        <v>OK</v>
      </c>
      <c r="L68" s="452" t="str">
        <f t="shared" si="17"/>
        <v>OK</v>
      </c>
      <c r="M68" s="452" t="str">
        <f t="shared" si="17"/>
        <v>OK</v>
      </c>
      <c r="N68" s="452" t="str">
        <f t="shared" si="17"/>
        <v>OK</v>
      </c>
      <c r="O68" s="452" t="str">
        <f t="shared" si="17"/>
        <v>OK</v>
      </c>
    </row>
    <row r="69" spans="1:15" x14ac:dyDescent="0.35">
      <c r="A69" s="72"/>
      <c r="B69" s="102"/>
      <c r="C69" s="102"/>
      <c r="D69" s="452"/>
      <c r="E69" s="452"/>
      <c r="F69" s="452"/>
      <c r="G69" s="452"/>
      <c r="H69" s="452"/>
      <c r="I69" s="452"/>
      <c r="J69" s="452"/>
      <c r="K69" s="452"/>
      <c r="L69" s="452"/>
      <c r="M69" s="452"/>
      <c r="N69" s="452"/>
      <c r="O69" s="452"/>
    </row>
    <row r="70" spans="1:15" x14ac:dyDescent="0.35">
      <c r="A70" s="72" t="s">
        <v>1351</v>
      </c>
      <c r="B70" s="103"/>
      <c r="C70" s="103"/>
      <c r="D70" s="452">
        <f>IFERROR(Debt!H49,0)</f>
        <v>0</v>
      </c>
      <c r="E70" s="452">
        <f>IFERROR(Debt!I49,0)</f>
        <v>0</v>
      </c>
      <c r="F70" s="452">
        <f>IFERROR(Debt!J49,0)</f>
        <v>1024500</v>
      </c>
      <c r="G70" s="452">
        <f>IFERROR(Debt!K49,0)</f>
        <v>1024500</v>
      </c>
      <c r="H70" s="452">
        <f>IFERROR(Debt!L49,0)</f>
        <v>1024500</v>
      </c>
      <c r="I70" s="452">
        <f>IFERROR(Debt!M49,0)</f>
        <v>1024500</v>
      </c>
      <c r="J70" s="452">
        <f>IFERROR(Debt!N49,0)</f>
        <v>1024500</v>
      </c>
      <c r="K70" s="452">
        <f>IFERROR(Debt!O49,0)</f>
        <v>1024500</v>
      </c>
      <c r="L70" s="452">
        <f>IFERROR(Debt!P49,0)</f>
        <v>1024500</v>
      </c>
      <c r="M70" s="452">
        <f>IFERROR(Debt!Q49,0)</f>
        <v>1024500</v>
      </c>
      <c r="N70" s="452">
        <f>IFERROR(Debt!R49,0)</f>
        <v>1024500</v>
      </c>
      <c r="O70" s="452">
        <f>IFERROR(Debt!S49,0)</f>
        <v>0</v>
      </c>
    </row>
    <row r="71" spans="1:15" x14ac:dyDescent="0.35">
      <c r="A71" s="72" t="s">
        <v>1352</v>
      </c>
      <c r="B71" s="103"/>
      <c r="C71" s="103"/>
      <c r="D71" s="452">
        <f>IFERROR(Debt!H50,0)</f>
        <v>0</v>
      </c>
      <c r="E71" s="452">
        <f>IFERROR(Debt!I50,0)</f>
        <v>0</v>
      </c>
      <c r="F71" s="452">
        <f>IFERROR(Debt!J50,0)</f>
        <v>8196000</v>
      </c>
      <c r="G71" s="452">
        <f>IFERROR(Debt!K50,0)</f>
        <v>7171500</v>
      </c>
      <c r="H71" s="452">
        <f>IFERROR(Debt!L50,0)</f>
        <v>6147000</v>
      </c>
      <c r="I71" s="452">
        <f>IFERROR(Debt!M50,0)</f>
        <v>5122500</v>
      </c>
      <c r="J71" s="452">
        <f>IFERROR(Debt!N50,0)</f>
        <v>4098000</v>
      </c>
      <c r="K71" s="452">
        <f>IFERROR(Debt!O50,0)</f>
        <v>3073500</v>
      </c>
      <c r="L71" s="452">
        <f>IFERROR(Debt!P50,0)</f>
        <v>2049000</v>
      </c>
      <c r="M71" s="452">
        <f>IFERROR(Debt!Q50,0)</f>
        <v>1024500</v>
      </c>
      <c r="N71" s="452">
        <f>IFERROR(Debt!R50,0)</f>
        <v>0</v>
      </c>
      <c r="O71" s="452">
        <f>IFERROR(Debt!S50,0)</f>
        <v>0</v>
      </c>
    </row>
    <row r="72" spans="1:15" x14ac:dyDescent="0.35">
      <c r="A72" s="457"/>
      <c r="B72" s="331"/>
      <c r="C72" s="331"/>
      <c r="D72" s="452"/>
      <c r="E72" s="452"/>
      <c r="F72" s="452"/>
      <c r="G72" s="452"/>
      <c r="H72" s="452"/>
      <c r="I72" s="452"/>
      <c r="J72" s="452"/>
      <c r="K72" s="452"/>
      <c r="L72" s="452"/>
      <c r="M72" s="452"/>
      <c r="N72" s="452"/>
      <c r="O72" s="452"/>
    </row>
    <row r="73" spans="1:15" x14ac:dyDescent="0.35">
      <c r="A73" s="329"/>
      <c r="B73" s="329"/>
      <c r="C73" s="329"/>
      <c r="D73" s="243"/>
      <c r="E73" s="243"/>
      <c r="F73" s="243"/>
      <c r="G73" s="243"/>
      <c r="H73" s="243"/>
      <c r="I73" s="243"/>
      <c r="J73" s="243"/>
      <c r="K73" s="243"/>
      <c r="L73" s="243"/>
      <c r="M73" s="243"/>
      <c r="N73" s="243"/>
      <c r="O73" s="243"/>
    </row>
    <row r="74" spans="1:15" x14ac:dyDescent="0.35">
      <c r="A74" s="329"/>
      <c r="B74" s="329"/>
      <c r="C74" s="329"/>
      <c r="D74" s="243"/>
      <c r="E74" s="243"/>
      <c r="F74" s="243"/>
      <c r="G74" s="243"/>
      <c r="H74" s="243"/>
      <c r="I74" s="243"/>
      <c r="J74" s="243"/>
      <c r="K74" s="243"/>
      <c r="L74" s="243"/>
      <c r="M74" s="243"/>
      <c r="N74" s="243"/>
      <c r="O74" s="243"/>
    </row>
    <row r="75" spans="1:15" x14ac:dyDescent="0.35">
      <c r="A75" s="329"/>
      <c r="B75" s="329"/>
      <c r="C75" s="329"/>
      <c r="D75" s="243"/>
      <c r="E75" s="243"/>
      <c r="F75" s="243"/>
      <c r="G75" s="243"/>
      <c r="H75" s="243"/>
      <c r="I75" s="243"/>
      <c r="J75" s="243"/>
      <c r="K75" s="243"/>
      <c r="L75" s="243"/>
      <c r="M75" s="243"/>
      <c r="N75" s="243"/>
      <c r="O75" s="243"/>
    </row>
    <row r="76" spans="1:15" x14ac:dyDescent="0.35">
      <c r="A76" s="329"/>
      <c r="B76" s="329"/>
      <c r="C76" s="329"/>
      <c r="D76" s="243"/>
      <c r="E76" s="243"/>
      <c r="F76" s="243"/>
      <c r="G76" s="243"/>
      <c r="H76" s="243"/>
      <c r="I76" s="243"/>
      <c r="J76" s="243"/>
      <c r="K76" s="243"/>
      <c r="L76" s="243"/>
      <c r="M76" s="243"/>
      <c r="N76" s="243"/>
      <c r="O76" s="243"/>
    </row>
    <row r="77" spans="1:15" x14ac:dyDescent="0.35">
      <c r="A77" s="329"/>
      <c r="B77" s="329"/>
      <c r="C77" s="329"/>
      <c r="D77" s="243"/>
      <c r="E77" s="243"/>
      <c r="F77" s="243"/>
      <c r="G77" s="243"/>
      <c r="H77" s="243"/>
      <c r="I77" s="243"/>
      <c r="J77" s="243"/>
      <c r="K77" s="243"/>
      <c r="L77" s="243"/>
      <c r="M77" s="243"/>
      <c r="N77" s="243"/>
      <c r="O77" s="243"/>
    </row>
    <row r="78" spans="1:15" x14ac:dyDescent="0.35">
      <c r="A78" s="329"/>
      <c r="B78" s="329"/>
      <c r="C78" s="329"/>
      <c r="D78" s="243"/>
      <c r="E78" s="243"/>
      <c r="F78" s="243"/>
      <c r="G78" s="243"/>
      <c r="H78" s="243"/>
      <c r="I78" s="243"/>
      <c r="J78" s="243"/>
      <c r="K78" s="243"/>
      <c r="L78" s="243"/>
      <c r="M78" s="243"/>
      <c r="N78" s="243"/>
      <c r="O78" s="243"/>
    </row>
    <row r="79" spans="1:15" x14ac:dyDescent="0.35">
      <c r="A79" s="329" t="s">
        <v>262</v>
      </c>
      <c r="B79" s="329"/>
      <c r="C79" s="329"/>
      <c r="D79" s="453">
        <f t="shared" ref="D79:N79" si="18">D26+D63-D99+D35</f>
        <v>0</v>
      </c>
      <c r="E79" s="453">
        <f t="shared" si="18"/>
        <v>-780000</v>
      </c>
      <c r="F79" s="453">
        <f t="shared" si="18"/>
        <v>0</v>
      </c>
      <c r="G79" s="453">
        <f t="shared" si="18"/>
        <v>-4057116.5212851996</v>
      </c>
      <c r="H79" s="453">
        <f t="shared" si="18"/>
        <v>14391845.461630303</v>
      </c>
      <c r="I79" s="453">
        <f t="shared" si="18"/>
        <v>15254817.502587093</v>
      </c>
      <c r="J79" s="453">
        <f t="shared" si="18"/>
        <v>15737517.035848906</v>
      </c>
      <c r="K79" s="453">
        <f t="shared" si="18"/>
        <v>16043013.887742903</v>
      </c>
      <c r="L79" s="453">
        <f t="shared" si="18"/>
        <v>15960680.948233197</v>
      </c>
      <c r="M79" s="453">
        <f t="shared" si="18"/>
        <v>16195914.826320861</v>
      </c>
      <c r="N79" s="453">
        <f t="shared" si="18"/>
        <v>16527354.425724652</v>
      </c>
      <c r="O79" s="453">
        <f>O26+O63-O99+O35+O23</f>
        <v>152023325.42454016</v>
      </c>
    </row>
    <row r="80" spans="1:15" x14ac:dyDescent="0.35">
      <c r="A80" s="329" t="s">
        <v>1353</v>
      </c>
      <c r="B80" s="329"/>
      <c r="C80" s="329"/>
      <c r="D80" s="453">
        <f t="shared" ref="D80:N80" si="19">-D16</f>
        <v>0</v>
      </c>
      <c r="E80" s="454">
        <f t="shared" si="19"/>
        <v>-2487500.0000000005</v>
      </c>
      <c r="F80" s="454">
        <f t="shared" si="19"/>
        <v>-5122500</v>
      </c>
      <c r="G80" s="454">
        <f t="shared" si="19"/>
        <v>0</v>
      </c>
      <c r="H80" s="454">
        <f t="shared" si="19"/>
        <v>0</v>
      </c>
      <c r="I80" s="454">
        <f t="shared" si="19"/>
        <v>0</v>
      </c>
      <c r="J80" s="454">
        <f t="shared" si="19"/>
        <v>0</v>
      </c>
      <c r="K80" s="454">
        <f t="shared" si="19"/>
        <v>0</v>
      </c>
      <c r="L80" s="454">
        <f t="shared" si="19"/>
        <v>0</v>
      </c>
      <c r="M80" s="454">
        <f t="shared" si="19"/>
        <v>0</v>
      </c>
      <c r="N80" s="454">
        <f t="shared" si="19"/>
        <v>0</v>
      </c>
      <c r="O80" s="453">
        <f>-O16+O23</f>
        <v>135150221.27900428</v>
      </c>
    </row>
    <row r="86" spans="1:15" x14ac:dyDescent="0.35">
      <c r="A86" s="329" t="s">
        <v>1354</v>
      </c>
      <c r="B86" s="329"/>
      <c r="C86" s="329"/>
      <c r="D86" s="329"/>
      <c r="E86" s="329"/>
      <c r="F86" s="329"/>
      <c r="G86" s="329"/>
      <c r="H86" s="329"/>
      <c r="I86" s="329"/>
      <c r="J86" s="329"/>
      <c r="K86" s="329"/>
      <c r="L86" s="329"/>
      <c r="M86" s="329"/>
      <c r="N86" s="329"/>
      <c r="O86" s="329"/>
    </row>
    <row r="87" spans="1:15" x14ac:dyDescent="0.35">
      <c r="A87" s="329" t="s">
        <v>464</v>
      </c>
      <c r="B87" s="329"/>
      <c r="C87" s="329"/>
      <c r="D87" s="370" t="str">
        <f t="shared" ref="D87:O87" si="20">D7</f>
        <v>FY25</v>
      </c>
      <c r="E87" s="370" t="str">
        <f t="shared" si="20"/>
        <v>FY26</v>
      </c>
      <c r="F87" s="370" t="str">
        <f t="shared" si="20"/>
        <v>FY27</v>
      </c>
      <c r="G87" s="370" t="str">
        <f t="shared" si="20"/>
        <v>FY28</v>
      </c>
      <c r="H87" s="370" t="str">
        <f t="shared" si="20"/>
        <v>FY29</v>
      </c>
      <c r="I87" s="370" t="str">
        <f t="shared" si="20"/>
        <v>FY30</v>
      </c>
      <c r="J87" s="370" t="str">
        <f t="shared" si="20"/>
        <v>FY31</v>
      </c>
      <c r="K87" s="370" t="str">
        <f t="shared" si="20"/>
        <v>FY32</v>
      </c>
      <c r="L87" s="370" t="str">
        <f t="shared" si="20"/>
        <v>FY33</v>
      </c>
      <c r="M87" s="370" t="str">
        <f t="shared" si="20"/>
        <v>FY34</v>
      </c>
      <c r="N87" s="370" t="str">
        <f t="shared" si="20"/>
        <v>FY35</v>
      </c>
      <c r="O87" s="370" t="str">
        <f t="shared" si="20"/>
        <v>FY36</v>
      </c>
    </row>
    <row r="89" spans="1:15" x14ac:dyDescent="0.35">
      <c r="A89" s="329" t="s">
        <v>1355</v>
      </c>
      <c r="B89" s="329"/>
      <c r="C89" s="329"/>
      <c r="D89" s="260">
        <v>0</v>
      </c>
      <c r="E89" s="260">
        <f t="shared" ref="E89:O89" si="21">D95</f>
        <v>0</v>
      </c>
      <c r="F89" s="260">
        <f t="shared" si="21"/>
        <v>2487500.0000000005</v>
      </c>
      <c r="G89" s="260">
        <f t="shared" si="21"/>
        <v>7610000</v>
      </c>
      <c r="H89" s="260">
        <f t="shared" si="21"/>
        <v>7610000</v>
      </c>
      <c r="I89" s="260">
        <f t="shared" si="21"/>
        <v>7610000</v>
      </c>
      <c r="J89" s="260">
        <f t="shared" si="21"/>
        <v>7610000</v>
      </c>
      <c r="K89" s="260">
        <f t="shared" si="21"/>
        <v>7610000</v>
      </c>
      <c r="L89" s="260">
        <f t="shared" si="21"/>
        <v>7610000</v>
      </c>
      <c r="M89" s="260">
        <f t="shared" si="21"/>
        <v>7610000</v>
      </c>
      <c r="N89" s="260">
        <f t="shared" si="21"/>
        <v>7610000</v>
      </c>
      <c r="O89" s="260">
        <f t="shared" si="21"/>
        <v>7610000</v>
      </c>
    </row>
    <row r="90" spans="1:15" x14ac:dyDescent="0.35">
      <c r="A90" s="329" t="s">
        <v>1356</v>
      </c>
      <c r="B90" s="329"/>
      <c r="C90" s="329"/>
      <c r="D90" s="260">
        <f t="shared" ref="D90:O90" si="22">D13</f>
        <v>0</v>
      </c>
      <c r="E90" s="260">
        <f t="shared" si="22"/>
        <v>2487500.0000000005</v>
      </c>
      <c r="F90" s="260">
        <f t="shared" si="22"/>
        <v>0</v>
      </c>
      <c r="G90" s="260">
        <f t="shared" si="22"/>
        <v>0</v>
      </c>
      <c r="H90" s="260">
        <f t="shared" si="22"/>
        <v>0</v>
      </c>
      <c r="I90" s="260">
        <f t="shared" si="22"/>
        <v>0</v>
      </c>
      <c r="J90" s="260">
        <f t="shared" si="22"/>
        <v>0</v>
      </c>
      <c r="K90" s="260">
        <f t="shared" si="22"/>
        <v>0</v>
      </c>
      <c r="L90" s="260">
        <f t="shared" si="22"/>
        <v>0</v>
      </c>
      <c r="M90" s="260">
        <f t="shared" si="22"/>
        <v>0</v>
      </c>
      <c r="N90" s="260">
        <f t="shared" si="22"/>
        <v>0</v>
      </c>
      <c r="O90" s="260">
        <f t="shared" si="22"/>
        <v>0</v>
      </c>
    </row>
    <row r="91" spans="1:15" x14ac:dyDescent="0.35">
      <c r="A91" s="329" t="s">
        <v>1357</v>
      </c>
      <c r="B91" s="329"/>
      <c r="C91" s="329"/>
      <c r="D91" s="260">
        <f t="shared" ref="D91:O91" si="23">D14</f>
        <v>0</v>
      </c>
      <c r="E91" s="260">
        <f t="shared" si="23"/>
        <v>0</v>
      </c>
      <c r="F91" s="260">
        <f t="shared" si="23"/>
        <v>5122500</v>
      </c>
      <c r="G91" s="260">
        <f t="shared" si="23"/>
        <v>0</v>
      </c>
      <c r="H91" s="260">
        <f t="shared" si="23"/>
        <v>0</v>
      </c>
      <c r="I91" s="260">
        <f t="shared" si="23"/>
        <v>0</v>
      </c>
      <c r="J91" s="260">
        <f t="shared" si="23"/>
        <v>0</v>
      </c>
      <c r="K91" s="260">
        <f t="shared" si="23"/>
        <v>0</v>
      </c>
      <c r="L91" s="260">
        <f t="shared" si="23"/>
        <v>0</v>
      </c>
      <c r="M91" s="260">
        <f t="shared" si="23"/>
        <v>0</v>
      </c>
      <c r="N91" s="260">
        <f t="shared" si="23"/>
        <v>0</v>
      </c>
      <c r="O91" s="260">
        <f t="shared" si="23"/>
        <v>0</v>
      </c>
    </row>
    <row r="92" spans="1:15" x14ac:dyDescent="0.35">
      <c r="A92" s="329" t="s">
        <v>1358</v>
      </c>
      <c r="B92" s="329"/>
      <c r="C92" s="329"/>
      <c r="D92" s="260">
        <f t="shared" ref="D92:O92" si="24">D15</f>
        <v>0</v>
      </c>
      <c r="E92" s="260">
        <f t="shared" si="24"/>
        <v>0</v>
      </c>
      <c r="F92" s="260">
        <f t="shared" si="24"/>
        <v>0</v>
      </c>
      <c r="G92" s="260">
        <f t="shared" si="24"/>
        <v>0</v>
      </c>
      <c r="H92" s="260">
        <f t="shared" si="24"/>
        <v>0</v>
      </c>
      <c r="I92" s="260">
        <f t="shared" si="24"/>
        <v>0</v>
      </c>
      <c r="J92" s="260">
        <f t="shared" si="24"/>
        <v>0</v>
      </c>
      <c r="K92" s="260">
        <f t="shared" si="24"/>
        <v>0</v>
      </c>
      <c r="L92" s="260">
        <f t="shared" si="24"/>
        <v>0</v>
      </c>
      <c r="M92" s="260">
        <f t="shared" si="24"/>
        <v>0</v>
      </c>
      <c r="N92" s="260">
        <f t="shared" si="24"/>
        <v>0</v>
      </c>
      <c r="O92" s="260">
        <f t="shared" si="24"/>
        <v>0</v>
      </c>
    </row>
    <row r="93" spans="1:15" x14ac:dyDescent="0.35">
      <c r="A93" s="329" t="s">
        <v>1359</v>
      </c>
      <c r="B93" s="329"/>
      <c r="C93" s="329"/>
      <c r="D93" s="260">
        <f t="shared" ref="D93:O93" si="25">D90+D91+D92</f>
        <v>0</v>
      </c>
      <c r="E93" s="260">
        <f t="shared" si="25"/>
        <v>2487500.0000000005</v>
      </c>
      <c r="F93" s="260">
        <f t="shared" si="25"/>
        <v>5122500</v>
      </c>
      <c r="G93" s="260">
        <f t="shared" si="25"/>
        <v>0</v>
      </c>
      <c r="H93" s="260">
        <f t="shared" si="25"/>
        <v>0</v>
      </c>
      <c r="I93" s="260">
        <f t="shared" si="25"/>
        <v>0</v>
      </c>
      <c r="J93" s="260">
        <f t="shared" si="25"/>
        <v>0</v>
      </c>
      <c r="K93" s="260">
        <f t="shared" si="25"/>
        <v>0</v>
      </c>
      <c r="L93" s="260">
        <f t="shared" si="25"/>
        <v>0</v>
      </c>
      <c r="M93" s="260">
        <f t="shared" si="25"/>
        <v>0</v>
      </c>
      <c r="N93" s="260">
        <f t="shared" si="25"/>
        <v>0</v>
      </c>
      <c r="O93" s="260">
        <f t="shared" si="25"/>
        <v>0</v>
      </c>
    </row>
    <row r="94" spans="1:15" x14ac:dyDescent="0.35">
      <c r="A94" s="329" t="s">
        <v>1360</v>
      </c>
      <c r="B94" s="329"/>
      <c r="C94" s="329"/>
      <c r="D94" s="260">
        <v>0</v>
      </c>
      <c r="E94" s="260">
        <v>0</v>
      </c>
      <c r="F94" s="260">
        <v>0</v>
      </c>
      <c r="G94" s="260">
        <v>0</v>
      </c>
      <c r="H94" s="260">
        <v>0</v>
      </c>
      <c r="I94" s="260">
        <v>0</v>
      </c>
      <c r="J94" s="260">
        <v>0</v>
      </c>
      <c r="K94" s="260">
        <v>0</v>
      </c>
      <c r="L94" s="260">
        <v>0</v>
      </c>
      <c r="M94" s="260">
        <v>0</v>
      </c>
      <c r="N94" s="260">
        <v>0</v>
      </c>
      <c r="O94" s="260">
        <v>0</v>
      </c>
    </row>
    <row r="95" spans="1:15" x14ac:dyDescent="0.35">
      <c r="A95" s="329" t="s">
        <v>1361</v>
      </c>
      <c r="B95" s="329"/>
      <c r="C95" s="329"/>
      <c r="D95" s="260">
        <f t="shared" ref="D95:O95" si="26">D89+D93+D94</f>
        <v>0</v>
      </c>
      <c r="E95" s="260">
        <f t="shared" si="26"/>
        <v>2487500.0000000005</v>
      </c>
      <c r="F95" s="260">
        <f t="shared" si="26"/>
        <v>7610000</v>
      </c>
      <c r="G95" s="260">
        <f t="shared" si="26"/>
        <v>7610000</v>
      </c>
      <c r="H95" s="260">
        <f t="shared" si="26"/>
        <v>7610000</v>
      </c>
      <c r="I95" s="260">
        <f t="shared" si="26"/>
        <v>7610000</v>
      </c>
      <c r="J95" s="260">
        <f t="shared" si="26"/>
        <v>7610000</v>
      </c>
      <c r="K95" s="260">
        <f t="shared" si="26"/>
        <v>7610000</v>
      </c>
      <c r="L95" s="260">
        <f t="shared" si="26"/>
        <v>7610000</v>
      </c>
      <c r="M95" s="260">
        <f t="shared" si="26"/>
        <v>7610000</v>
      </c>
      <c r="N95" s="260">
        <f t="shared" si="26"/>
        <v>7610000</v>
      </c>
      <c r="O95" s="260">
        <f t="shared" si="26"/>
        <v>7610000</v>
      </c>
    </row>
    <row r="97" spans="1:15" x14ac:dyDescent="0.35">
      <c r="A97" s="329" t="s">
        <v>1362</v>
      </c>
      <c r="B97" s="329"/>
      <c r="C97" s="329"/>
      <c r="D97" s="260">
        <f t="shared" ref="D97:O97" si="27">D95</f>
        <v>0</v>
      </c>
      <c r="E97" s="260">
        <f t="shared" si="27"/>
        <v>2487500.0000000005</v>
      </c>
      <c r="F97" s="260">
        <f t="shared" si="27"/>
        <v>7610000</v>
      </c>
      <c r="G97" s="260">
        <f t="shared" si="27"/>
        <v>7610000</v>
      </c>
      <c r="H97" s="260">
        <f t="shared" si="27"/>
        <v>7610000</v>
      </c>
      <c r="I97" s="260">
        <f t="shared" si="27"/>
        <v>7610000</v>
      </c>
      <c r="J97" s="260">
        <f t="shared" si="27"/>
        <v>7610000</v>
      </c>
      <c r="K97" s="260">
        <f t="shared" si="27"/>
        <v>7610000</v>
      </c>
      <c r="L97" s="260">
        <f t="shared" si="27"/>
        <v>7610000</v>
      </c>
      <c r="M97" s="260">
        <f t="shared" si="27"/>
        <v>7610000</v>
      </c>
      <c r="N97" s="260">
        <f t="shared" si="27"/>
        <v>7610000</v>
      </c>
      <c r="O97" s="260">
        <f t="shared" si="27"/>
        <v>7610000</v>
      </c>
    </row>
  </sheetData>
  <pageMargins left="0.25" right="0.25" top="0.35" bottom="0.35" header="0.2" footer="0.2"/>
  <pageSetup fitToHeight="0"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FF00"/>
    <pageSetUpPr fitToPage="1"/>
  </sheetPr>
  <dimension ref="A2:XFC61"/>
  <sheetViews>
    <sheetView showGridLines="0" workbookViewId="0">
      <selection activeCell="B51" sqref="B51"/>
    </sheetView>
  </sheetViews>
  <sheetFormatPr defaultRowHeight="14.5" x14ac:dyDescent="0.35"/>
  <cols>
    <col min="1" max="1" width="14.453125" customWidth="1"/>
    <col min="2" max="2" width="36.453125" customWidth="1"/>
    <col min="3" max="3" width="16" bestFit="1" customWidth="1"/>
    <col min="4" max="4" width="13" bestFit="1" customWidth="1"/>
    <col min="5" max="5" width="0.81640625" bestFit="1" customWidth="1"/>
    <col min="6" max="7" width="6.81640625" customWidth="1"/>
    <col min="8" max="9" width="10.1796875" bestFit="1" customWidth="1"/>
    <col min="10" max="10" width="13.81640625" bestFit="1" customWidth="1"/>
    <col min="11" max="14" width="12.81640625" bestFit="1" customWidth="1"/>
    <col min="15" max="19" width="10.1796875" bestFit="1" customWidth="1"/>
    <col min="20" max="20" width="12" customWidth="1"/>
    <col min="21" max="24" width="13" customWidth="1"/>
    <col min="26" max="16383" width="13" hidden="1" customWidth="1"/>
  </cols>
  <sheetData>
    <row r="2" spans="1:24" ht="16.5" customHeight="1" x14ac:dyDescent="0.35">
      <c r="A2" s="62" t="s">
        <v>10</v>
      </c>
      <c r="B2" s="62"/>
      <c r="C2" s="62"/>
      <c r="D2" s="62"/>
      <c r="E2" s="62"/>
      <c r="F2" s="62"/>
      <c r="G2" s="62"/>
      <c r="H2" s="62"/>
      <c r="I2" s="62"/>
      <c r="J2" s="62"/>
      <c r="K2" s="62"/>
      <c r="L2" s="62"/>
      <c r="M2" s="62"/>
      <c r="N2" s="62"/>
      <c r="O2" s="62"/>
      <c r="P2" s="62"/>
      <c r="Q2" s="62"/>
      <c r="R2" s="62"/>
      <c r="S2" s="62"/>
      <c r="T2" s="62"/>
      <c r="U2" s="62"/>
      <c r="V2" s="62"/>
      <c r="W2" s="62"/>
      <c r="X2" s="62"/>
    </row>
    <row r="3" spans="1:24" ht="24" customHeight="1" x14ac:dyDescent="0.35">
      <c r="A3" s="71"/>
      <c r="B3" s="75"/>
      <c r="C3" s="75"/>
      <c r="D3" s="75"/>
      <c r="E3" s="75"/>
      <c r="F3" s="75"/>
      <c r="G3" s="75"/>
      <c r="H3" s="75"/>
      <c r="I3" s="75"/>
      <c r="J3" s="75"/>
      <c r="K3" s="75"/>
      <c r="L3" s="75"/>
      <c r="M3" s="75"/>
      <c r="N3" s="75"/>
      <c r="O3" s="75"/>
      <c r="P3" s="75"/>
      <c r="Q3" s="75"/>
      <c r="R3" s="75"/>
      <c r="S3" s="75"/>
      <c r="T3" s="331"/>
      <c r="U3" s="331"/>
      <c r="V3" s="331"/>
      <c r="W3" s="331"/>
      <c r="X3" s="331"/>
    </row>
    <row r="4" spans="1:24" x14ac:dyDescent="0.35">
      <c r="A4" s="72"/>
      <c r="B4" s="72" t="s">
        <v>1363</v>
      </c>
      <c r="C4" s="72" t="s">
        <v>1364</v>
      </c>
      <c r="D4" s="72" t="s">
        <v>83</v>
      </c>
      <c r="E4" s="331"/>
      <c r="F4" s="331"/>
      <c r="G4" s="331"/>
      <c r="H4" s="331"/>
      <c r="I4" s="331"/>
      <c r="J4" s="331"/>
      <c r="K4" s="331"/>
      <c r="L4" s="331"/>
      <c r="M4" s="83"/>
      <c r="N4" s="83"/>
      <c r="O4" s="83"/>
      <c r="P4" s="83"/>
      <c r="Q4" s="83"/>
      <c r="R4" s="83"/>
      <c r="S4" s="83"/>
      <c r="T4" s="83"/>
      <c r="U4" s="83"/>
      <c r="V4" s="83"/>
      <c r="W4" s="83"/>
      <c r="X4" s="83"/>
    </row>
    <row r="5" spans="1:24" x14ac:dyDescent="0.35">
      <c r="A5" s="72"/>
      <c r="B5" s="329"/>
      <c r="C5" s="458">
        <f>Inputs!E54</f>
        <v>10245000</v>
      </c>
      <c r="D5" s="458">
        <f>Inputs!E63</f>
        <v>0</v>
      </c>
      <c r="E5" s="331"/>
      <c r="F5" s="331"/>
      <c r="G5" s="331"/>
      <c r="H5" s="331"/>
      <c r="I5" s="331"/>
      <c r="J5" s="459"/>
      <c r="K5" s="331"/>
      <c r="L5" s="331"/>
      <c r="M5" s="83"/>
      <c r="N5" s="83"/>
      <c r="O5" s="83"/>
      <c r="P5" s="83"/>
      <c r="Q5" s="83"/>
      <c r="R5" s="83"/>
      <c r="S5" s="83"/>
      <c r="T5" s="83"/>
      <c r="U5" s="83"/>
      <c r="V5" s="83"/>
      <c r="W5" s="83"/>
      <c r="X5" s="83"/>
    </row>
    <row r="6" spans="1:24" x14ac:dyDescent="0.35">
      <c r="A6" s="72"/>
      <c r="B6" s="460" t="str">
        <f>Inputs!D52</f>
        <v>Years</v>
      </c>
      <c r="C6" s="72">
        <f>Inputs!E52</f>
        <v>10</v>
      </c>
      <c r="D6" s="72">
        <f>Inputs!E61</f>
        <v>10</v>
      </c>
      <c r="E6" s="331"/>
      <c r="F6" s="331"/>
      <c r="G6" s="331"/>
      <c r="H6" s="331"/>
      <c r="I6" s="331"/>
      <c r="J6" s="331"/>
      <c r="K6" s="331"/>
      <c r="L6" s="331"/>
      <c r="M6" s="83"/>
      <c r="N6" s="83"/>
      <c r="O6" s="83"/>
      <c r="P6" s="83"/>
      <c r="Q6" s="83"/>
      <c r="R6" s="83"/>
      <c r="S6" s="83"/>
      <c r="T6" s="83"/>
      <c r="U6" s="83"/>
      <c r="V6" s="83"/>
      <c r="W6" s="83"/>
      <c r="X6" s="83"/>
    </row>
    <row r="7" spans="1:24" x14ac:dyDescent="0.35">
      <c r="A7" s="72"/>
      <c r="B7" s="460" t="str">
        <f>Inputs!D53</f>
        <v>%</v>
      </c>
      <c r="C7" s="154">
        <f>Inputs!E51</f>
        <v>0.08</v>
      </c>
      <c r="D7" s="154">
        <f>Inputs!E60</f>
        <v>0.12</v>
      </c>
      <c r="E7" s="331"/>
      <c r="F7" s="331"/>
      <c r="G7" s="331"/>
      <c r="H7" s="331"/>
      <c r="I7" s="331"/>
      <c r="J7" s="331"/>
      <c r="K7" s="331"/>
      <c r="L7" s="331"/>
      <c r="M7" s="83"/>
      <c r="N7" s="83"/>
      <c r="O7" s="83"/>
      <c r="P7" s="83"/>
      <c r="Q7" s="83"/>
      <c r="R7" s="83"/>
      <c r="S7" s="83"/>
      <c r="T7" s="83"/>
      <c r="U7" s="83"/>
      <c r="V7" s="83"/>
      <c r="W7" s="83"/>
      <c r="X7" s="83"/>
    </row>
    <row r="8" spans="1:24" x14ac:dyDescent="0.35">
      <c r="A8" s="72"/>
      <c r="B8" s="460" t="str">
        <f>Inputs!D54</f>
        <v>AUD</v>
      </c>
      <c r="C8" s="107" t="str">
        <f>Inputs!E56</f>
        <v>FY27</v>
      </c>
      <c r="D8" s="107" t="str">
        <f>Inputs!E65</f>
        <v>FY27</v>
      </c>
      <c r="E8" s="331"/>
      <c r="F8" s="331"/>
      <c r="G8" s="331"/>
      <c r="H8" s="331"/>
      <c r="I8" s="331"/>
      <c r="J8" s="331"/>
      <c r="K8" s="331"/>
      <c r="L8" s="331"/>
      <c r="M8" s="83"/>
      <c r="N8" s="83"/>
      <c r="O8" s="83"/>
      <c r="P8" s="83"/>
      <c r="Q8" s="83"/>
      <c r="R8" s="83"/>
      <c r="S8" s="83"/>
      <c r="T8" s="83"/>
      <c r="U8" s="83"/>
      <c r="V8" s="83"/>
      <c r="W8" s="83"/>
      <c r="X8" s="83"/>
    </row>
    <row r="9" spans="1:24" x14ac:dyDescent="0.35">
      <c r="A9" s="72"/>
      <c r="B9" s="460">
        <f>Inputs!D55</f>
        <v>0</v>
      </c>
      <c r="C9" s="72" t="s">
        <v>482</v>
      </c>
      <c r="D9" s="72" t="str">
        <f>Inputs!$G$61</f>
        <v>5-year term</v>
      </c>
      <c r="E9" s="331"/>
      <c r="F9" s="331"/>
      <c r="G9" s="331"/>
      <c r="H9" s="331"/>
      <c r="I9" s="331"/>
      <c r="J9" s="331"/>
      <c r="K9" s="331"/>
      <c r="L9" s="331"/>
      <c r="M9" s="83"/>
      <c r="N9" s="83"/>
      <c r="O9" s="83"/>
      <c r="P9" s="83"/>
      <c r="Q9" s="83"/>
      <c r="R9" s="83"/>
      <c r="S9" s="83"/>
      <c r="T9" s="83"/>
      <c r="U9" s="83"/>
      <c r="V9" s="83"/>
      <c r="W9" s="83"/>
      <c r="X9" s="83"/>
    </row>
    <row r="10" spans="1:24" x14ac:dyDescent="0.35">
      <c r="A10" s="77"/>
      <c r="B10" s="331"/>
      <c r="C10" s="331"/>
      <c r="D10" s="331"/>
      <c r="E10" s="331"/>
      <c r="F10" s="331"/>
      <c r="G10" s="331"/>
      <c r="H10" s="331"/>
      <c r="I10" s="331"/>
      <c r="J10" s="331"/>
      <c r="K10" s="331"/>
      <c r="L10" s="331"/>
      <c r="M10" s="83"/>
      <c r="N10" s="83"/>
      <c r="O10" s="83"/>
      <c r="P10" s="83"/>
      <c r="Q10" s="83"/>
      <c r="R10" s="83"/>
      <c r="S10" s="83"/>
      <c r="T10" s="83"/>
      <c r="U10" s="83"/>
      <c r="V10" s="83"/>
      <c r="W10" s="83"/>
      <c r="X10" s="83"/>
    </row>
    <row r="11" spans="1:24" x14ac:dyDescent="0.35">
      <c r="A11" s="77"/>
      <c r="B11" s="72" t="s">
        <v>1364</v>
      </c>
      <c r="C11" s="331"/>
      <c r="D11" s="331"/>
      <c r="E11" s="331"/>
      <c r="F11" s="331"/>
      <c r="G11" s="331"/>
      <c r="H11" s="331"/>
      <c r="I11" s="331"/>
      <c r="J11" s="331"/>
      <c r="K11" s="331"/>
      <c r="L11" s="331"/>
      <c r="M11" s="83"/>
      <c r="N11" s="83"/>
      <c r="O11" s="83"/>
      <c r="P11" s="83"/>
      <c r="Q11" s="83"/>
      <c r="R11" s="83"/>
      <c r="S11" s="83"/>
      <c r="T11" s="83"/>
      <c r="U11" s="83"/>
      <c r="V11" s="83"/>
      <c r="W11" s="83"/>
      <c r="X11" s="83"/>
    </row>
    <row r="12" spans="1:24" x14ac:dyDescent="0.35">
      <c r="A12" s="77"/>
      <c r="B12" s="331"/>
      <c r="C12" s="331"/>
      <c r="D12" s="331"/>
      <c r="E12" s="72" t="s">
        <v>13</v>
      </c>
      <c r="F12" s="331"/>
      <c r="G12" s="459"/>
      <c r="H12" s="105">
        <f>'P&amp;L'!H4</f>
        <v>45715</v>
      </c>
      <c r="I12" s="105">
        <f>'P&amp;L'!I4</f>
        <v>45839</v>
      </c>
      <c r="J12" s="105">
        <f>'P&amp;L'!J4</f>
        <v>46204</v>
      </c>
      <c r="K12" s="105">
        <f>'P&amp;L'!K4</f>
        <v>46569</v>
      </c>
      <c r="L12" s="105">
        <f>'P&amp;L'!L4</f>
        <v>46935</v>
      </c>
      <c r="M12" s="105">
        <f>'P&amp;L'!M4</f>
        <v>47300</v>
      </c>
      <c r="N12" s="105">
        <f>'P&amp;L'!N4</f>
        <v>47665</v>
      </c>
      <c r="O12" s="105">
        <f>'P&amp;L'!O4</f>
        <v>48030</v>
      </c>
      <c r="P12" s="105">
        <f>'P&amp;L'!P4</f>
        <v>48396</v>
      </c>
      <c r="Q12" s="105">
        <f>'P&amp;L'!Q4</f>
        <v>48761</v>
      </c>
      <c r="R12" s="105">
        <f>'P&amp;L'!R4</f>
        <v>49126</v>
      </c>
      <c r="S12" s="105">
        <f>'P&amp;L'!S4</f>
        <v>49491</v>
      </c>
      <c r="T12" s="105"/>
      <c r="U12" s="105"/>
      <c r="V12" s="107"/>
      <c r="W12" s="83"/>
      <c r="X12" s="83"/>
    </row>
    <row r="13" spans="1:24" x14ac:dyDescent="0.35">
      <c r="A13" s="77"/>
      <c r="B13" s="72" t="s">
        <v>1365</v>
      </c>
      <c r="C13" s="331"/>
      <c r="D13" s="331"/>
      <c r="E13" s="331"/>
      <c r="F13" s="331"/>
      <c r="G13" s="80"/>
      <c r="H13" s="105">
        <f>'P&amp;L'!H5</f>
        <v>45838</v>
      </c>
      <c r="I13" s="105">
        <f>'P&amp;L'!I5</f>
        <v>46203</v>
      </c>
      <c r="J13" s="105">
        <f>'P&amp;L'!J5</f>
        <v>46568</v>
      </c>
      <c r="K13" s="105">
        <f>'P&amp;L'!K5</f>
        <v>46934</v>
      </c>
      <c r="L13" s="105">
        <f>'P&amp;L'!L5</f>
        <v>47299</v>
      </c>
      <c r="M13" s="105">
        <f>'P&amp;L'!M5</f>
        <v>47664</v>
      </c>
      <c r="N13" s="105">
        <f>'P&amp;L'!N5</f>
        <v>48029</v>
      </c>
      <c r="O13" s="105">
        <f>'P&amp;L'!O5</f>
        <v>48395</v>
      </c>
      <c r="P13" s="105">
        <f>'P&amp;L'!P5</f>
        <v>48760</v>
      </c>
      <c r="Q13" s="105">
        <f>'P&amp;L'!Q5</f>
        <v>49125</v>
      </c>
      <c r="R13" s="105">
        <f>'P&amp;L'!R5</f>
        <v>49490</v>
      </c>
      <c r="S13" s="105">
        <f>'P&amp;L'!S5</f>
        <v>49856</v>
      </c>
      <c r="T13" s="105"/>
      <c r="U13" s="105"/>
      <c r="V13" s="107"/>
      <c r="W13" s="83"/>
      <c r="X13" s="83"/>
    </row>
    <row r="14" spans="1:24" x14ac:dyDescent="0.35">
      <c r="A14" s="77"/>
      <c r="B14" s="331"/>
      <c r="C14" s="331"/>
      <c r="D14" s="331"/>
      <c r="E14" s="331"/>
      <c r="F14" s="331"/>
      <c r="G14" s="80"/>
      <c r="H14" s="105" t="str">
        <f>'P&amp;L'!H6</f>
        <v>FY25</v>
      </c>
      <c r="I14" s="105" t="str">
        <f>'P&amp;L'!I6</f>
        <v>FY26</v>
      </c>
      <c r="J14" s="105" t="str">
        <f>'P&amp;L'!J6</f>
        <v>FY27</v>
      </c>
      <c r="K14" s="105" t="str">
        <f>'P&amp;L'!K6</f>
        <v>FY28</v>
      </c>
      <c r="L14" s="105" t="str">
        <f>'P&amp;L'!L6</f>
        <v>FY29</v>
      </c>
      <c r="M14" s="105" t="str">
        <f>'P&amp;L'!M6</f>
        <v>FY30</v>
      </c>
      <c r="N14" s="105" t="str">
        <f>'P&amp;L'!N6</f>
        <v>FY31</v>
      </c>
      <c r="O14" s="105" t="str">
        <f>'P&amp;L'!O6</f>
        <v>FY32</v>
      </c>
      <c r="P14" s="105" t="str">
        <f>'P&amp;L'!P6</f>
        <v>FY33</v>
      </c>
      <c r="Q14" s="105" t="str">
        <f>'P&amp;L'!Q6</f>
        <v>FY34</v>
      </c>
      <c r="R14" s="105" t="str">
        <f>'P&amp;L'!R6</f>
        <v>FY35</v>
      </c>
      <c r="S14" s="105" t="str">
        <f>'P&amp;L'!S6</f>
        <v>FY36</v>
      </c>
      <c r="T14" s="105"/>
      <c r="U14" s="105"/>
      <c r="V14" s="83"/>
      <c r="W14" s="83"/>
      <c r="X14" s="83"/>
    </row>
    <row r="15" spans="1:24" x14ac:dyDescent="0.35">
      <c r="A15" s="77"/>
      <c r="B15" s="72" t="s">
        <v>1366</v>
      </c>
      <c r="C15" s="331"/>
      <c r="D15" s="331"/>
      <c r="E15" s="331"/>
      <c r="F15" s="331"/>
      <c r="G15" s="80"/>
      <c r="H15" s="436">
        <f t="shared" ref="H15:S15" si="0">IF(AND(COLUMN(H14)&gt;=COLUMN($H$14)+MATCH($C$8,$H$14:$S$14,0)-1, COLUMN(H14)&lt;COLUMN($H$14)+MATCH($C$8,$H$14:$S$14,0)-1+$C$6), 1, 0)</f>
        <v>0</v>
      </c>
      <c r="I15" s="436">
        <f t="shared" si="0"/>
        <v>0</v>
      </c>
      <c r="J15" s="436">
        <f t="shared" si="0"/>
        <v>1</v>
      </c>
      <c r="K15" s="436">
        <f t="shared" si="0"/>
        <v>1</v>
      </c>
      <c r="L15" s="436">
        <f t="shared" si="0"/>
        <v>1</v>
      </c>
      <c r="M15" s="436">
        <f t="shared" si="0"/>
        <v>1</v>
      </c>
      <c r="N15" s="436">
        <f t="shared" si="0"/>
        <v>1</v>
      </c>
      <c r="O15" s="436">
        <f t="shared" si="0"/>
        <v>1</v>
      </c>
      <c r="P15" s="436">
        <f t="shared" si="0"/>
        <v>1</v>
      </c>
      <c r="Q15" s="436">
        <f t="shared" si="0"/>
        <v>1</v>
      </c>
      <c r="R15" s="436">
        <f t="shared" si="0"/>
        <v>1</v>
      </c>
      <c r="S15" s="436">
        <f t="shared" si="0"/>
        <v>1</v>
      </c>
      <c r="T15" s="436"/>
      <c r="U15" s="436"/>
      <c r="V15" s="83"/>
      <c r="W15" s="83"/>
      <c r="X15" s="83"/>
    </row>
    <row r="16" spans="1:24" x14ac:dyDescent="0.35">
      <c r="A16" s="77"/>
      <c r="B16" s="72" t="s">
        <v>1367</v>
      </c>
      <c r="C16" s="331"/>
      <c r="D16" s="331"/>
      <c r="E16" s="331"/>
      <c r="F16" s="331"/>
      <c r="G16" s="80"/>
      <c r="H16" s="436">
        <f t="shared" ref="H16:S16" si="1">IF(AND(H15=1, H24=0), 1, 0)</f>
        <v>0</v>
      </c>
      <c r="I16" s="436">
        <f t="shared" si="1"/>
        <v>0</v>
      </c>
      <c r="J16" s="436">
        <f t="shared" si="1"/>
        <v>0</v>
      </c>
      <c r="K16" s="436">
        <f t="shared" si="1"/>
        <v>0</v>
      </c>
      <c r="L16" s="436">
        <f t="shared" si="1"/>
        <v>0</v>
      </c>
      <c r="M16" s="436">
        <f t="shared" si="1"/>
        <v>0</v>
      </c>
      <c r="N16" s="436">
        <f t="shared" si="1"/>
        <v>0</v>
      </c>
      <c r="O16" s="436">
        <f t="shared" si="1"/>
        <v>0</v>
      </c>
      <c r="P16" s="436">
        <f t="shared" si="1"/>
        <v>0</v>
      </c>
      <c r="Q16" s="436">
        <f t="shared" si="1"/>
        <v>0</v>
      </c>
      <c r="R16" s="436">
        <f t="shared" si="1"/>
        <v>0</v>
      </c>
      <c r="S16" s="436">
        <f t="shared" si="1"/>
        <v>1</v>
      </c>
      <c r="T16" s="436"/>
      <c r="U16" s="436"/>
      <c r="V16" s="83"/>
      <c r="W16" s="83"/>
      <c r="X16" s="83"/>
    </row>
    <row r="17" spans="1:19" x14ac:dyDescent="0.35">
      <c r="A17" s="77"/>
      <c r="B17" s="72"/>
      <c r="C17" s="331"/>
      <c r="D17" s="331"/>
      <c r="E17" s="331"/>
      <c r="F17" s="331"/>
      <c r="G17" s="80"/>
      <c r="H17" s="436"/>
      <c r="I17" s="436"/>
      <c r="J17" s="436"/>
      <c r="K17" s="436"/>
      <c r="L17" s="436"/>
      <c r="M17" s="436"/>
      <c r="N17" s="436"/>
      <c r="O17" s="436"/>
      <c r="P17" s="436"/>
      <c r="Q17" s="436"/>
      <c r="R17" s="436"/>
      <c r="S17" s="436"/>
    </row>
    <row r="18" spans="1:19" x14ac:dyDescent="0.35">
      <c r="A18" s="77"/>
      <c r="B18" s="72" t="s">
        <v>1368</v>
      </c>
      <c r="C18" s="331"/>
      <c r="D18" s="331"/>
      <c r="E18" s="331"/>
      <c r="F18" s="331"/>
      <c r="G18" s="80"/>
      <c r="H18" s="436">
        <f>IF(H$15=0,0,IF(COLUMNS($H18:H18)=MATCH($C$8,$H$14:$S$14,0),0,INDEX($H$24:$S$24,COLUMNS($H18:H18)-1)))</f>
        <v>0</v>
      </c>
      <c r="I18" s="436">
        <f>IF(I$15=0,0,IF(COLUMNS($H18:I18)=MATCH($C$8,$H$14:$S$14,0),0,INDEX($H$24:$S$24,COLUMNS($H18:I18)-1)))</f>
        <v>0</v>
      </c>
      <c r="J18" s="436">
        <f>IF(J15=0,0,0)</f>
        <v>0</v>
      </c>
      <c r="K18" s="436">
        <f t="shared" ref="K18:S18" si="2">IF(K15=0,0,J24)</f>
        <v>9220500</v>
      </c>
      <c r="L18" s="436">
        <f t="shared" si="2"/>
        <v>8196000</v>
      </c>
      <c r="M18" s="436">
        <f t="shared" si="2"/>
        <v>7171500</v>
      </c>
      <c r="N18" s="436">
        <f t="shared" si="2"/>
        <v>6147000</v>
      </c>
      <c r="O18" s="436">
        <f t="shared" si="2"/>
        <v>5122500</v>
      </c>
      <c r="P18" s="436">
        <f t="shared" si="2"/>
        <v>4098000</v>
      </c>
      <c r="Q18" s="436">
        <f t="shared" si="2"/>
        <v>3073500</v>
      </c>
      <c r="R18" s="436">
        <f t="shared" si="2"/>
        <v>2049000</v>
      </c>
      <c r="S18" s="436">
        <f t="shared" si="2"/>
        <v>1024500</v>
      </c>
    </row>
    <row r="19" spans="1:19" x14ac:dyDescent="0.35">
      <c r="A19" s="77"/>
      <c r="B19" s="72" t="s">
        <v>1369</v>
      </c>
      <c r="C19" s="72" t="s">
        <v>482</v>
      </c>
      <c r="D19" s="82"/>
      <c r="E19" s="82"/>
      <c r="F19" s="82"/>
      <c r="G19" s="331"/>
      <c r="H19" s="436"/>
      <c r="I19" s="436"/>
      <c r="J19" s="436"/>
      <c r="K19" s="436"/>
      <c r="L19" s="436"/>
      <c r="M19" s="436"/>
      <c r="N19" s="436"/>
      <c r="O19" s="436"/>
      <c r="P19" s="436"/>
      <c r="Q19" s="436"/>
      <c r="R19" s="436"/>
      <c r="S19" s="436"/>
    </row>
    <row r="20" spans="1:19" x14ac:dyDescent="0.35">
      <c r="A20" s="77"/>
      <c r="B20" s="72" t="s">
        <v>1370</v>
      </c>
      <c r="C20" s="82"/>
      <c r="D20" s="82"/>
      <c r="E20" s="82"/>
      <c r="F20" s="82"/>
      <c r="G20" s="331"/>
      <c r="H20" s="436">
        <f>IF(H$15=0,0,IF(COLUMNS($H20:H20)=MATCH($C$8,$H$14:$S$14,0),$C$5,0))</f>
        <v>0</v>
      </c>
      <c r="I20" s="436">
        <f>IF(I$15=0,0,IF(COLUMNS($H20:I20)=MATCH($C$8,$H$14:$S$14,0),$C$5,0))</f>
        <v>0</v>
      </c>
      <c r="J20" s="436">
        <f>IF(J$15=0,0,IF(COLUMNS($H20:J20)=MATCH($C$8,$H$14:$S$14,0),$C$5,0))</f>
        <v>10245000</v>
      </c>
      <c r="K20" s="436">
        <f>IF(K$15=0,0,IF(COLUMNS($H20:K20)=MATCH($C$8,$H$14:$S$14,0),$C$5,0))</f>
        <v>0</v>
      </c>
      <c r="L20" s="436">
        <f>IF(L$15=0,0,IF(COLUMNS($H20:L20)=MATCH($C$8,$H$14:$S$14,0),$C$5,0))</f>
        <v>0</v>
      </c>
      <c r="M20" s="436">
        <f>IF(M$15=0,0,IF(COLUMNS($H20:M20)=MATCH($C$8,$H$14:$S$14,0),$C$5,0))</f>
        <v>0</v>
      </c>
      <c r="N20" s="436">
        <f>IF(N$15=0,0,IF(COLUMNS($H20:N20)=MATCH($C$8,$H$14:$S$14,0),$C$5,0))</f>
        <v>0</v>
      </c>
      <c r="O20" s="436">
        <f>IF(O$15=0,0,IF(COLUMNS($H20:O20)=MATCH($C$8,$H$14:$S$14,0),$C$5,0))</f>
        <v>0</v>
      </c>
      <c r="P20" s="436">
        <f>IF(P$15=0,0,IF(COLUMNS($H20:P20)=MATCH($C$8,$H$14:$S$14,0),$C$5,0))</f>
        <v>0</v>
      </c>
      <c r="Q20" s="436">
        <f>IF(Q$15=0,0,IF(COLUMNS($H20:Q20)=MATCH($C$8,$H$14:$S$14,0),$C$5,0))</f>
        <v>0</v>
      </c>
      <c r="R20" s="436">
        <f>IF(R$15=0,0,IF(COLUMNS($H20:R20)=MATCH($C$8,$H$14:$S$14,0),$C$5,0))</f>
        <v>0</v>
      </c>
      <c r="S20" s="436">
        <f>IF(S$15=0,0,IF(COLUMNS($H20:S20)=MATCH($C$8,$H$14:$S$14,0),$C$5,0))</f>
        <v>0</v>
      </c>
    </row>
    <row r="21" spans="1:19" x14ac:dyDescent="0.35">
      <c r="A21" s="77"/>
      <c r="B21" s="72" t="s">
        <v>1371</v>
      </c>
      <c r="C21" s="82"/>
      <c r="D21" s="82"/>
      <c r="E21" s="82"/>
      <c r="F21" s="82"/>
      <c r="G21" s="331"/>
      <c r="H21" s="436">
        <f>IF(H$15=0,0,IF(OR($C$9="Bullet",$C$9="Interest-only"),IF($C$9="Bullet",IF(H$16=1,H$18+H$20,0),0),IF(OR($C$9="Amortising",$C$9="Amortizing"),IF(H$15=1,IF((COLUMNS($H21:H21)-MATCH($C$8,$H$14:$S$14,0)+1)&lt;=ROUNDUP(RM_IO_Months/12,0),0,IF(H$16=1,H$18+H$20,MIN(H$18+H$20,IF(($C$7-ROUNDUP(RM_IO_Months/12,0))&lt;=0,H$18+H$20,$C$5/($C$7-ROUNDUP(RM_IO_Months/12,0)))))),0),0)))</f>
        <v>0</v>
      </c>
      <c r="I21" s="436">
        <f>IF(I$15=0,0,IF(OR($C$9="Bullet",$C$9="Interest-only"),IF($C$9="Bullet",IF(I$16=1,I$18+I$20,0),0),IF(OR($C$9="Amortising",$C$9="Amortizing"),IF(I$15=1,IF((COLUMNS($H21:I21)-MATCH($C$8,$H$14:$S$14,0)+1)&lt;=ROUNDUP(RM_IO_Months/12,0),0,IF(I$16=1,I$18+I$20,MIN(I$18+I$20,IF(($C$7-ROUNDUP(RM_IO_Months/12,0))&lt;=0,I$18+I$20,$C$5/($C$7-ROUNDUP(RM_IO_Months/12,0)))))),0),0)))</f>
        <v>0</v>
      </c>
      <c r="J21" s="436">
        <f t="shared" ref="J21:S21" si="3">IF(J15=0,0,$C$5/$C$6)</f>
        <v>1024500</v>
      </c>
      <c r="K21" s="436">
        <f t="shared" si="3"/>
        <v>1024500</v>
      </c>
      <c r="L21" s="436">
        <f t="shared" si="3"/>
        <v>1024500</v>
      </c>
      <c r="M21" s="436">
        <f t="shared" si="3"/>
        <v>1024500</v>
      </c>
      <c r="N21" s="436">
        <f t="shared" si="3"/>
        <v>1024500</v>
      </c>
      <c r="O21" s="436">
        <f t="shared" si="3"/>
        <v>1024500</v>
      </c>
      <c r="P21" s="436">
        <f t="shared" si="3"/>
        <v>1024500</v>
      </c>
      <c r="Q21" s="436">
        <f t="shared" si="3"/>
        <v>1024500</v>
      </c>
      <c r="R21" s="436">
        <f t="shared" si="3"/>
        <v>1024500</v>
      </c>
      <c r="S21" s="436">
        <f t="shared" si="3"/>
        <v>1024500</v>
      </c>
    </row>
    <row r="22" spans="1:19" x14ac:dyDescent="0.35">
      <c r="A22" s="77"/>
      <c r="B22" s="72" t="s">
        <v>1372</v>
      </c>
      <c r="C22" s="82"/>
      <c r="D22" s="82"/>
      <c r="E22" s="82"/>
      <c r="F22" s="82"/>
      <c r="G22" s="331"/>
      <c r="H22" s="436">
        <f>IF(H$15=0,0,((H$18+H$24)/2)*$C$7)</f>
        <v>0</v>
      </c>
      <c r="I22" s="436">
        <f>IF(I$15=0,0,((I$18+I$24)/2)*$C$7)</f>
        <v>0</v>
      </c>
      <c r="J22" s="436">
        <f t="shared" ref="J22:S22" si="4">IF(J15=0,0,((J18+J24)/2)*$C$7)</f>
        <v>368820</v>
      </c>
      <c r="K22" s="436">
        <f t="shared" si="4"/>
        <v>696660</v>
      </c>
      <c r="L22" s="436">
        <f t="shared" si="4"/>
        <v>614700</v>
      </c>
      <c r="M22" s="436">
        <f t="shared" si="4"/>
        <v>532740</v>
      </c>
      <c r="N22" s="436">
        <f t="shared" si="4"/>
        <v>450780</v>
      </c>
      <c r="O22" s="436">
        <f t="shared" si="4"/>
        <v>368820</v>
      </c>
      <c r="P22" s="436">
        <f t="shared" si="4"/>
        <v>286860</v>
      </c>
      <c r="Q22" s="436">
        <f t="shared" si="4"/>
        <v>204900</v>
      </c>
      <c r="R22" s="436">
        <f t="shared" si="4"/>
        <v>122940</v>
      </c>
      <c r="S22" s="436">
        <f t="shared" si="4"/>
        <v>40980</v>
      </c>
    </row>
    <row r="23" spans="1:19" x14ac:dyDescent="0.35">
      <c r="A23" s="77"/>
      <c r="B23" s="72" t="s">
        <v>1373</v>
      </c>
      <c r="C23" s="82"/>
      <c r="D23" s="82"/>
      <c r="E23" s="82"/>
      <c r="F23" s="82"/>
      <c r="G23" s="331"/>
      <c r="H23" s="436">
        <f t="shared" ref="H23:S23" si="5">H$21+H$22</f>
        <v>0</v>
      </c>
      <c r="I23" s="436">
        <f t="shared" si="5"/>
        <v>0</v>
      </c>
      <c r="J23" s="436">
        <f t="shared" si="5"/>
        <v>1393320</v>
      </c>
      <c r="K23" s="436">
        <f t="shared" si="5"/>
        <v>1721160</v>
      </c>
      <c r="L23" s="436">
        <f t="shared" si="5"/>
        <v>1639200</v>
      </c>
      <c r="M23" s="436">
        <f t="shared" si="5"/>
        <v>1557240</v>
      </c>
      <c r="N23" s="436">
        <f t="shared" si="5"/>
        <v>1475280</v>
      </c>
      <c r="O23" s="436">
        <f t="shared" si="5"/>
        <v>1393320</v>
      </c>
      <c r="P23" s="436">
        <f t="shared" si="5"/>
        <v>1311360</v>
      </c>
      <c r="Q23" s="436">
        <f t="shared" si="5"/>
        <v>1229400</v>
      </c>
      <c r="R23" s="436">
        <f t="shared" si="5"/>
        <v>1147440</v>
      </c>
      <c r="S23" s="436">
        <f t="shared" si="5"/>
        <v>1065480</v>
      </c>
    </row>
    <row r="24" spans="1:19" x14ac:dyDescent="0.35">
      <c r="A24" s="77"/>
      <c r="B24" s="72" t="s">
        <v>1374</v>
      </c>
      <c r="C24" s="82"/>
      <c r="D24" s="82"/>
      <c r="E24" s="82"/>
      <c r="F24" s="82"/>
      <c r="G24" s="461"/>
      <c r="H24" s="436">
        <f>IF(H$15=0,0,MAX(0,H$18+H$20-H$21))</f>
        <v>0</v>
      </c>
      <c r="I24" s="436">
        <f>IF(I$15=0,0,MAX(0,I$18+I$20-I$21))</f>
        <v>0</v>
      </c>
      <c r="J24" s="436">
        <f t="shared" ref="J24:S24" si="6">IF(J15=0,0,J18+J20-J21)</f>
        <v>9220500</v>
      </c>
      <c r="K24" s="436">
        <f t="shared" si="6"/>
        <v>8196000</v>
      </c>
      <c r="L24" s="436">
        <f t="shared" si="6"/>
        <v>7171500</v>
      </c>
      <c r="M24" s="436">
        <f t="shared" si="6"/>
        <v>6147000</v>
      </c>
      <c r="N24" s="436">
        <f t="shared" si="6"/>
        <v>5122500</v>
      </c>
      <c r="O24" s="436">
        <f t="shared" si="6"/>
        <v>4098000</v>
      </c>
      <c r="P24" s="436">
        <f t="shared" si="6"/>
        <v>3073500</v>
      </c>
      <c r="Q24" s="436">
        <f t="shared" si="6"/>
        <v>2049000</v>
      </c>
      <c r="R24" s="436">
        <f t="shared" si="6"/>
        <v>1024500</v>
      </c>
      <c r="S24" s="436">
        <f t="shared" si="6"/>
        <v>0</v>
      </c>
    </row>
    <row r="25" spans="1:19" x14ac:dyDescent="0.35">
      <c r="A25" s="77"/>
      <c r="B25" s="72" t="s">
        <v>1375</v>
      </c>
      <c r="C25" s="82"/>
      <c r="D25" s="82"/>
      <c r="E25" s="82"/>
      <c r="F25" s="82"/>
      <c r="G25" s="331"/>
      <c r="H25" s="436">
        <f>IF(H$15=0,0,IF(H$24=0,0,IF(H$16=1,0,MIN(H$24,IFERROR(INDEX($H$21:$S$21,COLUMNS($H25:H25)+1),0)))))</f>
        <v>0</v>
      </c>
      <c r="I25" s="436">
        <f>IF(I$15=0,0,IF(I$24=0,0,IF(I$16=1,0,MIN(I$24,IFERROR(INDEX($H$21:$S$21,COLUMNS($H25:I25)+1),0)))))</f>
        <v>0</v>
      </c>
      <c r="J25" s="436">
        <f>IF(J$15=0,0,IF(J$24=0,0,IF(J$16=1,0,MIN(J$24,IFERROR(INDEX($H$21:$S$21,COLUMNS($H25:J25)+1),0)))))</f>
        <v>1024500</v>
      </c>
      <c r="K25" s="436">
        <f>IF(K$15=0,0,IF(K$24=0,0,IF(K$16=1,0,MIN(K$24,IFERROR(INDEX($H$21:$S$21,COLUMNS($H25:K25)+1),0)))))</f>
        <v>1024500</v>
      </c>
      <c r="L25" s="436">
        <f>IF(L$15=0,0,IF(L$24=0,0,IF(L$16=1,0,MIN(L$24,IFERROR(INDEX($H$21:$S$21,COLUMNS($H25:L25)+1),0)))))</f>
        <v>1024500</v>
      </c>
      <c r="M25" s="436">
        <f>IF(M$15=0,0,IF(M$24=0,0,IF(M$16=1,0,MIN(M$24,IFERROR(INDEX($H$21:$S$21,COLUMNS($H25:M25)+1),0)))))</f>
        <v>1024500</v>
      </c>
      <c r="N25" s="436">
        <f>IF(N$15=0,0,IF(N$24=0,0,IF(N$16=1,0,MIN(N$24,IFERROR(INDEX($H$21:$S$21,COLUMNS($H25:N25)+1),0)))))</f>
        <v>1024500</v>
      </c>
      <c r="O25" s="436">
        <f>IF(O$15=0,0,IF(O$24=0,0,IF(O$16=1,0,MIN(O$24,IFERROR(INDEX($H$21:$S$21,COLUMNS($H25:O25)+1),0)))))</f>
        <v>1024500</v>
      </c>
      <c r="P25" s="436">
        <f>IF(P$15=0,0,IF(P$24=0,0,IF(P$16=1,0,MIN(P$24,IFERROR(INDEX($H$21:$S$21,COLUMNS($H25:P25)+1),0)))))</f>
        <v>1024500</v>
      </c>
      <c r="Q25" s="436">
        <f>IF(Q$15=0,0,IF(Q$24=0,0,IF(Q$16=1,0,MIN(Q$24,IFERROR(INDEX($H$21:$S$21,COLUMNS($H25:Q25)+1),0)))))</f>
        <v>1024500</v>
      </c>
      <c r="R25" s="436">
        <f>IF(R$15=0,0,IF(R$24=0,0,IF(R$16=1,0,MIN(R$24,IFERROR(INDEX($H$21:$S$21,COLUMNS($H25:R25)+1),0)))))</f>
        <v>1024500</v>
      </c>
      <c r="S25" s="436">
        <f>IF(S$15=0,0,IF(S$24=0,0,IF(S$16=1,0,MIN(S$24,IFERROR(INDEX($H$21:$S$21,COLUMNS($H25:S25)+1),0)))))</f>
        <v>0</v>
      </c>
    </row>
    <row r="26" spans="1:19" x14ac:dyDescent="0.35">
      <c r="A26" s="77"/>
      <c r="B26" s="72" t="s">
        <v>1376</v>
      </c>
      <c r="C26" s="82"/>
      <c r="D26" s="82"/>
      <c r="E26" s="82"/>
      <c r="F26" s="82"/>
      <c r="G26" s="331"/>
      <c r="H26" s="436">
        <f t="shared" ref="H26:S26" si="7">MAX(0,H$24-H$25)</f>
        <v>0</v>
      </c>
      <c r="I26" s="436">
        <f t="shared" si="7"/>
        <v>0</v>
      </c>
      <c r="J26" s="436">
        <f t="shared" si="7"/>
        <v>8196000</v>
      </c>
      <c r="K26" s="436">
        <f t="shared" si="7"/>
        <v>7171500</v>
      </c>
      <c r="L26" s="436">
        <f t="shared" si="7"/>
        <v>6147000</v>
      </c>
      <c r="M26" s="436">
        <f t="shared" si="7"/>
        <v>5122500</v>
      </c>
      <c r="N26" s="436">
        <f t="shared" si="7"/>
        <v>4098000</v>
      </c>
      <c r="O26" s="436">
        <f t="shared" si="7"/>
        <v>3073500</v>
      </c>
      <c r="P26" s="436">
        <f t="shared" si="7"/>
        <v>2049000</v>
      </c>
      <c r="Q26" s="436">
        <f t="shared" si="7"/>
        <v>1024500</v>
      </c>
      <c r="R26" s="436">
        <f t="shared" si="7"/>
        <v>0</v>
      </c>
      <c r="S26" s="436">
        <f t="shared" si="7"/>
        <v>0</v>
      </c>
    </row>
    <row r="27" spans="1:19" x14ac:dyDescent="0.35">
      <c r="A27" s="77"/>
      <c r="B27" s="82"/>
      <c r="C27" s="82"/>
      <c r="D27" s="82"/>
      <c r="E27" s="82"/>
      <c r="F27" s="82"/>
      <c r="G27" s="331"/>
      <c r="H27" s="447"/>
      <c r="I27" s="447"/>
      <c r="J27" s="447"/>
      <c r="K27" s="447"/>
      <c r="L27" s="447"/>
      <c r="M27" s="447"/>
      <c r="N27" s="447"/>
      <c r="O27" s="447"/>
      <c r="P27" s="447"/>
      <c r="Q27" s="447"/>
      <c r="R27" s="447"/>
      <c r="S27" s="83"/>
    </row>
    <row r="28" spans="1:19" x14ac:dyDescent="0.35">
      <c r="A28" s="77"/>
      <c r="B28" s="82"/>
      <c r="C28" s="82"/>
      <c r="D28" s="82"/>
      <c r="E28" s="82"/>
      <c r="F28" s="82"/>
      <c r="G28" s="331"/>
      <c r="H28" s="447"/>
      <c r="I28" s="447"/>
      <c r="J28" s="447"/>
      <c r="K28" s="447"/>
      <c r="L28" s="447"/>
      <c r="M28" s="447"/>
      <c r="N28" s="447"/>
      <c r="O28" s="447"/>
      <c r="P28" s="447"/>
      <c r="Q28" s="447"/>
      <c r="R28" s="447"/>
      <c r="S28" s="83"/>
    </row>
    <row r="29" spans="1:19" x14ac:dyDescent="0.35">
      <c r="A29" s="77"/>
      <c r="B29" s="82"/>
      <c r="C29" s="82"/>
      <c r="D29" s="82"/>
      <c r="E29" s="82"/>
      <c r="F29" s="82"/>
      <c r="G29" s="331"/>
      <c r="H29" s="447" t="s">
        <v>1377</v>
      </c>
      <c r="I29" s="447"/>
      <c r="J29" s="447"/>
      <c r="K29" s="447"/>
      <c r="L29" s="447"/>
      <c r="M29" s="447"/>
      <c r="N29" s="447"/>
      <c r="O29" s="447"/>
      <c r="P29" s="447"/>
      <c r="Q29" s="447"/>
      <c r="R29" s="447"/>
      <c r="S29" s="83"/>
    </row>
    <row r="30" spans="1:19" x14ac:dyDescent="0.35">
      <c r="A30" s="77"/>
      <c r="B30" s="331"/>
      <c r="C30" s="331"/>
      <c r="D30" s="331"/>
      <c r="E30" s="331"/>
      <c r="F30" s="331"/>
      <c r="G30" s="331"/>
      <c r="H30" s="83"/>
      <c r="I30" s="83"/>
      <c r="J30" s="83"/>
      <c r="K30" s="83"/>
      <c r="L30" s="83"/>
      <c r="M30" s="83"/>
      <c r="N30" s="83"/>
      <c r="O30" s="83"/>
      <c r="P30" s="83"/>
      <c r="Q30" s="83"/>
      <c r="R30" s="83"/>
      <c r="S30" s="83"/>
    </row>
    <row r="31" spans="1:19" x14ac:dyDescent="0.35">
      <c r="A31" s="77"/>
      <c r="B31" s="331"/>
      <c r="C31" s="331"/>
      <c r="D31" s="331"/>
      <c r="E31" s="331"/>
      <c r="F31" s="331"/>
      <c r="G31" s="331"/>
      <c r="H31" s="83"/>
      <c r="I31" s="83"/>
      <c r="J31" s="83"/>
      <c r="K31" s="83"/>
      <c r="L31" s="83"/>
      <c r="M31" s="83"/>
      <c r="N31" s="83"/>
      <c r="O31" s="83"/>
      <c r="P31" s="83"/>
      <c r="Q31" s="83"/>
      <c r="R31" s="83"/>
      <c r="S31" s="83"/>
    </row>
    <row r="32" spans="1:19" ht="29.15" customHeight="1" x14ac:dyDescent="0.35">
      <c r="A32" s="77"/>
      <c r="B32" s="72" t="s">
        <v>1378</v>
      </c>
      <c r="C32" s="331"/>
      <c r="D32" s="331"/>
      <c r="E32" s="331"/>
      <c r="F32" s="331"/>
      <c r="G32" s="331"/>
      <c r="H32" s="105">
        <f t="shared" ref="H32:S32" si="8">H12</f>
        <v>45715</v>
      </c>
      <c r="I32" s="105">
        <f t="shared" si="8"/>
        <v>45839</v>
      </c>
      <c r="J32" s="105">
        <f t="shared" si="8"/>
        <v>46204</v>
      </c>
      <c r="K32" s="105">
        <f t="shared" si="8"/>
        <v>46569</v>
      </c>
      <c r="L32" s="105">
        <f t="shared" si="8"/>
        <v>46935</v>
      </c>
      <c r="M32" s="105">
        <f t="shared" si="8"/>
        <v>47300</v>
      </c>
      <c r="N32" s="105">
        <f t="shared" si="8"/>
        <v>47665</v>
      </c>
      <c r="O32" s="105">
        <f t="shared" si="8"/>
        <v>48030</v>
      </c>
      <c r="P32" s="105">
        <f t="shared" si="8"/>
        <v>48396</v>
      </c>
      <c r="Q32" s="105">
        <f t="shared" si="8"/>
        <v>48761</v>
      </c>
      <c r="R32" s="105">
        <f t="shared" si="8"/>
        <v>49126</v>
      </c>
      <c r="S32" s="105">
        <f t="shared" si="8"/>
        <v>49491</v>
      </c>
    </row>
    <row r="33" spans="1:19" x14ac:dyDescent="0.35">
      <c r="A33" s="77"/>
      <c r="B33" s="331"/>
      <c r="C33" s="331"/>
      <c r="D33" s="331"/>
      <c r="E33" s="331"/>
      <c r="F33" s="331"/>
      <c r="G33" s="331"/>
      <c r="H33" s="105">
        <f t="shared" ref="H33:S33" si="9">H13</f>
        <v>45838</v>
      </c>
      <c r="I33" s="105">
        <f t="shared" si="9"/>
        <v>46203</v>
      </c>
      <c r="J33" s="105">
        <f t="shared" si="9"/>
        <v>46568</v>
      </c>
      <c r="K33" s="105">
        <f t="shared" si="9"/>
        <v>46934</v>
      </c>
      <c r="L33" s="105">
        <f t="shared" si="9"/>
        <v>47299</v>
      </c>
      <c r="M33" s="105">
        <f t="shared" si="9"/>
        <v>47664</v>
      </c>
      <c r="N33" s="105">
        <f t="shared" si="9"/>
        <v>48029</v>
      </c>
      <c r="O33" s="105">
        <f t="shared" si="9"/>
        <v>48395</v>
      </c>
      <c r="P33" s="105">
        <f t="shared" si="9"/>
        <v>48760</v>
      </c>
      <c r="Q33" s="105">
        <f t="shared" si="9"/>
        <v>49125</v>
      </c>
      <c r="R33" s="105">
        <f t="shared" si="9"/>
        <v>49490</v>
      </c>
      <c r="S33" s="105">
        <f t="shared" si="9"/>
        <v>49856</v>
      </c>
    </row>
    <row r="34" spans="1:19" x14ac:dyDescent="0.35">
      <c r="A34" s="77"/>
      <c r="B34" s="331"/>
      <c r="C34" s="82"/>
      <c r="D34" s="82"/>
      <c r="E34" s="82"/>
      <c r="F34" s="82"/>
      <c r="G34" s="331"/>
      <c r="H34" s="108" t="str">
        <f t="shared" ref="H34:S34" si="10">H14</f>
        <v>FY25</v>
      </c>
      <c r="I34" s="108" t="str">
        <f t="shared" si="10"/>
        <v>FY26</v>
      </c>
      <c r="J34" s="108" t="str">
        <f t="shared" si="10"/>
        <v>FY27</v>
      </c>
      <c r="K34" s="108" t="str">
        <f t="shared" si="10"/>
        <v>FY28</v>
      </c>
      <c r="L34" s="108" t="str">
        <f t="shared" si="10"/>
        <v>FY29</v>
      </c>
      <c r="M34" s="108" t="str">
        <f t="shared" si="10"/>
        <v>FY30</v>
      </c>
      <c r="N34" s="108" t="str">
        <f t="shared" si="10"/>
        <v>FY31</v>
      </c>
      <c r="O34" s="108" t="str">
        <f t="shared" si="10"/>
        <v>FY32</v>
      </c>
      <c r="P34" s="108" t="str">
        <f t="shared" si="10"/>
        <v>FY33</v>
      </c>
      <c r="Q34" s="108" t="str">
        <f t="shared" si="10"/>
        <v>FY34</v>
      </c>
      <c r="R34" s="108" t="str">
        <f t="shared" si="10"/>
        <v>FY35</v>
      </c>
      <c r="S34" s="108" t="str">
        <f t="shared" si="10"/>
        <v>FY36</v>
      </c>
    </row>
    <row r="35" spans="1:19" x14ac:dyDescent="0.35">
      <c r="A35" s="77"/>
      <c r="B35" s="331"/>
      <c r="C35" s="82"/>
      <c r="D35" s="82"/>
      <c r="E35" s="82"/>
      <c r="F35" s="82"/>
      <c r="G35" s="331"/>
      <c r="H35" s="105"/>
      <c r="I35" s="105"/>
      <c r="J35" s="105"/>
      <c r="K35" s="105"/>
      <c r="L35" s="105"/>
      <c r="M35" s="105"/>
      <c r="N35" s="105"/>
      <c r="O35" s="105"/>
      <c r="P35" s="105"/>
      <c r="Q35" s="105"/>
      <c r="R35" s="105"/>
      <c r="S35" s="105"/>
    </row>
    <row r="36" spans="1:19" x14ac:dyDescent="0.35">
      <c r="A36" s="77"/>
      <c r="B36" s="72" t="s">
        <v>1379</v>
      </c>
      <c r="C36" s="82"/>
      <c r="D36" s="82"/>
      <c r="E36" s="82"/>
      <c r="F36" s="82"/>
      <c r="G36" s="331"/>
      <c r="H36" s="436">
        <f t="shared" ref="H36:S36" si="11">H$44</f>
        <v>0</v>
      </c>
      <c r="I36" s="436">
        <f t="shared" si="11"/>
        <v>0</v>
      </c>
      <c r="J36" s="436">
        <f t="shared" si="11"/>
        <v>0</v>
      </c>
      <c r="K36" s="436">
        <f t="shared" si="11"/>
        <v>0</v>
      </c>
      <c r="L36" s="436">
        <f t="shared" si="11"/>
        <v>0</v>
      </c>
      <c r="M36" s="436">
        <f t="shared" si="11"/>
        <v>0</v>
      </c>
      <c r="N36" s="436">
        <f t="shared" si="11"/>
        <v>0</v>
      </c>
      <c r="O36" s="436">
        <f t="shared" si="11"/>
        <v>0</v>
      </c>
      <c r="P36" s="436">
        <f t="shared" si="11"/>
        <v>0</v>
      </c>
      <c r="Q36" s="436">
        <f t="shared" si="11"/>
        <v>0</v>
      </c>
      <c r="R36" s="436">
        <f t="shared" si="11"/>
        <v>0</v>
      </c>
      <c r="S36" s="436">
        <f t="shared" si="11"/>
        <v>0</v>
      </c>
    </row>
    <row r="37" spans="1:19" x14ac:dyDescent="0.35">
      <c r="A37" s="77"/>
      <c r="B37" s="72" t="s">
        <v>1366</v>
      </c>
      <c r="C37" s="82"/>
      <c r="D37" s="82"/>
      <c r="E37" s="82"/>
      <c r="F37" s="82"/>
      <c r="G37" s="331"/>
      <c r="H37" s="436">
        <f t="shared" ref="H37:S37" si="12">IF(AND(COLUMN(H34)&gt;=COLUMN($H$34)+MATCH($D$8,$H$34:$S$34,0)-1, COLUMN(H34)&lt;COLUMN($H$34)+MATCH($D$8,$H$34:$S$34,0)-1+$D$6), 1, 0)</f>
        <v>0</v>
      </c>
      <c r="I37" s="436">
        <f t="shared" si="12"/>
        <v>0</v>
      </c>
      <c r="J37" s="436">
        <f t="shared" si="12"/>
        <v>1</v>
      </c>
      <c r="K37" s="436">
        <f t="shared" si="12"/>
        <v>1</v>
      </c>
      <c r="L37" s="436">
        <f t="shared" si="12"/>
        <v>1</v>
      </c>
      <c r="M37" s="436">
        <f t="shared" si="12"/>
        <v>1</v>
      </c>
      <c r="N37" s="436">
        <f t="shared" si="12"/>
        <v>1</v>
      </c>
      <c r="O37" s="436">
        <f t="shared" si="12"/>
        <v>1</v>
      </c>
      <c r="P37" s="436">
        <f t="shared" si="12"/>
        <v>1</v>
      </c>
      <c r="Q37" s="436">
        <f t="shared" si="12"/>
        <v>1</v>
      </c>
      <c r="R37" s="436">
        <f t="shared" si="12"/>
        <v>1</v>
      </c>
      <c r="S37" s="436">
        <f t="shared" si="12"/>
        <v>1</v>
      </c>
    </row>
    <row r="38" spans="1:19" x14ac:dyDescent="0.35">
      <c r="A38" s="77"/>
      <c r="B38" s="72" t="s">
        <v>1367</v>
      </c>
      <c r="C38" s="82"/>
      <c r="D38" s="82"/>
      <c r="E38" s="82"/>
      <c r="F38" s="82"/>
      <c r="G38" s="331"/>
      <c r="H38" s="436">
        <f t="shared" ref="H38:S38" si="13">IF(AND(H37=1, H47=0), 1, 0)</f>
        <v>0</v>
      </c>
      <c r="I38" s="436">
        <f t="shared" si="13"/>
        <v>0</v>
      </c>
      <c r="J38" s="436">
        <f t="shared" si="13"/>
        <v>1</v>
      </c>
      <c r="K38" s="436">
        <f t="shared" si="13"/>
        <v>1</v>
      </c>
      <c r="L38" s="436">
        <f t="shared" si="13"/>
        <v>1</v>
      </c>
      <c r="M38" s="436">
        <f t="shared" si="13"/>
        <v>1</v>
      </c>
      <c r="N38" s="436">
        <f t="shared" si="13"/>
        <v>1</v>
      </c>
      <c r="O38" s="436">
        <f t="shared" si="13"/>
        <v>1</v>
      </c>
      <c r="P38" s="436">
        <f t="shared" si="13"/>
        <v>1</v>
      </c>
      <c r="Q38" s="436">
        <f t="shared" si="13"/>
        <v>1</v>
      </c>
      <c r="R38" s="436">
        <f t="shared" si="13"/>
        <v>1</v>
      </c>
      <c r="S38" s="436">
        <f t="shared" si="13"/>
        <v>1</v>
      </c>
    </row>
    <row r="39" spans="1:19" x14ac:dyDescent="0.35">
      <c r="A39" s="77"/>
      <c r="B39" s="72"/>
      <c r="C39" s="82"/>
      <c r="D39" s="82"/>
      <c r="E39" s="82"/>
      <c r="F39" s="82"/>
      <c r="G39" s="331"/>
      <c r="H39" s="436"/>
      <c r="I39" s="436"/>
      <c r="J39" s="436"/>
      <c r="K39" s="436"/>
      <c r="L39" s="436"/>
      <c r="M39" s="436"/>
      <c r="N39" s="436"/>
      <c r="O39" s="436"/>
      <c r="P39" s="436"/>
      <c r="Q39" s="436"/>
      <c r="R39" s="436"/>
      <c r="S39" s="436"/>
    </row>
    <row r="40" spans="1:19" x14ac:dyDescent="0.35">
      <c r="A40" s="77"/>
      <c r="B40" s="72" t="s">
        <v>1380</v>
      </c>
      <c r="C40" s="82"/>
      <c r="D40" s="82"/>
      <c r="E40" s="82"/>
      <c r="F40" s="82"/>
      <c r="G40" s="331"/>
      <c r="H40" s="436">
        <f t="shared" ref="H40:S40" si="14">H$45</f>
        <v>0</v>
      </c>
      <c r="I40" s="436">
        <f t="shared" si="14"/>
        <v>0</v>
      </c>
      <c r="J40" s="436">
        <f t="shared" si="14"/>
        <v>0</v>
      </c>
      <c r="K40" s="436">
        <f t="shared" si="14"/>
        <v>0</v>
      </c>
      <c r="L40" s="436">
        <f t="shared" si="14"/>
        <v>0</v>
      </c>
      <c r="M40" s="436">
        <f t="shared" si="14"/>
        <v>0</v>
      </c>
      <c r="N40" s="436">
        <f t="shared" si="14"/>
        <v>0</v>
      </c>
      <c r="O40" s="436">
        <f t="shared" si="14"/>
        <v>0</v>
      </c>
      <c r="P40" s="436">
        <f t="shared" si="14"/>
        <v>0</v>
      </c>
      <c r="Q40" s="436">
        <f t="shared" si="14"/>
        <v>0</v>
      </c>
      <c r="R40" s="436">
        <f t="shared" si="14"/>
        <v>0</v>
      </c>
      <c r="S40" s="436">
        <f t="shared" si="14"/>
        <v>0</v>
      </c>
    </row>
    <row r="41" spans="1:19" x14ac:dyDescent="0.35">
      <c r="A41" s="77"/>
      <c r="B41" s="72" t="s">
        <v>1381</v>
      </c>
      <c r="C41" s="82"/>
      <c r="D41" s="82"/>
      <c r="E41" s="82"/>
      <c r="F41" s="82"/>
      <c r="G41" s="331"/>
      <c r="H41" s="436"/>
      <c r="I41" s="436"/>
      <c r="J41" s="436"/>
      <c r="K41" s="436"/>
      <c r="L41" s="436"/>
      <c r="M41" s="436"/>
      <c r="N41" s="436"/>
      <c r="O41" s="436"/>
      <c r="P41" s="436"/>
      <c r="Q41" s="436"/>
      <c r="R41" s="436"/>
      <c r="S41" s="436"/>
    </row>
    <row r="42" spans="1:19" x14ac:dyDescent="0.35">
      <c r="A42" s="77"/>
      <c r="B42" s="72" t="s">
        <v>1382</v>
      </c>
      <c r="C42" s="82"/>
      <c r="D42" s="82"/>
      <c r="E42" s="82"/>
      <c r="F42" s="82"/>
      <c r="G42" s="331"/>
      <c r="H42" s="436">
        <f>IF(H$37=0,0,IF(COLUMNS($H42:H42)=MATCH($D$8,$H$34:$S$34,0),0,INDEX($H$47:$S$47,COLUMNS($H42:H42)-1)))</f>
        <v>0</v>
      </c>
      <c r="I42" s="436">
        <f>IF(I$37=0,0,IF(COLUMNS($H42:I42)=MATCH($D$8,$H$34:$S$34,0),0,INDEX($H$47:$S$47,COLUMNS($H42:I42)-1)))</f>
        <v>0</v>
      </c>
      <c r="J42" s="436">
        <f>IF(J37=0,0,0)</f>
        <v>0</v>
      </c>
      <c r="K42" s="436">
        <f>IF(K37=0,0,J47)</f>
        <v>0</v>
      </c>
      <c r="L42" s="436">
        <f>IF(L37=0,0,K47)</f>
        <v>0</v>
      </c>
      <c r="M42" s="436">
        <f>IF(M37=0,0,L47)</f>
        <v>0</v>
      </c>
      <c r="N42" s="436">
        <f>IF(N37=0,0,M47)</f>
        <v>0</v>
      </c>
      <c r="O42" s="436">
        <f>IF(O37=0,0,N47)</f>
        <v>0</v>
      </c>
      <c r="P42" s="436">
        <f>IF(P$37=0,0,IF(COLUMNS($H42:P42)=MATCH($D$8,$H$34:$S$34,0),0,INDEX($H$47:$S$47,COLUMNS($H42:P42)-1)))</f>
        <v>0</v>
      </c>
      <c r="Q42" s="436">
        <f>IF(Q$37=0,0,IF(COLUMNS($H42:Q42)=MATCH($D$8,$H$34:$S$34,0),0,INDEX($H$47:$S$47,COLUMNS($H42:Q42)-1)))</f>
        <v>0</v>
      </c>
      <c r="R42" s="436">
        <f>IF(R$37=0,0,IF(COLUMNS($H42:R42)=MATCH($D$8,$H$34:$S$34,0),0,INDEX($H$47:$S$47,COLUMNS($H42:R42)-1)))</f>
        <v>0</v>
      </c>
      <c r="S42" s="436">
        <f>IF(S$37=0,0,IF(COLUMNS($H42:S42)=MATCH($D$8,$H$34:$S$34,0),0,INDEX($H$47:$S$47,COLUMNS($H42:S42)-1)))</f>
        <v>0</v>
      </c>
    </row>
    <row r="43" spans="1:19" x14ac:dyDescent="0.35">
      <c r="A43" s="77"/>
      <c r="B43" s="72" t="s">
        <v>1369</v>
      </c>
      <c r="C43" s="72" t="s">
        <v>482</v>
      </c>
      <c r="D43" s="82"/>
      <c r="E43" s="82"/>
      <c r="F43" s="82"/>
      <c r="G43" s="462"/>
      <c r="H43" s="436"/>
      <c r="I43" s="436"/>
      <c r="J43" s="436"/>
      <c r="K43" s="436"/>
      <c r="L43" s="436"/>
      <c r="M43" s="436"/>
      <c r="N43" s="436"/>
      <c r="O43" s="436"/>
      <c r="P43" s="436"/>
      <c r="Q43" s="436"/>
      <c r="R43" s="436"/>
      <c r="S43" s="436"/>
    </row>
    <row r="44" spans="1:19" x14ac:dyDescent="0.35">
      <c r="A44" s="77"/>
      <c r="B44" s="72" t="s">
        <v>1370</v>
      </c>
      <c r="C44" s="82"/>
      <c r="D44" s="82"/>
      <c r="E44" s="82"/>
      <c r="F44" s="82"/>
      <c r="G44" s="331"/>
      <c r="H44" s="436">
        <f>IF(H$37=0,0,IF(COLUMNS($H44:H44)=MATCH($D$8,$H$34:$S$34,0),$D$5,0))</f>
        <v>0</v>
      </c>
      <c r="I44" s="436">
        <f>IF(I$37=0,0,IF(COLUMNS($H44:I44)=MATCH($D$8,$H$34:$S$34,0),$D$5,0))</f>
        <v>0</v>
      </c>
      <c r="J44" s="436">
        <f>IF(J$37=0,0,IF(COLUMNS($H44:J44)=MATCH($D$8,$H$34:$S$34,0),$D$5,0))</f>
        <v>0</v>
      </c>
      <c r="K44" s="436">
        <f>IF(K$37=0,0,IF(COLUMNS($H44:K44)=MATCH($D$8,$H$34:$S$34,0),$D$5,0))</f>
        <v>0</v>
      </c>
      <c r="L44" s="436">
        <f>IF(L$37=0,0,IF(COLUMNS($H44:L44)=MATCH($D$8,$H$34:$S$34,0),$D$5,0))</f>
        <v>0</v>
      </c>
      <c r="M44" s="436">
        <f>IF(M$37=0,0,IF(COLUMNS($H44:M44)=MATCH($D$8,$H$34:$S$34,0),$D$5,0))</f>
        <v>0</v>
      </c>
      <c r="N44" s="436">
        <f>IF(N$37=0,0,IF(COLUMNS($H44:N44)=MATCH($D$8,$H$34:$S$34,0),$D$5,0))</f>
        <v>0</v>
      </c>
      <c r="O44" s="436">
        <f>IF(O$37=0,0,IF(COLUMNS($H44:O44)=MATCH($D$8,$H$34:$S$34,0),$D$5,0))</f>
        <v>0</v>
      </c>
      <c r="P44" s="436">
        <f>IF(P$37=0,0,IF(COLUMNS($H44:P44)=MATCH($D$8,$H$34:$S$34,0),$D$5,0))</f>
        <v>0</v>
      </c>
      <c r="Q44" s="436">
        <f>IF(Q$37=0,0,IF(COLUMNS($H44:Q44)=MATCH($D$8,$H$34:$S$34,0),$D$5,0))</f>
        <v>0</v>
      </c>
      <c r="R44" s="436">
        <f>IF(R$37=0,0,IF(COLUMNS($H44:R44)=MATCH($D$8,$H$34:$S$34,0),$D$5,0))</f>
        <v>0</v>
      </c>
      <c r="S44" s="436">
        <f>IF(S$37=0,0,IF(COLUMNS($H44:S44)=MATCH($D$8,$H$34:$S$34,0),$D$5,0))</f>
        <v>0</v>
      </c>
    </row>
    <row r="45" spans="1:19" x14ac:dyDescent="0.35">
      <c r="A45" s="77"/>
      <c r="B45" s="72" t="s">
        <v>1371</v>
      </c>
      <c r="C45" s="82"/>
      <c r="D45" s="82"/>
      <c r="E45" s="82"/>
      <c r="F45" s="82"/>
      <c r="G45" s="331"/>
      <c r="H45" s="436">
        <f>IF(H$37=0,0,IF(OR($D$9="Bullet",$D$9="Interest-only"),IF($D$9="Bullet",IF(H$38=1,H$42+H$44,0),0),IF(OR($D$9="Amortising",$D$9="Amortizing"),IF(H$37=1,IF((COLUMNS($H45:H45)-MATCH($D$8,$H$34:$S$34,0)+1)&lt;=ROUNDUP(RM_IO_Months/12,0),0,IF(H$38=1,H$42+H$44,MIN(H$42+H$44,IF(($D$7-ROUNDUP(RM_IO_Months/12,0))&lt;=0,H$42+H$44,$D$5/($D$7-ROUNDUP(RM_IO_Months/12,0)))))),0),0)))</f>
        <v>0</v>
      </c>
      <c r="I45" s="436">
        <f>IF(I$37=0,0,IF(OR($D$9="Bullet",$D$9="Interest-only"),IF($D$9="Bullet",IF(I$38=1,I$42+I$44,0),0),IF(OR($D$9="Amortising",$D$9="Amortizing"),IF(I$37=1,IF((COLUMNS($H45:I45)-MATCH($D$8,$H$34:$S$34,0)+1)&lt;=ROUNDUP(RM_IO_Months/12,0),0,IF(I$38=1,I$42+I$44,MIN(I$42+I$44,IF(($D$7-ROUNDUP(RM_IO_Months/12,0))&lt;=0,I$42+I$44,$D$5/($D$7-ROUNDUP(RM_IO_Months/12,0)))))),0),0)))</f>
        <v>0</v>
      </c>
      <c r="J45" s="436">
        <f t="shared" ref="J45:O45" si="15">IF(J37=0,0,$D$5/$D$6)</f>
        <v>0</v>
      </c>
      <c r="K45" s="436">
        <f t="shared" si="15"/>
        <v>0</v>
      </c>
      <c r="L45" s="436">
        <f t="shared" si="15"/>
        <v>0</v>
      </c>
      <c r="M45" s="436">
        <f t="shared" si="15"/>
        <v>0</v>
      </c>
      <c r="N45" s="436">
        <f t="shared" si="15"/>
        <v>0</v>
      </c>
      <c r="O45" s="436">
        <f t="shared" si="15"/>
        <v>0</v>
      </c>
      <c r="P45" s="436">
        <f>IF(P$37=0,0,IF(OR($D$9="Bullet",$D$9="Interest-only"),IF($D$9="Bullet",IF(P$38=1,P$42+P$44,0),0),IF(OR($D$9="Amortising",$D$9="Amortizing"),IF(P$37=1,IF((COLUMNS($H45:P45)-MATCH($D$8,$H$34:$S$34,0)+1)&lt;=ROUNDUP(RM_IO_Months/12,0),0,IF(P$38=1,P$42+P$44,MIN(P$42+P$44,IF(($D$7-ROUNDUP(RM_IO_Months/12,0))&lt;=0,P$42+P$44,$D$5/($D$7-ROUNDUP(RM_IO_Months/12,0)))))),0),0)))</f>
        <v>0</v>
      </c>
      <c r="Q45" s="436">
        <f>IF(Q$37=0,0,IF(OR($D$9="Bullet",$D$9="Interest-only"),IF($D$9="Bullet",IF(Q$38=1,Q$42+Q$44,0),0),IF(OR($D$9="Amortising",$D$9="Amortizing"),IF(Q$37=1,IF((COLUMNS($H45:Q45)-MATCH($D$8,$H$34:$S$34,0)+1)&lt;=ROUNDUP(RM_IO_Months/12,0),0,IF(Q$38=1,Q$42+Q$44,MIN(Q$42+Q$44,IF(($D$7-ROUNDUP(RM_IO_Months/12,0))&lt;=0,Q$42+Q$44,$D$5/($D$7-ROUNDUP(RM_IO_Months/12,0)))))),0),0)))</f>
        <v>0</v>
      </c>
      <c r="R45" s="436">
        <f>IF(R$37=0,0,IF(OR($D$9="Bullet",$D$9="Interest-only"),IF($D$9="Bullet",IF(R$38=1,R$42+R$44,0),0),IF(OR($D$9="Amortising",$D$9="Amortizing"),IF(R$37=1,IF((COLUMNS($H45:R45)-MATCH($D$8,$H$34:$S$34,0)+1)&lt;=ROUNDUP(RM_IO_Months/12,0),0,IF(R$38=1,R$42+R$44,MIN(R$42+R$44,IF(($D$7-ROUNDUP(RM_IO_Months/12,0))&lt;=0,R$42+R$44,$D$5/($D$7-ROUNDUP(RM_IO_Months/12,0)))))),0),0)))</f>
        <v>0</v>
      </c>
      <c r="S45" s="436">
        <f>IF(S$37=0,0,IF(OR($D$9="Bullet",$D$9="Interest-only"),IF($D$9="Bullet",IF(S$38=1,S$42+S$44,0),0),IF(OR($D$9="Amortising",$D$9="Amortizing"),IF(S$37=1,IF((COLUMNS($H45:S45)-MATCH($D$8,$H$34:$S$34,0)+1)&lt;=ROUNDUP(RM_IO_Months/12,0),0,IF(S$38=1,S$42+S$44,MIN(S$42+S$44,IF(($D$7-ROUNDUP(RM_IO_Months/12,0))&lt;=0,S$42+S$44,$D$5/($D$7-ROUNDUP(RM_IO_Months/12,0)))))),0),0)))</f>
        <v>0</v>
      </c>
    </row>
    <row r="46" spans="1:19" x14ac:dyDescent="0.35">
      <c r="A46" s="77"/>
      <c r="B46" s="72" t="s">
        <v>1372</v>
      </c>
      <c r="C46" s="82"/>
      <c r="D46" s="331"/>
      <c r="E46" s="331"/>
      <c r="F46" s="331"/>
      <c r="G46" s="331"/>
      <c r="H46" s="436">
        <f>IF(H$37=0,0,((H$42+H$47)/2)*$D$7)</f>
        <v>0</v>
      </c>
      <c r="I46" s="436">
        <f>IF(I$37=0,0,((I$42+I$47)/2)*$D$7)</f>
        <v>0</v>
      </c>
      <c r="J46" s="436">
        <f>IF(J37=0,0,((J42+J47)/2)*$D$7)</f>
        <v>0</v>
      </c>
      <c r="K46" s="436">
        <f>IF(K37=0,0,((K42+K47)/2)*$D$7)</f>
        <v>0</v>
      </c>
      <c r="L46" s="436">
        <f>IF(L37=0,0,((L42+L47)/2)*$D$7)</f>
        <v>0</v>
      </c>
      <c r="M46" s="436">
        <f>IF(M37=0,0,((M42+M47)/2)*$D$7)</f>
        <v>0</v>
      </c>
      <c r="N46" s="436">
        <f>IF(N37=0,0,((N42+N47)/2)*$D$7)</f>
        <v>0</v>
      </c>
      <c r="O46" s="436">
        <f>IF(O$37=0,0,((O$42+O$47)/2)*$D$7)</f>
        <v>0</v>
      </c>
      <c r="P46" s="436">
        <f>IF(P$37=0,0,((P$42+P$47)/2)*$D$7)</f>
        <v>0</v>
      </c>
      <c r="Q46" s="436">
        <f>IF(Q$37=0,0,((Q$42+Q$47)/2)*$D$7)</f>
        <v>0</v>
      </c>
      <c r="R46" s="436">
        <f>IF(R$37=0,0,((R$42+R$47)/2)*$D$7)</f>
        <v>0</v>
      </c>
      <c r="S46" s="436">
        <f>IF(S$37=0,0,((S$42+S$47)/2)*$D$7)</f>
        <v>0</v>
      </c>
    </row>
    <row r="47" spans="1:19" x14ac:dyDescent="0.35">
      <c r="A47" s="77"/>
      <c r="B47" s="72" t="s">
        <v>1374</v>
      </c>
      <c r="C47" s="82"/>
      <c r="D47" s="331"/>
      <c r="E47" s="331"/>
      <c r="F47" s="331"/>
      <c r="G47" s="331"/>
      <c r="H47" s="436">
        <f>IF(H$37=0,0,MAX(0,H$42+H$44-H$45))</f>
        <v>0</v>
      </c>
      <c r="I47" s="436">
        <f>IF(I$37=0,0,MAX(0,I$42+I$44-I$45))</f>
        <v>0</v>
      </c>
      <c r="J47" s="436">
        <f>IF(J37=0,0,J42+J44-J45)</f>
        <v>0</v>
      </c>
      <c r="K47" s="436">
        <f>IF(K37=0,0,K42+K44-K45)</f>
        <v>0</v>
      </c>
      <c r="L47" s="436">
        <f>IF(L37=0,0,L42+L44-L45)</f>
        <v>0</v>
      </c>
      <c r="M47" s="436">
        <f>IF(M37=0,0,M42+M44-M45)</f>
        <v>0</v>
      </c>
      <c r="N47" s="436">
        <f>IF(N37=0,0,N42+N44-N45)</f>
        <v>0</v>
      </c>
      <c r="O47" s="436">
        <f>IF(O37=0,0,MAX(0,ROUND(O42+O44-O45,2)))</f>
        <v>0</v>
      </c>
      <c r="P47" s="436">
        <f>IF(P$37=0,0,MAX(0,P$42+P$44-P$45))</f>
        <v>0</v>
      </c>
      <c r="Q47" s="436">
        <f>IF(Q$37=0,0,MAX(0,Q$42+Q$44-Q$45))</f>
        <v>0</v>
      </c>
      <c r="R47" s="436">
        <f>IF(R$37=0,0,MAX(0,R$42+R$44-R$45))</f>
        <v>0</v>
      </c>
      <c r="S47" s="436">
        <f>IF(S$37=0,0,MAX(0,S$42+S$44-S$45))</f>
        <v>0</v>
      </c>
    </row>
    <row r="48" spans="1:19" x14ac:dyDescent="0.35">
      <c r="A48" s="77"/>
      <c r="B48" s="72" t="s">
        <v>1383</v>
      </c>
      <c r="C48" s="82"/>
      <c r="D48" s="82"/>
      <c r="E48" s="82"/>
      <c r="F48" s="82"/>
      <c r="G48" s="331"/>
      <c r="H48" s="436">
        <f t="shared" ref="H48:S48" si="16">H$24+H$47</f>
        <v>0</v>
      </c>
      <c r="I48" s="436">
        <f t="shared" si="16"/>
        <v>0</v>
      </c>
      <c r="J48" s="436">
        <f t="shared" si="16"/>
        <v>9220500</v>
      </c>
      <c r="K48" s="436">
        <f t="shared" si="16"/>
        <v>8196000</v>
      </c>
      <c r="L48" s="436">
        <f t="shared" si="16"/>
        <v>7171500</v>
      </c>
      <c r="M48" s="436">
        <f t="shared" si="16"/>
        <v>6147000</v>
      </c>
      <c r="N48" s="436">
        <f t="shared" si="16"/>
        <v>5122500</v>
      </c>
      <c r="O48" s="436">
        <f t="shared" si="16"/>
        <v>4098000</v>
      </c>
      <c r="P48" s="436">
        <f t="shared" si="16"/>
        <v>3073500</v>
      </c>
      <c r="Q48" s="436">
        <f t="shared" si="16"/>
        <v>2049000</v>
      </c>
      <c r="R48" s="436">
        <f t="shared" si="16"/>
        <v>1024500</v>
      </c>
      <c r="S48" s="436">
        <f t="shared" si="16"/>
        <v>0</v>
      </c>
    </row>
    <row r="49" spans="1:19" x14ac:dyDescent="0.35">
      <c r="A49" s="77"/>
      <c r="B49" s="72" t="s">
        <v>1351</v>
      </c>
      <c r="C49" s="82"/>
      <c r="D49" s="82"/>
      <c r="E49" s="82"/>
      <c r="F49" s="82"/>
      <c r="G49" s="331"/>
      <c r="H49" s="436">
        <f t="shared" ref="H49:S49" si="17">H$25+H$51</f>
        <v>0</v>
      </c>
      <c r="I49" s="436">
        <f t="shared" si="17"/>
        <v>0</v>
      </c>
      <c r="J49" s="436">
        <f t="shared" si="17"/>
        <v>1024500</v>
      </c>
      <c r="K49" s="436">
        <f t="shared" si="17"/>
        <v>1024500</v>
      </c>
      <c r="L49" s="436">
        <f t="shared" si="17"/>
        <v>1024500</v>
      </c>
      <c r="M49" s="436">
        <f t="shared" si="17"/>
        <v>1024500</v>
      </c>
      <c r="N49" s="436">
        <f t="shared" si="17"/>
        <v>1024500</v>
      </c>
      <c r="O49" s="436">
        <f t="shared" si="17"/>
        <v>1024500</v>
      </c>
      <c r="P49" s="436">
        <f t="shared" si="17"/>
        <v>1024500</v>
      </c>
      <c r="Q49" s="436">
        <f t="shared" si="17"/>
        <v>1024500</v>
      </c>
      <c r="R49" s="436">
        <f t="shared" si="17"/>
        <v>1024500</v>
      </c>
      <c r="S49" s="436">
        <f t="shared" si="17"/>
        <v>0</v>
      </c>
    </row>
    <row r="50" spans="1:19" x14ac:dyDescent="0.35">
      <c r="A50" s="77"/>
      <c r="B50" s="72" t="s">
        <v>1352</v>
      </c>
      <c r="C50" s="82"/>
      <c r="D50" s="82"/>
      <c r="E50" s="82"/>
      <c r="F50" s="82"/>
      <c r="G50" s="331"/>
      <c r="H50" s="436">
        <f t="shared" ref="H50:S50" si="18">MAX(0,H$48-H$49)</f>
        <v>0</v>
      </c>
      <c r="I50" s="436">
        <f t="shared" si="18"/>
        <v>0</v>
      </c>
      <c r="J50" s="436">
        <f t="shared" si="18"/>
        <v>8196000</v>
      </c>
      <c r="K50" s="436">
        <f t="shared" si="18"/>
        <v>7171500</v>
      </c>
      <c r="L50" s="436">
        <f t="shared" si="18"/>
        <v>6147000</v>
      </c>
      <c r="M50" s="436">
        <f t="shared" si="18"/>
        <v>5122500</v>
      </c>
      <c r="N50" s="436">
        <f t="shared" si="18"/>
        <v>4098000</v>
      </c>
      <c r="O50" s="436">
        <f t="shared" si="18"/>
        <v>3073500</v>
      </c>
      <c r="P50" s="436">
        <f t="shared" si="18"/>
        <v>2049000</v>
      </c>
      <c r="Q50" s="436">
        <f t="shared" si="18"/>
        <v>1024500</v>
      </c>
      <c r="R50" s="436">
        <f t="shared" si="18"/>
        <v>0</v>
      </c>
      <c r="S50" s="436">
        <f t="shared" si="18"/>
        <v>0</v>
      </c>
    </row>
    <row r="51" spans="1:19" x14ac:dyDescent="0.35">
      <c r="A51" s="77"/>
      <c r="B51" s="72" t="s">
        <v>1384</v>
      </c>
      <c r="C51" s="82"/>
      <c r="D51" s="82"/>
      <c r="E51" s="82"/>
      <c r="F51" s="82"/>
      <c r="G51" s="331"/>
      <c r="H51" s="436">
        <f>IF(H$37=0,0,IF(H$47=0,0,IF(H$38=1,0,MIN(H$47,IFERROR(INDEX($H$45:$S$45,COLUMNS($H51:H51)+1),0)))))</f>
        <v>0</v>
      </c>
      <c r="I51" s="436">
        <f>IF(I$37=0,0,IF(I$47=0,0,IF(I$38=1,0,MIN(I$47,IFERROR(INDEX($H$45:$S$45,COLUMNS($H51:I51)+1),0)))))</f>
        <v>0</v>
      </c>
      <c r="J51" s="436">
        <f>IF(J$37=0,0,IF(J$47=0,0,IF(J$38=1,0,MIN(J$47,IFERROR(INDEX($H$45:$S$45,COLUMNS($H51:J51)+1),0)))))</f>
        <v>0</v>
      </c>
      <c r="K51" s="436">
        <f>IF(K$37=0,0,IF(K$47=0,0,IF(K$38=1,0,MIN(K$47,IFERROR(INDEX($H$45:$S$45,COLUMNS($H51:K51)+1),0)))))</f>
        <v>0</v>
      </c>
      <c r="L51" s="436">
        <f>IF(L$37=0,0,IF(L$47=0,0,IF(L$38=1,0,MIN(L$47,IFERROR(INDEX($H$45:$S$45,COLUMNS($H51:L51)+1),0)))))</f>
        <v>0</v>
      </c>
      <c r="M51" s="436">
        <f>IF(M$37=0,0,IF(M$47=0,0,IF(M$38=1,0,MIN(M$47,IFERROR(INDEX($H$45:$S$45,COLUMNS($H51:M51)+1),0)))))</f>
        <v>0</v>
      </c>
      <c r="N51" s="436">
        <f>IF(N$37=0,0,IF(N$47=0,0,IF(N$38=1,0,MIN(N$47,IFERROR(INDEX($H$45:$S$45,COLUMNS($H51:N51)+1),0)))))</f>
        <v>0</v>
      </c>
      <c r="O51" s="436">
        <f>IF(O$37=0,0,IF(O$47=0,0,IF(O$38=1,0,MIN(O$47,IFERROR(INDEX($H$45:$S$45,COLUMNS($H51:O51)+1),0)))))</f>
        <v>0</v>
      </c>
      <c r="P51" s="436">
        <f>IF(P$37=0,0,IF(P$47=0,0,IF(P$38=1,0,MIN(P$47,IFERROR(INDEX($H$45:$S$45,COLUMNS($H51:P51)+1),0)))))</f>
        <v>0</v>
      </c>
      <c r="Q51" s="436">
        <f>IF(Q$37=0,0,IF(Q$47=0,0,IF(Q$38=1,0,MIN(Q$47,IFERROR(INDEX($H$45:$S$45,COLUMNS($H51:Q51)+1),0)))))</f>
        <v>0</v>
      </c>
      <c r="R51" s="436">
        <f>IF(R$37=0,0,IF(R$47=0,0,IF(R$38=1,0,MIN(R$47,IFERROR(INDEX($H$45:$S$45,COLUMNS($H51:R51)+1),0)))))</f>
        <v>0</v>
      </c>
      <c r="S51" s="436">
        <f>IF(S$37=0,0,IF(S$47=0,0,IF(S$38=1,0,MIN(S$47,IFERROR(INDEX($H$45:$S$45,COLUMNS($H51:S51)+1),0)))))</f>
        <v>0</v>
      </c>
    </row>
    <row r="52" spans="1:19" x14ac:dyDescent="0.35">
      <c r="A52" s="77"/>
      <c r="B52" s="329"/>
      <c r="C52" s="329"/>
      <c r="D52" s="329"/>
      <c r="E52" s="329"/>
      <c r="F52" s="329"/>
      <c r="G52" s="329"/>
      <c r="H52" s="329"/>
      <c r="I52" s="329"/>
      <c r="J52" s="329"/>
      <c r="K52" s="329"/>
      <c r="L52" s="329"/>
      <c r="M52" s="329"/>
      <c r="N52" s="329"/>
      <c r="O52" s="329"/>
      <c r="P52" s="329"/>
      <c r="Q52" s="329"/>
      <c r="R52" s="329"/>
      <c r="S52" s="329"/>
    </row>
    <row r="53" spans="1:19" x14ac:dyDescent="0.35">
      <c r="A53" s="77"/>
      <c r="B53" s="329"/>
      <c r="C53" s="329"/>
      <c r="D53" s="329"/>
      <c r="E53" s="329"/>
      <c r="F53" s="329"/>
      <c r="G53" s="329"/>
      <c r="H53" s="329"/>
      <c r="I53" s="329"/>
      <c r="J53" s="329"/>
      <c r="K53" s="329"/>
      <c r="L53" s="329"/>
      <c r="M53" s="329"/>
      <c r="N53" s="329"/>
      <c r="O53" s="329"/>
      <c r="P53" s="329"/>
      <c r="Q53" s="329"/>
      <c r="R53" s="329"/>
      <c r="S53" s="329"/>
    </row>
    <row r="54" spans="1:19" x14ac:dyDescent="0.35">
      <c r="A54" s="77"/>
      <c r="B54" s="18" t="s">
        <v>14</v>
      </c>
      <c r="C54" s="329"/>
      <c r="D54" s="329"/>
      <c r="E54" s="329"/>
      <c r="F54" s="329"/>
      <c r="G54" s="329"/>
      <c r="H54" s="329"/>
      <c r="I54" s="329"/>
      <c r="J54" s="329"/>
      <c r="K54" s="329"/>
      <c r="L54" s="329"/>
      <c r="M54" s="329"/>
      <c r="N54" s="329"/>
      <c r="O54" s="329"/>
      <c r="P54" s="329"/>
      <c r="Q54" s="329"/>
      <c r="R54" s="329"/>
      <c r="S54" s="329"/>
    </row>
    <row r="55" spans="1:19" x14ac:dyDescent="0.35">
      <c r="A55" s="77"/>
      <c r="B55" s="72" t="s">
        <v>1385</v>
      </c>
      <c r="C55" s="82"/>
      <c r="D55" s="82"/>
      <c r="E55" s="82"/>
      <c r="F55" s="82"/>
      <c r="G55" s="331"/>
      <c r="H55" s="436">
        <f t="shared" ref="H55:S55" si="19">H$20+H$44</f>
        <v>0</v>
      </c>
      <c r="I55" s="436">
        <f t="shared" si="19"/>
        <v>0</v>
      </c>
      <c r="J55" s="436">
        <f t="shared" si="19"/>
        <v>10245000</v>
      </c>
      <c r="K55" s="436">
        <f t="shared" si="19"/>
        <v>0</v>
      </c>
      <c r="L55" s="436">
        <f t="shared" si="19"/>
        <v>0</v>
      </c>
      <c r="M55" s="436">
        <f t="shared" si="19"/>
        <v>0</v>
      </c>
      <c r="N55" s="436">
        <f t="shared" si="19"/>
        <v>0</v>
      </c>
      <c r="O55" s="436">
        <f t="shared" si="19"/>
        <v>0</v>
      </c>
      <c r="P55" s="436">
        <f t="shared" si="19"/>
        <v>0</v>
      </c>
      <c r="Q55" s="436">
        <f t="shared" si="19"/>
        <v>0</v>
      </c>
      <c r="R55" s="436">
        <f t="shared" si="19"/>
        <v>0</v>
      </c>
      <c r="S55" s="436">
        <f t="shared" si="19"/>
        <v>0</v>
      </c>
    </row>
    <row r="56" spans="1:19" x14ac:dyDescent="0.35">
      <c r="A56" s="77"/>
      <c r="B56" s="72" t="s">
        <v>1386</v>
      </c>
      <c r="C56" s="82"/>
      <c r="D56" s="82"/>
      <c r="E56" s="82"/>
      <c r="F56" s="82"/>
      <c r="G56" s="331"/>
      <c r="H56" s="436">
        <f t="shared" ref="H56:S56" si="20">H$21+H$45</f>
        <v>0</v>
      </c>
      <c r="I56" s="436">
        <f t="shared" si="20"/>
        <v>0</v>
      </c>
      <c r="J56" s="436">
        <f t="shared" si="20"/>
        <v>1024500</v>
      </c>
      <c r="K56" s="436">
        <f t="shared" si="20"/>
        <v>1024500</v>
      </c>
      <c r="L56" s="436">
        <f t="shared" si="20"/>
        <v>1024500</v>
      </c>
      <c r="M56" s="436">
        <f t="shared" si="20"/>
        <v>1024500</v>
      </c>
      <c r="N56" s="436">
        <f t="shared" si="20"/>
        <v>1024500</v>
      </c>
      <c r="O56" s="436">
        <f t="shared" si="20"/>
        <v>1024500</v>
      </c>
      <c r="P56" s="436">
        <f t="shared" si="20"/>
        <v>1024500</v>
      </c>
      <c r="Q56" s="436">
        <f t="shared" si="20"/>
        <v>1024500</v>
      </c>
      <c r="R56" s="436">
        <f t="shared" si="20"/>
        <v>1024500</v>
      </c>
      <c r="S56" s="436">
        <f t="shared" si="20"/>
        <v>1024500</v>
      </c>
    </row>
    <row r="57" spans="1:19" x14ac:dyDescent="0.35">
      <c r="A57" s="77"/>
      <c r="B57" s="72" t="s">
        <v>1387</v>
      </c>
      <c r="C57" s="82"/>
      <c r="D57" s="82"/>
      <c r="E57" s="82"/>
      <c r="F57" s="82"/>
      <c r="G57" s="331"/>
      <c r="H57" s="436">
        <f t="shared" ref="H57:S57" si="21">H$22+H$46</f>
        <v>0</v>
      </c>
      <c r="I57" s="436">
        <f t="shared" si="21"/>
        <v>0</v>
      </c>
      <c r="J57" s="436">
        <f t="shared" si="21"/>
        <v>368820</v>
      </c>
      <c r="K57" s="436">
        <f t="shared" si="21"/>
        <v>696660</v>
      </c>
      <c r="L57" s="436">
        <f t="shared" si="21"/>
        <v>614700</v>
      </c>
      <c r="M57" s="436">
        <f t="shared" si="21"/>
        <v>532740</v>
      </c>
      <c r="N57" s="436">
        <f t="shared" si="21"/>
        <v>450780</v>
      </c>
      <c r="O57" s="436">
        <f t="shared" si="21"/>
        <v>368820</v>
      </c>
      <c r="P57" s="436">
        <f t="shared" si="21"/>
        <v>286860</v>
      </c>
      <c r="Q57" s="436">
        <f t="shared" si="21"/>
        <v>204900</v>
      </c>
      <c r="R57" s="436">
        <f t="shared" si="21"/>
        <v>122940</v>
      </c>
      <c r="S57" s="436">
        <f t="shared" si="21"/>
        <v>40980</v>
      </c>
    </row>
    <row r="58" spans="1:19" ht="29.15" customHeight="1" x14ac:dyDescent="0.35">
      <c r="A58" s="77"/>
      <c r="B58" s="72" t="s">
        <v>1388</v>
      </c>
      <c r="C58" s="82"/>
      <c r="D58" s="82"/>
      <c r="E58" s="82"/>
      <c r="F58" s="82"/>
      <c r="G58" s="331"/>
      <c r="H58" s="436">
        <f t="shared" ref="H58:S58" si="22">H56+H57</f>
        <v>0</v>
      </c>
      <c r="I58" s="436">
        <f t="shared" si="22"/>
        <v>0</v>
      </c>
      <c r="J58" s="436">
        <f t="shared" si="22"/>
        <v>1393320</v>
      </c>
      <c r="K58" s="436">
        <f t="shared" si="22"/>
        <v>1721160</v>
      </c>
      <c r="L58" s="436">
        <f t="shared" si="22"/>
        <v>1639200</v>
      </c>
      <c r="M58" s="436">
        <f t="shared" si="22"/>
        <v>1557240</v>
      </c>
      <c r="N58" s="436">
        <f t="shared" si="22"/>
        <v>1475280</v>
      </c>
      <c r="O58" s="436">
        <f t="shared" si="22"/>
        <v>1393320</v>
      </c>
      <c r="P58" s="436">
        <f t="shared" si="22"/>
        <v>1311360</v>
      </c>
      <c r="Q58" s="436">
        <f t="shared" si="22"/>
        <v>1229400</v>
      </c>
      <c r="R58" s="436">
        <f t="shared" si="22"/>
        <v>1147440</v>
      </c>
      <c r="S58" s="436">
        <f t="shared" si="22"/>
        <v>1065480</v>
      </c>
    </row>
    <row r="59" spans="1:19" x14ac:dyDescent="0.35">
      <c r="A59" s="77"/>
      <c r="B59" s="72"/>
      <c r="C59" s="331"/>
      <c r="D59" s="331"/>
      <c r="E59" s="331"/>
      <c r="F59" s="331"/>
      <c r="G59" s="331"/>
      <c r="H59" s="331"/>
      <c r="I59" s="331"/>
      <c r="J59" s="331"/>
      <c r="K59" s="331"/>
      <c r="L59" s="331"/>
      <c r="M59" s="331"/>
      <c r="N59" s="331"/>
      <c r="O59" s="331"/>
      <c r="P59" s="331"/>
      <c r="Q59" s="331"/>
      <c r="R59" s="331"/>
      <c r="S59" s="331"/>
    </row>
    <row r="60" spans="1:19" x14ac:dyDescent="0.35">
      <c r="A60" s="77"/>
      <c r="B60" s="72"/>
      <c r="C60" s="331"/>
      <c r="D60" s="331"/>
      <c r="E60" s="331"/>
      <c r="F60" s="331"/>
      <c r="G60" s="331"/>
      <c r="H60" s="331"/>
      <c r="I60" s="331"/>
      <c r="J60" s="331"/>
      <c r="K60" s="331"/>
      <c r="L60" s="331"/>
      <c r="M60" s="331"/>
      <c r="N60" s="331"/>
      <c r="O60" s="331"/>
      <c r="P60" s="331"/>
      <c r="Q60" s="331"/>
      <c r="R60" s="331"/>
      <c r="S60" s="331"/>
    </row>
    <row r="61" spans="1:19" x14ac:dyDescent="0.35">
      <c r="A61" s="77"/>
      <c r="B61" s="72"/>
      <c r="C61" s="331"/>
      <c r="D61" s="331"/>
      <c r="E61" s="331"/>
      <c r="F61" s="331"/>
      <c r="G61" s="331"/>
      <c r="H61" s="331"/>
      <c r="I61" s="331"/>
      <c r="J61" s="331"/>
      <c r="K61" s="331"/>
      <c r="L61" s="331"/>
      <c r="M61" s="331"/>
      <c r="N61" s="331"/>
      <c r="O61" s="331"/>
      <c r="P61" s="331"/>
      <c r="Q61" s="331"/>
      <c r="R61" s="331"/>
      <c r="S61" s="331"/>
    </row>
  </sheetData>
  <dataValidations disablePrompts="1" count="1">
    <dataValidation type="list" allowBlank="1" showInputMessage="1" showErrorMessage="1" sqref="C19 C43" xr:uid="{00000000-0002-0000-0A00-000000000000}">
      <formula1>"Amortising, Bullet"</formula1>
    </dataValidation>
  </dataValidations>
  <pageMargins left="0.25" right="0.25" top="0.35" bottom="0.35" header="0.2" footer="0.2"/>
  <pageSetup fitToHeight="0" orientation="landscape"/>
  <headerFooter>
    <oddHeader>&amp;C&amp;A</oddHeader>
    <oddFooter>&amp;CPage &amp;P of &amp;N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FF00"/>
  </sheetPr>
  <dimension ref="A1:P183"/>
  <sheetViews>
    <sheetView showGridLines="0" tabSelected="1" topLeftCell="A16" workbookViewId="0">
      <selection activeCell="I37" sqref="I37"/>
    </sheetView>
  </sheetViews>
  <sheetFormatPr defaultColWidth="8.81640625" defaultRowHeight="14.5" x14ac:dyDescent="0.35"/>
  <cols>
    <col min="1" max="1" width="34" customWidth="1"/>
    <col min="2" max="2" width="31.81640625" customWidth="1"/>
    <col min="3" max="3" width="47.1796875" customWidth="1"/>
    <col min="4" max="4" width="13" customWidth="1"/>
    <col min="5" max="5" width="14.1796875" bestFit="1" customWidth="1"/>
    <col min="6" max="6" width="17.81640625" bestFit="1" customWidth="1"/>
    <col min="7" max="7" width="14.1796875" bestFit="1" customWidth="1"/>
    <col min="8" max="8" width="14" bestFit="1" customWidth="1"/>
    <col min="9" max="16" width="13" customWidth="1"/>
    <col min="17" max="17" width="12.453125" bestFit="1" customWidth="1"/>
    <col min="18" max="25" width="8.81640625" customWidth="1"/>
  </cols>
  <sheetData>
    <row r="1" spans="1:16" ht="13" customHeight="1" x14ac:dyDescent="0.35">
      <c r="A1" s="109" t="s">
        <v>1389</v>
      </c>
      <c r="B1" s="109"/>
      <c r="C1" s="109"/>
      <c r="D1" s="109"/>
      <c r="E1" s="109"/>
      <c r="F1" s="109"/>
      <c r="G1" s="109"/>
      <c r="H1" s="110"/>
      <c r="I1" s="110"/>
      <c r="J1" s="110"/>
      <c r="K1" s="110"/>
      <c r="L1" s="110"/>
      <c r="M1" s="110"/>
      <c r="N1" s="110"/>
      <c r="O1" s="110"/>
      <c r="P1" s="110"/>
    </row>
    <row r="2" spans="1:16" ht="14.5" customHeight="1" x14ac:dyDescent="0.35">
      <c r="A2" s="111"/>
      <c r="B2" s="111"/>
      <c r="C2" s="111"/>
      <c r="D2" s="111"/>
      <c r="E2" s="112"/>
      <c r="F2" s="111"/>
      <c r="G2" s="111"/>
      <c r="H2" s="111"/>
      <c r="I2" s="111"/>
      <c r="J2" s="111"/>
      <c r="K2" s="111"/>
      <c r="L2" s="111"/>
      <c r="M2" s="111"/>
      <c r="N2" s="111"/>
      <c r="O2" s="111"/>
      <c r="P2" s="111"/>
    </row>
    <row r="3" spans="1:16" ht="14.5" customHeight="1" x14ac:dyDescent="0.35">
      <c r="A3" s="111"/>
      <c r="B3" s="111"/>
      <c r="C3" s="111"/>
      <c r="D3" s="113"/>
      <c r="E3" s="112"/>
      <c r="F3" s="113"/>
      <c r="G3" s="113"/>
      <c r="H3" s="113"/>
      <c r="I3" s="113"/>
      <c r="J3" s="114"/>
      <c r="K3" s="114"/>
      <c r="L3" s="114"/>
      <c r="M3" s="114"/>
      <c r="N3" s="114"/>
      <c r="O3" s="114"/>
      <c r="P3" s="114"/>
    </row>
    <row r="4" spans="1:16" ht="14.5" customHeight="1" x14ac:dyDescent="0.35">
      <c r="A4" s="111"/>
      <c r="B4" s="115" t="s">
        <v>1390</v>
      </c>
      <c r="C4" s="111"/>
      <c r="D4" s="116" t="s">
        <v>1391</v>
      </c>
      <c r="E4" s="112"/>
      <c r="F4" s="116"/>
      <c r="G4" s="111"/>
      <c r="H4" s="113"/>
      <c r="I4" s="113"/>
      <c r="J4" s="113"/>
      <c r="K4" s="113"/>
      <c r="L4" s="113"/>
      <c r="M4" s="113"/>
      <c r="N4" s="113"/>
      <c r="O4" s="113"/>
      <c r="P4" s="111"/>
    </row>
    <row r="5" spans="1:16" ht="14.5" customHeight="1" x14ac:dyDescent="0.35">
      <c r="A5" s="111"/>
      <c r="B5" s="117">
        <v>1</v>
      </c>
      <c r="C5" s="115" t="s">
        <v>1392</v>
      </c>
      <c r="D5" s="15">
        <f>Inputs!$E$127</f>
        <v>5000</v>
      </c>
      <c r="E5" s="112"/>
      <c r="F5" s="116"/>
      <c r="G5" s="111"/>
      <c r="H5" s="113"/>
      <c r="I5" s="113"/>
      <c r="J5" s="113"/>
      <c r="K5" s="113"/>
      <c r="L5" s="113"/>
      <c r="M5" s="113"/>
      <c r="N5" s="113"/>
      <c r="O5" s="113"/>
      <c r="P5" s="111"/>
    </row>
    <row r="6" spans="1:16" ht="14.5" customHeight="1" x14ac:dyDescent="0.35">
      <c r="A6" s="111"/>
      <c r="B6" s="117">
        <v>2</v>
      </c>
      <c r="C6" s="115" t="s">
        <v>1392</v>
      </c>
      <c r="D6" s="15">
        <f>Inputs!$E$128</f>
        <v>3000</v>
      </c>
      <c r="E6" s="112"/>
      <c r="F6" s="116"/>
      <c r="G6" s="111"/>
      <c r="H6" s="113"/>
      <c r="I6" s="113"/>
      <c r="J6" s="113"/>
      <c r="K6" s="113"/>
      <c r="L6" s="113"/>
      <c r="M6" s="113"/>
      <c r="N6" s="113"/>
      <c r="O6" s="113"/>
      <c r="P6" s="111"/>
    </row>
    <row r="7" spans="1:16" ht="14.5" customHeight="1" x14ac:dyDescent="0.35">
      <c r="A7" s="111"/>
      <c r="B7" s="117">
        <v>3</v>
      </c>
      <c r="C7" s="115" t="s">
        <v>1392</v>
      </c>
      <c r="D7" s="15">
        <f>Inputs!$E$129</f>
        <v>1500</v>
      </c>
      <c r="E7" s="112"/>
      <c r="F7" s="116"/>
      <c r="G7" s="111"/>
      <c r="H7" s="113"/>
      <c r="I7" s="113"/>
      <c r="J7" s="113"/>
      <c r="K7" s="113"/>
      <c r="L7" s="113"/>
      <c r="M7" s="113"/>
      <c r="N7" s="113"/>
      <c r="O7" s="113"/>
      <c r="P7" s="111"/>
    </row>
    <row r="8" spans="1:16" ht="14.5" customHeight="1" x14ac:dyDescent="0.35">
      <c r="A8" s="111"/>
      <c r="B8" s="117">
        <v>4</v>
      </c>
      <c r="C8" s="115" t="s">
        <v>1393</v>
      </c>
      <c r="D8" s="15">
        <f>Inputs!$E$130</f>
        <v>3500</v>
      </c>
      <c r="E8" s="112"/>
      <c r="F8" s="116"/>
      <c r="G8" s="111"/>
      <c r="H8" s="113"/>
      <c r="I8" s="113"/>
      <c r="J8" s="113"/>
      <c r="K8" s="113"/>
      <c r="L8" s="113"/>
      <c r="M8" s="113"/>
      <c r="N8" s="113"/>
      <c r="O8" s="113"/>
      <c r="P8" s="111"/>
    </row>
    <row r="9" spans="1:16" ht="14.5" customHeight="1" x14ac:dyDescent="0.35">
      <c r="A9" s="111"/>
      <c r="B9" s="117">
        <v>5</v>
      </c>
      <c r="C9" s="115" t="s">
        <v>585</v>
      </c>
      <c r="D9" s="15">
        <f>Inputs!$E$131</f>
        <v>3500</v>
      </c>
      <c r="E9" s="112"/>
      <c r="F9" s="116"/>
      <c r="G9" s="111"/>
      <c r="H9" s="113"/>
      <c r="I9" s="113"/>
      <c r="J9" s="113"/>
      <c r="K9" s="113"/>
      <c r="L9" s="113"/>
      <c r="M9" s="113"/>
      <c r="N9" s="113"/>
      <c r="O9" s="113"/>
      <c r="P9" s="111"/>
    </row>
    <row r="10" spans="1:16" ht="14.5" customHeight="1" x14ac:dyDescent="0.35">
      <c r="A10" s="111"/>
      <c r="B10" s="117">
        <v>6</v>
      </c>
      <c r="C10" s="115" t="s">
        <v>587</v>
      </c>
      <c r="D10" s="15">
        <f>Inputs!$E$132</f>
        <v>3500</v>
      </c>
      <c r="E10" s="112"/>
      <c r="F10" s="116"/>
      <c r="G10" s="111"/>
      <c r="H10" s="113"/>
      <c r="I10" s="113"/>
      <c r="J10" s="113"/>
      <c r="K10" s="113"/>
      <c r="L10" s="113"/>
      <c r="M10" s="113"/>
      <c r="N10" s="113"/>
      <c r="O10" s="113"/>
      <c r="P10" s="111"/>
    </row>
    <row r="11" spans="1:16" ht="14.5" customHeight="1" x14ac:dyDescent="0.35">
      <c r="A11" s="111"/>
      <c r="B11" s="117">
        <v>7</v>
      </c>
      <c r="C11" s="115" t="s">
        <v>140</v>
      </c>
      <c r="D11" s="15">
        <f>Inputs!$E$133</f>
        <v>3500</v>
      </c>
      <c r="E11" s="112"/>
      <c r="F11" s="116"/>
      <c r="G11" s="111"/>
      <c r="H11" s="113"/>
      <c r="I11" s="113"/>
      <c r="J11" s="113"/>
      <c r="K11" s="113"/>
      <c r="L11" s="113"/>
      <c r="M11" s="113"/>
      <c r="N11" s="113"/>
      <c r="O11" s="113"/>
      <c r="P11" s="111"/>
    </row>
    <row r="12" spans="1:16" ht="14.5" customHeight="1" x14ac:dyDescent="0.35">
      <c r="A12" s="111"/>
      <c r="B12" s="117">
        <v>8</v>
      </c>
      <c r="C12" s="115" t="s">
        <v>142</v>
      </c>
      <c r="D12" s="15">
        <f>Inputs!$E$134</f>
        <v>3500</v>
      </c>
      <c r="E12" s="112"/>
      <c r="F12" s="116"/>
      <c r="G12" s="111"/>
      <c r="H12" s="113"/>
      <c r="I12" s="113"/>
      <c r="J12" s="113"/>
      <c r="K12" s="113"/>
      <c r="L12" s="113"/>
      <c r="M12" s="113"/>
      <c r="N12" s="113"/>
      <c r="O12" s="113"/>
      <c r="P12" s="111"/>
    </row>
    <row r="13" spans="1:16" ht="14.5" customHeight="1" x14ac:dyDescent="0.35">
      <c r="A13" s="111"/>
      <c r="B13" s="117">
        <v>9</v>
      </c>
      <c r="C13" s="115" t="s">
        <v>102</v>
      </c>
      <c r="D13" s="15">
        <f>Inputs!$E$135</f>
        <v>2000</v>
      </c>
      <c r="E13" s="112"/>
      <c r="F13" s="116"/>
      <c r="G13" s="111"/>
      <c r="H13" s="113"/>
      <c r="I13" s="113"/>
      <c r="J13" s="113"/>
      <c r="K13" s="113"/>
      <c r="L13" s="113"/>
      <c r="M13" s="113"/>
      <c r="N13" s="113"/>
      <c r="O13" s="113"/>
      <c r="P13" s="111"/>
    </row>
    <row r="14" spans="1:16" ht="14.5" customHeight="1" x14ac:dyDescent="0.35">
      <c r="A14" s="111"/>
      <c r="B14" s="117">
        <v>10</v>
      </c>
      <c r="C14" s="115" t="s">
        <v>1394</v>
      </c>
      <c r="D14" s="15">
        <f>Inputs!$E$136</f>
        <v>2000</v>
      </c>
      <c r="E14" s="112"/>
      <c r="F14" s="116"/>
      <c r="G14" s="111"/>
      <c r="H14" s="113"/>
      <c r="I14" s="113"/>
      <c r="J14" s="113"/>
      <c r="K14" s="113"/>
      <c r="L14" s="113"/>
      <c r="M14" s="113"/>
      <c r="N14" s="113"/>
      <c r="O14" s="113"/>
      <c r="P14" s="111"/>
    </row>
    <row r="15" spans="1:16" ht="14.5" customHeight="1" x14ac:dyDescent="0.35">
      <c r="A15" s="111"/>
      <c r="B15" s="117">
        <v>11</v>
      </c>
      <c r="C15" s="115" t="s">
        <v>1395</v>
      </c>
      <c r="D15" s="15">
        <f>Inputs!$E$137</f>
        <v>4000</v>
      </c>
      <c r="E15" s="112"/>
      <c r="F15" s="116"/>
      <c r="G15" s="111"/>
      <c r="H15" s="113"/>
      <c r="I15" s="113"/>
      <c r="J15" s="113"/>
      <c r="K15" s="113"/>
      <c r="L15" s="113"/>
      <c r="M15" s="113"/>
      <c r="N15" s="113"/>
      <c r="O15" s="113"/>
      <c r="P15" s="111"/>
    </row>
    <row r="16" spans="1:16" x14ac:dyDescent="0.35">
      <c r="A16" s="111"/>
      <c r="B16" s="111"/>
      <c r="C16" s="111"/>
      <c r="D16" s="113"/>
      <c r="E16" s="118"/>
      <c r="F16" s="113"/>
      <c r="G16" s="113"/>
      <c r="H16" s="113"/>
      <c r="I16" s="113"/>
      <c r="J16" s="113"/>
      <c r="K16" s="113"/>
      <c r="L16" s="113"/>
      <c r="M16" s="113"/>
      <c r="N16" s="113"/>
      <c r="O16" s="113"/>
      <c r="P16" s="113"/>
    </row>
    <row r="17" spans="1:16" x14ac:dyDescent="0.35">
      <c r="A17" s="111"/>
      <c r="B17" s="111"/>
      <c r="C17" s="111"/>
      <c r="D17" s="111"/>
      <c r="E17" s="111"/>
      <c r="F17" s="111"/>
      <c r="G17" s="111"/>
      <c r="H17" s="111"/>
      <c r="I17" s="111"/>
      <c r="J17" s="111"/>
      <c r="K17" s="111"/>
      <c r="L17" s="111"/>
      <c r="M17" s="111"/>
      <c r="N17" s="111"/>
      <c r="O17" s="111"/>
      <c r="P17" s="111"/>
    </row>
    <row r="18" spans="1:16" x14ac:dyDescent="0.35">
      <c r="A18" s="111"/>
      <c r="B18" s="111"/>
      <c r="C18" s="111"/>
      <c r="D18" s="111"/>
      <c r="E18" s="104" t="s">
        <v>15</v>
      </c>
      <c r="F18" s="119" t="str">
        <f>'P&amp;L'!J6</f>
        <v>FY27</v>
      </c>
      <c r="G18" s="119" t="str">
        <f>'P&amp;L'!K6</f>
        <v>FY28</v>
      </c>
      <c r="H18" s="119" t="str">
        <f>'P&amp;L'!L6</f>
        <v>FY29</v>
      </c>
      <c r="I18" s="119" t="str">
        <f>'P&amp;L'!M6</f>
        <v>FY30</v>
      </c>
      <c r="J18" s="119" t="str">
        <f>'P&amp;L'!N6</f>
        <v>FY31</v>
      </c>
      <c r="K18" s="119" t="str">
        <f>'P&amp;L'!O6</f>
        <v>FY32</v>
      </c>
      <c r="L18" s="119" t="str">
        <f>'P&amp;L'!P6</f>
        <v>FY33</v>
      </c>
      <c r="M18" s="119" t="str">
        <f>'P&amp;L'!Q6</f>
        <v>FY34</v>
      </c>
      <c r="N18" s="119" t="str">
        <f>'P&amp;L'!R6</f>
        <v>FY35</v>
      </c>
      <c r="O18" s="119" t="str">
        <f>'P&amp;L'!S6</f>
        <v>FY36</v>
      </c>
      <c r="P18" s="120"/>
    </row>
    <row r="19" spans="1:16" x14ac:dyDescent="0.35">
      <c r="A19" s="111"/>
      <c r="B19" s="115" t="s">
        <v>1396</v>
      </c>
      <c r="C19" s="111"/>
      <c r="D19" s="104" t="s">
        <v>1391</v>
      </c>
      <c r="E19" s="111"/>
      <c r="F19" s="748">
        <v>2027</v>
      </c>
      <c r="G19" s="117">
        <f t="shared" ref="G19:O19" si="0">F19+1</f>
        <v>2028</v>
      </c>
      <c r="H19" s="117">
        <f t="shared" si="0"/>
        <v>2029</v>
      </c>
      <c r="I19" s="117">
        <f t="shared" si="0"/>
        <v>2030</v>
      </c>
      <c r="J19" s="117">
        <f t="shared" si="0"/>
        <v>2031</v>
      </c>
      <c r="K19" s="117">
        <f t="shared" si="0"/>
        <v>2032</v>
      </c>
      <c r="L19" s="117">
        <f t="shared" si="0"/>
        <v>2033</v>
      </c>
      <c r="M19" s="117">
        <f t="shared" si="0"/>
        <v>2034</v>
      </c>
      <c r="N19" s="117">
        <f t="shared" si="0"/>
        <v>2035</v>
      </c>
      <c r="O19" s="117">
        <f t="shared" si="0"/>
        <v>2036</v>
      </c>
      <c r="P19" s="120"/>
    </row>
    <row r="20" spans="1:16" x14ac:dyDescent="0.35">
      <c r="A20" s="111"/>
      <c r="B20" s="115"/>
      <c r="C20" s="111"/>
      <c r="D20" s="104"/>
      <c r="E20" s="111"/>
      <c r="F20" s="748">
        <f>INDEX('P&amp;L'!$H$8:$S$8,MATCH(F$18,'P&amp;L'!$H$6:$S$6,0))</f>
        <v>0</v>
      </c>
      <c r="G20" s="748">
        <f>INDEX('P&amp;L'!$H$8:$S$8,MATCH(G$18,'P&amp;L'!$H$6:$S$6,0))</f>
        <v>1</v>
      </c>
      <c r="H20" s="748">
        <f>INDEX('P&amp;L'!$H$8:$S$8,MATCH(H$18,'P&amp;L'!$H$6:$S$6,0))</f>
        <v>1</v>
      </c>
      <c r="I20" s="748">
        <f>INDEX('P&amp;L'!$H$8:$S$8,MATCH(I$18,'P&amp;L'!$H$6:$S$6,0))</f>
        <v>1</v>
      </c>
      <c r="J20" s="748">
        <f>INDEX('P&amp;L'!$H$8:$S$8,MATCH(J$18,'P&amp;L'!$H$6:$S$6,0))</f>
        <v>1</v>
      </c>
      <c r="K20" s="748">
        <f>INDEX('P&amp;L'!$H$8:$S$8,MATCH(K$18,'P&amp;L'!$H$6:$S$6,0))</f>
        <v>1</v>
      </c>
      <c r="L20" s="748">
        <f>INDEX('P&amp;L'!$H$8:$S$8,MATCH(L$18,'P&amp;L'!$H$6:$S$6,0))</f>
        <v>1</v>
      </c>
      <c r="M20" s="748">
        <f>INDEX('P&amp;L'!$H$8:$S$8,MATCH(M$18,'P&amp;L'!$H$6:$S$6,0))</f>
        <v>1</v>
      </c>
      <c r="N20" s="748">
        <f>INDEX('P&amp;L'!$H$8:$S$8,MATCH(N$18,'P&amp;L'!$H$6:$S$6,0))</f>
        <v>1</v>
      </c>
      <c r="O20" s="748">
        <f>INDEX('P&amp;L'!$H$8:$S$8,MATCH(O$18,'P&amp;L'!$H$6:$S$6,0))</f>
        <v>1</v>
      </c>
      <c r="P20" s="120"/>
    </row>
    <row r="21" spans="1:16" s="749" customFormat="1" x14ac:dyDescent="0.35">
      <c r="A21" s="111"/>
      <c r="B21" s="115"/>
      <c r="C21" s="111"/>
      <c r="D21" s="104"/>
      <c r="E21" s="111"/>
      <c r="F21" s="748"/>
      <c r="G21" s="748"/>
      <c r="H21" s="748"/>
      <c r="I21" s="748"/>
      <c r="J21" s="748"/>
      <c r="K21" s="748"/>
      <c r="L21" s="748"/>
      <c r="M21" s="748"/>
      <c r="N21" s="748"/>
      <c r="O21" s="748"/>
      <c r="P21" s="120"/>
    </row>
    <row r="22" spans="1:16" x14ac:dyDescent="0.35">
      <c r="A22" s="111"/>
      <c r="B22" s="117">
        <v>1</v>
      </c>
      <c r="C22" s="115" t="s">
        <v>1392</v>
      </c>
      <c r="D22" s="463">
        <f>Inputs!$E$127</f>
        <v>5000</v>
      </c>
      <c r="E22" s="464"/>
      <c r="F22" s="741">
        <v>100</v>
      </c>
      <c r="G22" s="741">
        <f>F22*(1+Inputs!$E$152)</f>
        <v>103</v>
      </c>
      <c r="H22" s="14">
        <f>G22*(1+Inputs!$E$152)</f>
        <v>106.09</v>
      </c>
      <c r="I22" s="14">
        <f>H22*(1+Inputs!$E$152)</f>
        <v>109.2727</v>
      </c>
      <c r="J22" s="14">
        <f>I22*(1+Inputs!$E$152)</f>
        <v>112.550881</v>
      </c>
      <c r="K22" s="14">
        <f>J22*(1+Inputs!$E$152)</f>
        <v>115.92740743</v>
      </c>
      <c r="L22" s="14">
        <f>K22*(1+Inputs!$E$152)</f>
        <v>119.4052296529</v>
      </c>
      <c r="M22" s="14">
        <f>L22*(1+Inputs!$E$152)</f>
        <v>122.987386542487</v>
      </c>
      <c r="N22" s="14">
        <f>M22*(1+Inputs!$E$152)</f>
        <v>126.67700813876162</v>
      </c>
      <c r="O22" s="14">
        <f>N22*(1+Inputs!$E$152)</f>
        <v>130.47731838292447</v>
      </c>
      <c r="P22" s="120"/>
    </row>
    <row r="23" spans="1:16" x14ac:dyDescent="0.35">
      <c r="A23" s="111"/>
      <c r="B23" s="117">
        <v>2</v>
      </c>
      <c r="C23" s="115" t="s">
        <v>1392</v>
      </c>
      <c r="D23" s="463">
        <f>Inputs!$E$128</f>
        <v>3000</v>
      </c>
      <c r="E23" s="464"/>
      <c r="F23" s="14">
        <v>100</v>
      </c>
      <c r="G23" s="14">
        <f>F23*(1+Inputs!$E$152)</f>
        <v>103</v>
      </c>
      <c r="H23" s="14">
        <f>G23*(1+Inputs!$E$152)</f>
        <v>106.09</v>
      </c>
      <c r="I23" s="14">
        <f>H23*(1+Inputs!$E$152)</f>
        <v>109.2727</v>
      </c>
      <c r="J23" s="14">
        <f>I23*(1+Inputs!$E$152)</f>
        <v>112.550881</v>
      </c>
      <c r="K23" s="14">
        <f>J23*(1+Inputs!$E$152)</f>
        <v>115.92740743</v>
      </c>
      <c r="L23" s="14">
        <f>K23*(1+Inputs!$E$152)</f>
        <v>119.4052296529</v>
      </c>
      <c r="M23" s="14">
        <f>L23*(1+Inputs!$E$152)</f>
        <v>122.987386542487</v>
      </c>
      <c r="N23" s="14">
        <f>M23*(1+Inputs!$E$152)</f>
        <v>126.67700813876162</v>
      </c>
      <c r="O23" s="14">
        <f>N23*(1+Inputs!$E$152)</f>
        <v>130.47731838292447</v>
      </c>
      <c r="P23" s="120"/>
    </row>
    <row r="24" spans="1:16" x14ac:dyDescent="0.35">
      <c r="A24" s="111"/>
      <c r="B24" s="117">
        <v>3</v>
      </c>
      <c r="C24" s="115" t="s">
        <v>1392</v>
      </c>
      <c r="D24" s="463">
        <f>Inputs!$E$129</f>
        <v>1500</v>
      </c>
      <c r="E24" s="464"/>
      <c r="F24" s="14">
        <v>85</v>
      </c>
      <c r="G24" s="14">
        <f>F24*(1+Inputs!$E$152)</f>
        <v>87.55</v>
      </c>
      <c r="H24" s="14">
        <f>G24*(1+Inputs!$E$152)</f>
        <v>90.176500000000004</v>
      </c>
      <c r="I24" s="14">
        <f>H24*(1+Inputs!$E$152)</f>
        <v>92.881795000000011</v>
      </c>
      <c r="J24" s="14">
        <f>I24*(1+Inputs!$E$152)</f>
        <v>95.668248850000012</v>
      </c>
      <c r="K24" s="14">
        <f>J24*(1+Inputs!$E$152)</f>
        <v>98.53829631550002</v>
      </c>
      <c r="L24" s="14">
        <f>K24*(1+Inputs!$E$152)</f>
        <v>101.49444520496502</v>
      </c>
      <c r="M24" s="14">
        <f>L24*(1+Inputs!$E$152)</f>
        <v>104.53927856111397</v>
      </c>
      <c r="N24" s="14">
        <f>M24*(1+Inputs!$E$152)</f>
        <v>107.6754569179474</v>
      </c>
      <c r="O24" s="14">
        <f>N24*(1+Inputs!$E$152)</f>
        <v>110.90572062548583</v>
      </c>
      <c r="P24" s="120"/>
    </row>
    <row r="25" spans="1:16" x14ac:dyDescent="0.35">
      <c r="A25" s="111"/>
      <c r="B25" s="117">
        <v>4</v>
      </c>
      <c r="C25" s="115" t="s">
        <v>1393</v>
      </c>
      <c r="D25" s="463">
        <f>Inputs!$E$130</f>
        <v>3500</v>
      </c>
      <c r="E25" s="464"/>
      <c r="F25" s="14">
        <v>120</v>
      </c>
      <c r="G25" s="14">
        <f>F25*(1+Inputs!$E$152)</f>
        <v>123.60000000000001</v>
      </c>
      <c r="H25" s="14">
        <f>G25*(1+Inputs!$E$152)</f>
        <v>127.30800000000001</v>
      </c>
      <c r="I25" s="14">
        <f>H25*(1+Inputs!$E$152)</f>
        <v>131.12724</v>
      </c>
      <c r="J25" s="14">
        <f>I25*(1+Inputs!$E$152)</f>
        <v>135.06105719999999</v>
      </c>
      <c r="K25" s="14">
        <f>J25*(1+Inputs!$E$152)</f>
        <v>139.112888916</v>
      </c>
      <c r="L25" s="14">
        <f>K25*(1+Inputs!$E$152)</f>
        <v>143.28627558348001</v>
      </c>
      <c r="M25" s="14">
        <f>L25*(1+Inputs!$E$152)</f>
        <v>147.58486385098442</v>
      </c>
      <c r="N25" s="14">
        <f>M25*(1+Inputs!$E$152)</f>
        <v>152.01240976651397</v>
      </c>
      <c r="O25" s="14">
        <f>N25*(1+Inputs!$E$152)</f>
        <v>156.57278205950939</v>
      </c>
      <c r="P25" s="120"/>
    </row>
    <row r="26" spans="1:16" x14ac:dyDescent="0.35">
      <c r="A26" s="111"/>
      <c r="B26" s="117">
        <v>5</v>
      </c>
      <c r="C26" s="115" t="s">
        <v>585</v>
      </c>
      <c r="D26" s="463">
        <f>Inputs!$E$131</f>
        <v>3500</v>
      </c>
      <c r="E26" s="464"/>
      <c r="F26" s="14">
        <v>100</v>
      </c>
      <c r="G26" s="14">
        <f>F26*(1+Inputs!$E$152)</f>
        <v>103</v>
      </c>
      <c r="H26" s="14">
        <f>G26*(1+Inputs!$E$152)</f>
        <v>106.09</v>
      </c>
      <c r="I26" s="14">
        <f>H26*(1+Inputs!$E$152)</f>
        <v>109.2727</v>
      </c>
      <c r="J26" s="14">
        <f>I26*(1+Inputs!$E$152)</f>
        <v>112.550881</v>
      </c>
      <c r="K26" s="14">
        <f>J26*(1+Inputs!$E$152)</f>
        <v>115.92740743</v>
      </c>
      <c r="L26" s="14">
        <f>K26*(1+Inputs!$E$152)</f>
        <v>119.4052296529</v>
      </c>
      <c r="M26" s="14">
        <f>L26*(1+Inputs!$E$152)</f>
        <v>122.987386542487</v>
      </c>
      <c r="N26" s="14">
        <f>M26*(1+Inputs!$E$152)</f>
        <v>126.67700813876162</v>
      </c>
      <c r="O26" s="14">
        <f>N26*(1+Inputs!$E$152)</f>
        <v>130.47731838292447</v>
      </c>
      <c r="P26" s="120"/>
    </row>
    <row r="27" spans="1:16" x14ac:dyDescent="0.35">
      <c r="A27" s="111"/>
      <c r="B27" s="117">
        <v>6</v>
      </c>
      <c r="C27" s="115" t="s">
        <v>587</v>
      </c>
      <c r="D27" s="463">
        <f>Inputs!$E$132</f>
        <v>3500</v>
      </c>
      <c r="E27" s="464"/>
      <c r="F27" s="14">
        <v>100</v>
      </c>
      <c r="G27" s="14">
        <f>F27*(1+Inputs!$E$152)</f>
        <v>103</v>
      </c>
      <c r="H27" s="14">
        <f>G27*(1+Inputs!$E$152)</f>
        <v>106.09</v>
      </c>
      <c r="I27" s="14">
        <f>H27*(1+Inputs!$E$152)</f>
        <v>109.2727</v>
      </c>
      <c r="J27" s="14">
        <f>I27*(1+Inputs!$E$152)</f>
        <v>112.550881</v>
      </c>
      <c r="K27" s="14">
        <f>J27*(1+Inputs!$E$152)</f>
        <v>115.92740743</v>
      </c>
      <c r="L27" s="14">
        <f>K27*(1+Inputs!$E$152)</f>
        <v>119.4052296529</v>
      </c>
      <c r="M27" s="14">
        <f>L27*(1+Inputs!$E$152)</f>
        <v>122.987386542487</v>
      </c>
      <c r="N27" s="14">
        <f>M27*(1+Inputs!$E$152)</f>
        <v>126.67700813876162</v>
      </c>
      <c r="O27" s="14">
        <f>N27*(1+Inputs!$E$152)</f>
        <v>130.47731838292447</v>
      </c>
      <c r="P27" s="120"/>
    </row>
    <row r="28" spans="1:16" x14ac:dyDescent="0.35">
      <c r="A28" s="111"/>
      <c r="B28" s="117">
        <v>7</v>
      </c>
      <c r="C28" s="115" t="s">
        <v>140</v>
      </c>
      <c r="D28" s="463">
        <f>Inputs!$E$133</f>
        <v>3500</v>
      </c>
      <c r="E28" s="464"/>
      <c r="F28" s="14">
        <v>110</v>
      </c>
      <c r="G28" s="14">
        <f>F28*(1+Inputs!$E$152)</f>
        <v>113.3</v>
      </c>
      <c r="H28" s="14">
        <f>G28*(1+Inputs!$E$152)</f>
        <v>116.699</v>
      </c>
      <c r="I28" s="14">
        <f>H28*(1+Inputs!$E$152)</f>
        <v>120.19997000000001</v>
      </c>
      <c r="J28" s="14">
        <f>I28*(1+Inputs!$E$152)</f>
        <v>123.80596910000001</v>
      </c>
      <c r="K28" s="14">
        <f>J28*(1+Inputs!$E$152)</f>
        <v>127.52014817300001</v>
      </c>
      <c r="L28" s="14">
        <f>K28*(1+Inputs!$E$152)</f>
        <v>131.34575261819001</v>
      </c>
      <c r="M28" s="14">
        <f>L28*(1+Inputs!$E$152)</f>
        <v>135.2861251967357</v>
      </c>
      <c r="N28" s="14">
        <f>M28*(1+Inputs!$E$152)</f>
        <v>139.34470895263777</v>
      </c>
      <c r="O28" s="14">
        <f>N28*(1+Inputs!$E$152)</f>
        <v>143.5250502212169</v>
      </c>
      <c r="P28" s="120"/>
    </row>
    <row r="29" spans="1:16" x14ac:dyDescent="0.35">
      <c r="A29" s="111"/>
      <c r="B29" s="117">
        <v>8</v>
      </c>
      <c r="C29" s="115" t="s">
        <v>142</v>
      </c>
      <c r="D29" s="463">
        <f>Inputs!$E$134</f>
        <v>3500</v>
      </c>
      <c r="E29" s="464"/>
      <c r="F29" s="14">
        <f>0</f>
        <v>0</v>
      </c>
      <c r="G29" s="14">
        <f>F29*(1+Inputs!$E$152)</f>
        <v>0</v>
      </c>
      <c r="H29" s="14">
        <f>G29*(1+Inputs!$E$152)</f>
        <v>0</v>
      </c>
      <c r="I29" s="14">
        <f>H29*(1+Inputs!$E$152)</f>
        <v>0</v>
      </c>
      <c r="J29" s="14">
        <f>I29*(1+Inputs!$E$152)</f>
        <v>0</v>
      </c>
      <c r="K29" s="14">
        <f>J29*(1+Inputs!$E$152)</f>
        <v>0</v>
      </c>
      <c r="L29" s="14">
        <f>K29*(1+Inputs!$E$152)</f>
        <v>0</v>
      </c>
      <c r="M29" s="14">
        <f>L29*(1+Inputs!$E$152)</f>
        <v>0</v>
      </c>
      <c r="N29" s="14">
        <f>M29*(1+Inputs!$E$152)</f>
        <v>0</v>
      </c>
      <c r="O29" s="14">
        <f>N29*(1+Inputs!$E$152)</f>
        <v>0</v>
      </c>
      <c r="P29" s="120"/>
    </row>
    <row r="30" spans="1:16" x14ac:dyDescent="0.35">
      <c r="A30" s="111"/>
      <c r="B30" s="117">
        <v>9</v>
      </c>
      <c r="C30" s="115" t="s">
        <v>102</v>
      </c>
      <c r="D30" s="463">
        <f>Inputs!$E$135</f>
        <v>2000</v>
      </c>
      <c r="E30" s="464"/>
      <c r="F30" s="14">
        <f>0</f>
        <v>0</v>
      </c>
      <c r="G30" s="14">
        <f>F30*(1+Inputs!$E$152)</f>
        <v>0</v>
      </c>
      <c r="H30" s="14">
        <f>G30*(1+Inputs!$E$152)</f>
        <v>0</v>
      </c>
      <c r="I30" s="14">
        <f>H30*(1+Inputs!$E$152)</f>
        <v>0</v>
      </c>
      <c r="J30" s="14">
        <f>I30*(1+Inputs!$E$152)</f>
        <v>0</v>
      </c>
      <c r="K30" s="14">
        <f>J30*(1+Inputs!$E$152)</f>
        <v>0</v>
      </c>
      <c r="L30" s="14">
        <f>K30*(1+Inputs!$E$152)</f>
        <v>0</v>
      </c>
      <c r="M30" s="14">
        <f>L30*(1+Inputs!$E$152)</f>
        <v>0</v>
      </c>
      <c r="N30" s="14">
        <f>M30*(1+Inputs!$E$152)</f>
        <v>0</v>
      </c>
      <c r="O30" s="14">
        <f>N30*(1+Inputs!$E$152)</f>
        <v>0</v>
      </c>
      <c r="P30" s="120"/>
    </row>
    <row r="31" spans="1:16" x14ac:dyDescent="0.35">
      <c r="A31" s="111"/>
      <c r="B31" s="117">
        <v>10</v>
      </c>
      <c r="C31" s="115" t="s">
        <v>1394</v>
      </c>
      <c r="D31" s="463">
        <f>Inputs!$E$136</f>
        <v>2000</v>
      </c>
      <c r="E31" s="464"/>
      <c r="F31" s="14">
        <f>0</f>
        <v>0</v>
      </c>
      <c r="G31" s="14">
        <f>F31*(1+Inputs!$E$152)</f>
        <v>0</v>
      </c>
      <c r="H31" s="14">
        <f>G31*(1+Inputs!$E$152)</f>
        <v>0</v>
      </c>
      <c r="I31" s="14">
        <f>H31*(1+Inputs!$E$152)</f>
        <v>0</v>
      </c>
      <c r="J31" s="14">
        <f>I31*(1+Inputs!$E$152)</f>
        <v>0</v>
      </c>
      <c r="K31" s="14">
        <f>J31*(1+Inputs!$E$152)</f>
        <v>0</v>
      </c>
      <c r="L31" s="14">
        <f>K31*(1+Inputs!$E$152)</f>
        <v>0</v>
      </c>
      <c r="M31" s="14">
        <f>L31*(1+Inputs!$E$152)</f>
        <v>0</v>
      </c>
      <c r="N31" s="14">
        <f>M31*(1+Inputs!$E$152)</f>
        <v>0</v>
      </c>
      <c r="O31" s="14">
        <f>N31*(1+Inputs!$E$152)</f>
        <v>0</v>
      </c>
      <c r="P31" s="120"/>
    </row>
    <row r="32" spans="1:16" x14ac:dyDescent="0.35">
      <c r="A32" s="111"/>
      <c r="B32" s="117">
        <v>11</v>
      </c>
      <c r="C32" s="115" t="s">
        <v>1395</v>
      </c>
      <c r="D32" s="463">
        <f>Inputs!$E$137</f>
        <v>4000</v>
      </c>
      <c r="E32" s="464"/>
      <c r="F32" s="14">
        <f>0</f>
        <v>0</v>
      </c>
      <c r="G32" s="14">
        <f>F32*(1+Inputs!$E$152)</f>
        <v>0</v>
      </c>
      <c r="H32" s="14">
        <f>G32*(1+Inputs!$E$152)</f>
        <v>0</v>
      </c>
      <c r="I32" s="14">
        <f>H32*(1+Inputs!$E$152)</f>
        <v>0</v>
      </c>
      <c r="J32" s="14">
        <f>I32*(1+Inputs!$E$152)</f>
        <v>0</v>
      </c>
      <c r="K32" s="14">
        <f>J32*(1+Inputs!$E$152)</f>
        <v>0</v>
      </c>
      <c r="L32" s="14">
        <f>K32*(1+Inputs!$E$152)</f>
        <v>0</v>
      </c>
      <c r="M32" s="14">
        <f>L32*(1+Inputs!$E$152)</f>
        <v>0</v>
      </c>
      <c r="N32" s="14">
        <f>M32*(1+Inputs!$E$152)</f>
        <v>0</v>
      </c>
      <c r="O32" s="14">
        <f>N32*(1+Inputs!$E$152)</f>
        <v>0</v>
      </c>
      <c r="P32" s="120"/>
    </row>
    <row r="33" spans="1:16" x14ac:dyDescent="0.35">
      <c r="A33" s="111"/>
      <c r="B33" s="111"/>
      <c r="C33" s="111"/>
      <c r="D33" s="111"/>
      <c r="E33" s="111"/>
      <c r="F33" s="120"/>
      <c r="G33" s="120"/>
      <c r="H33" s="120"/>
      <c r="I33" s="120"/>
      <c r="J33" s="120"/>
      <c r="K33" s="120"/>
      <c r="L33" s="120"/>
      <c r="M33" s="120"/>
      <c r="N33" s="120"/>
      <c r="O33" s="120"/>
      <c r="P33" s="120"/>
    </row>
    <row r="34" spans="1:16" x14ac:dyDescent="0.35">
      <c r="A34" s="111"/>
      <c r="B34" s="111"/>
      <c r="C34" s="111"/>
      <c r="D34" s="111"/>
      <c r="E34" s="104" t="s">
        <v>15</v>
      </c>
      <c r="F34" s="119" t="str">
        <f>'P&amp;L'!J6</f>
        <v>FY27</v>
      </c>
      <c r="G34" s="119" t="str">
        <f>'P&amp;L'!K6</f>
        <v>FY28</v>
      </c>
      <c r="H34" s="119" t="str">
        <f>'P&amp;L'!L6</f>
        <v>FY29</v>
      </c>
      <c r="I34" s="119" t="str">
        <f>'P&amp;L'!M6</f>
        <v>FY30</v>
      </c>
      <c r="J34" s="119" t="str">
        <f>'P&amp;L'!N6</f>
        <v>FY31</v>
      </c>
      <c r="K34" s="119" t="str">
        <f>'P&amp;L'!O6</f>
        <v>FY32</v>
      </c>
      <c r="L34" s="119" t="str">
        <f>'P&amp;L'!P6</f>
        <v>FY33</v>
      </c>
      <c r="M34" s="119" t="str">
        <f>'P&amp;L'!Q6</f>
        <v>FY34</v>
      </c>
      <c r="N34" s="119" t="str">
        <f>'P&amp;L'!R6</f>
        <v>FY35</v>
      </c>
      <c r="O34" s="119" t="str">
        <f>'P&amp;L'!S6</f>
        <v>FY36</v>
      </c>
      <c r="P34" s="120"/>
    </row>
    <row r="35" spans="1:16" x14ac:dyDescent="0.35">
      <c r="A35" s="111"/>
      <c r="B35" s="115" t="s">
        <v>2057</v>
      </c>
      <c r="C35" s="111"/>
      <c r="D35" s="104" t="s">
        <v>1391</v>
      </c>
      <c r="E35" s="111"/>
      <c r="F35" s="117">
        <f>F19</f>
        <v>2027</v>
      </c>
      <c r="G35" s="117">
        <f t="shared" ref="G35:O35" si="1">G19</f>
        <v>2028</v>
      </c>
      <c r="H35" s="117">
        <f t="shared" si="1"/>
        <v>2029</v>
      </c>
      <c r="I35" s="117">
        <f t="shared" si="1"/>
        <v>2030</v>
      </c>
      <c r="J35" s="117">
        <f t="shared" si="1"/>
        <v>2031</v>
      </c>
      <c r="K35" s="117">
        <f t="shared" si="1"/>
        <v>2032</v>
      </c>
      <c r="L35" s="117">
        <f t="shared" si="1"/>
        <v>2033</v>
      </c>
      <c r="M35" s="117">
        <f t="shared" si="1"/>
        <v>2034</v>
      </c>
      <c r="N35" s="117">
        <f t="shared" si="1"/>
        <v>2035</v>
      </c>
      <c r="O35" s="117">
        <f t="shared" si="1"/>
        <v>2036</v>
      </c>
      <c r="P35" s="117"/>
    </row>
    <row r="36" spans="1:16" x14ac:dyDescent="0.35">
      <c r="A36" s="111"/>
      <c r="B36" s="115"/>
      <c r="C36" s="111"/>
      <c r="D36" s="104"/>
      <c r="E36" s="111"/>
      <c r="F36" s="117"/>
      <c r="G36" s="117"/>
      <c r="H36" s="117"/>
      <c r="I36" s="117"/>
      <c r="J36" s="117"/>
      <c r="K36" s="117"/>
      <c r="L36" s="117"/>
      <c r="M36" s="117"/>
      <c r="N36" s="117"/>
      <c r="O36" s="117"/>
      <c r="P36" s="117"/>
    </row>
    <row r="37" spans="1:16" x14ac:dyDescent="0.35">
      <c r="A37" s="111"/>
      <c r="B37" s="117">
        <v>1</v>
      </c>
      <c r="C37" s="115" t="s">
        <v>1392</v>
      </c>
      <c r="D37" s="15">
        <f>Inputs!$E$127</f>
        <v>5000</v>
      </c>
      <c r="E37" s="464"/>
      <c r="F37" s="695">
        <f>F22*$D22*'Calendar Assumptions'!$E$41*RM_VHA_GBO_Fee</f>
        <v>52000</v>
      </c>
      <c r="G37" s="695">
        <f>G22*$D22*'Calendar Assumptions'!$E$41*RM_VHA_GBO_Fee</f>
        <v>53560</v>
      </c>
      <c r="H37" s="465">
        <f>H22*$D22*'Calendar Assumptions'!$E$41*RM_VHA_GBO_Fee</f>
        <v>55166.8</v>
      </c>
      <c r="I37" s="465">
        <f>I22*$D22*'Calendar Assumptions'!$E$41*RM_VHA_GBO_Fee</f>
        <v>56821.804000000011</v>
      </c>
      <c r="J37" s="465">
        <f>J22*$D22*'Calendar Assumptions'!$E$41*RM_VHA_GBO_Fee</f>
        <v>58526.458120000003</v>
      </c>
      <c r="K37" s="465">
        <f>K22*$D22*'Calendar Assumptions'!$E$41*RM_VHA_GBO_Fee</f>
        <v>60282.251863600002</v>
      </c>
      <c r="L37" s="465">
        <f>L22*$D22*'Calendar Assumptions'!$E$41*RM_VHA_GBO_Fee</f>
        <v>62090.719419508008</v>
      </c>
      <c r="M37" s="465">
        <f>M22*$D22*'Calendar Assumptions'!$E$41*RM_VHA_GBO_Fee</f>
        <v>63953.441002093248</v>
      </c>
      <c r="N37" s="465">
        <f>N22*$D22*'Calendar Assumptions'!$E$41*RM_VHA_GBO_Fee</f>
        <v>65872.04423215604</v>
      </c>
      <c r="O37" s="465">
        <f>O22*$D22*'Calendar Assumptions'!$E$41*RM_VHA_GBO_Fee</f>
        <v>67848.205559120732</v>
      </c>
      <c r="P37" s="120"/>
    </row>
    <row r="38" spans="1:16" x14ac:dyDescent="0.35">
      <c r="A38" s="111"/>
      <c r="B38" s="117">
        <v>2</v>
      </c>
      <c r="C38" s="115" t="s">
        <v>1392</v>
      </c>
      <c r="D38" s="15">
        <f>Inputs!$E$128</f>
        <v>3000</v>
      </c>
      <c r="E38" s="464"/>
      <c r="F38" s="465">
        <f>F23*$D23*'Calendar Assumptions'!$E$42*RM_VHA_GBO_Fee</f>
        <v>31200</v>
      </c>
      <c r="G38" s="465">
        <f>G23*$D23*'Calendar Assumptions'!$E$42*RM_VHA_GBO_Fee</f>
        <v>32136</v>
      </c>
      <c r="H38" s="465">
        <f>H23*$D23*'Calendar Assumptions'!$E$42*RM_VHA_GBO_Fee</f>
        <v>33100.080000000002</v>
      </c>
      <c r="I38" s="465">
        <f>I23*$D23*'Calendar Assumptions'!$E$42*RM_VHA_GBO_Fee</f>
        <v>34093.082399999999</v>
      </c>
      <c r="J38" s="465">
        <f>J23*$D23*'Calendar Assumptions'!$E$42*RM_VHA_GBO_Fee</f>
        <v>35115.874872</v>
      </c>
      <c r="K38" s="465">
        <f>K23*$D23*'Calendar Assumptions'!$E$42*RM_VHA_GBO_Fee</f>
        <v>36169.351118159997</v>
      </c>
      <c r="L38" s="465">
        <f>L23*$D23*'Calendar Assumptions'!$E$42*RM_VHA_GBO_Fee</f>
        <v>37254.431651704799</v>
      </c>
      <c r="M38" s="465">
        <f>M23*$D23*'Calendar Assumptions'!$E$42*RM_VHA_GBO_Fee</f>
        <v>38372.064601255945</v>
      </c>
      <c r="N38" s="465">
        <f>N23*$D23*'Calendar Assumptions'!$E$42*RM_VHA_GBO_Fee</f>
        <v>39523.226539293624</v>
      </c>
      <c r="O38" s="465">
        <f>O23*$D23*'Calendar Assumptions'!$E$42*RM_VHA_GBO_Fee</f>
        <v>40708.923335472435</v>
      </c>
      <c r="P38" s="120"/>
    </row>
    <row r="39" spans="1:16" x14ac:dyDescent="0.35">
      <c r="A39" s="111"/>
      <c r="B39" s="117">
        <v>3</v>
      </c>
      <c r="C39" s="115" t="s">
        <v>1392</v>
      </c>
      <c r="D39" s="15">
        <f>Inputs!$E$129</f>
        <v>1500</v>
      </c>
      <c r="E39" s="464"/>
      <c r="F39" s="465">
        <f>F24*$D24*'Calendar Assumptions'!$E$43*RM_VHA_GBO_Fee</f>
        <v>14917.5</v>
      </c>
      <c r="G39" s="465">
        <f>G24*$D24*'Calendar Assumptions'!$E$43*RM_VHA_GBO_Fee</f>
        <v>15365.025</v>
      </c>
      <c r="H39" s="465">
        <f>H24*$D24*'Calendar Assumptions'!$E$43*RM_VHA_GBO_Fee</f>
        <v>15825.975750000001</v>
      </c>
      <c r="I39" s="465">
        <f>I24*$D24*'Calendar Assumptions'!$E$43*RM_VHA_GBO_Fee</f>
        <v>16300.755022500001</v>
      </c>
      <c r="J39" s="465">
        <f>J24*$D24*'Calendar Assumptions'!$E$43*RM_VHA_GBO_Fee</f>
        <v>16789.777673175002</v>
      </c>
      <c r="K39" s="465">
        <f>K24*$D24*'Calendar Assumptions'!$E$43*RM_VHA_GBO_Fee</f>
        <v>17293.471003370254</v>
      </c>
      <c r="L39" s="465">
        <f>L24*$D24*'Calendar Assumptions'!$E$43*RM_VHA_GBO_Fee</f>
        <v>17812.275133471361</v>
      </c>
      <c r="M39" s="465">
        <f>M24*$D24*'Calendar Assumptions'!$E$43*RM_VHA_GBO_Fee</f>
        <v>18346.643387475502</v>
      </c>
      <c r="N39" s="465">
        <f>N24*$D24*'Calendar Assumptions'!$E$43*RM_VHA_GBO_Fee</f>
        <v>18897.04268909977</v>
      </c>
      <c r="O39" s="465">
        <f>O24*$D24*'Calendar Assumptions'!$E$43*RM_VHA_GBO_Fee</f>
        <v>19463.953969772767</v>
      </c>
      <c r="P39" s="120"/>
    </row>
    <row r="40" spans="1:16" x14ac:dyDescent="0.35">
      <c r="A40" s="111"/>
      <c r="B40" s="117">
        <v>4</v>
      </c>
      <c r="C40" s="115" t="s">
        <v>1393</v>
      </c>
      <c r="D40" s="15">
        <f>Inputs!$E$130</f>
        <v>3500</v>
      </c>
      <c r="E40" s="464"/>
      <c r="F40" s="465">
        <f>F25*$D25*'Calendar Assumptions'!$E$44*RM_VHA_GBO_Fee</f>
        <v>49140</v>
      </c>
      <c r="G40" s="465">
        <f>G25*$D25*'Calendar Assumptions'!$E$44*RM_VHA_GBO_Fee</f>
        <v>50614.200000000012</v>
      </c>
      <c r="H40" s="465">
        <f>H25*$D25*'Calendar Assumptions'!$E$44*RM_VHA_GBO_Fee</f>
        <v>52132.626000000004</v>
      </c>
      <c r="I40" s="465">
        <f>I25*$D25*'Calendar Assumptions'!$E$44*RM_VHA_GBO_Fee</f>
        <v>53696.604780000009</v>
      </c>
      <c r="J40" s="465">
        <f>J25*$D25*'Calendar Assumptions'!$E$44*RM_VHA_GBO_Fee</f>
        <v>55307.502923400003</v>
      </c>
      <c r="K40" s="465">
        <f>K25*$D25*'Calendar Assumptions'!$E$44*RM_VHA_GBO_Fee</f>
        <v>56966.728011102008</v>
      </c>
      <c r="L40" s="465">
        <f>L25*$D25*'Calendar Assumptions'!$E$44*RM_VHA_GBO_Fee</f>
        <v>58675.729851435062</v>
      </c>
      <c r="M40" s="465">
        <f>M25*$D25*'Calendar Assumptions'!$E$44*RM_VHA_GBO_Fee</f>
        <v>60436.001746978123</v>
      </c>
      <c r="N40" s="465">
        <f>N25*$D25*'Calendar Assumptions'!$E$44*RM_VHA_GBO_Fee</f>
        <v>62249.081799387466</v>
      </c>
      <c r="O40" s="465">
        <f>O25*$D25*'Calendar Assumptions'!$E$44*RM_VHA_GBO_Fee</f>
        <v>64116.554253369104</v>
      </c>
      <c r="P40" s="120"/>
    </row>
    <row r="41" spans="1:16" x14ac:dyDescent="0.35">
      <c r="A41" s="111"/>
      <c r="B41" s="117">
        <v>5</v>
      </c>
      <c r="C41" s="115" t="s">
        <v>585</v>
      </c>
      <c r="D41" s="15">
        <f>Inputs!$E$131</f>
        <v>3500</v>
      </c>
      <c r="E41" s="464"/>
      <c r="F41" s="465">
        <f>F26*$D26*'Calendar Assumptions'!$E$45*RM_VHA_GBO_Fee</f>
        <v>40950</v>
      </c>
      <c r="G41" s="465">
        <f>G26*$D26*'Calendar Assumptions'!$E$45*RM_VHA_GBO_Fee</f>
        <v>42178.5</v>
      </c>
      <c r="H41" s="465">
        <f>H26*$D26*'Calendar Assumptions'!$E$45*RM_VHA_GBO_Fee</f>
        <v>43443.855000000003</v>
      </c>
      <c r="I41" s="465">
        <f>I26*$D26*'Calendar Assumptions'!$E$45*RM_VHA_GBO_Fee</f>
        <v>44747.17065</v>
      </c>
      <c r="J41" s="465">
        <f>J26*$D26*'Calendar Assumptions'!$E$45*RM_VHA_GBO_Fee</f>
        <v>46089.585769500001</v>
      </c>
      <c r="K41" s="465">
        <f>K26*$D26*'Calendar Assumptions'!$E$45*RM_VHA_GBO_Fee</f>
        <v>47472.273342585009</v>
      </c>
      <c r="L41" s="465">
        <f>L26*$D26*'Calendar Assumptions'!$E$45*RM_VHA_GBO_Fee</f>
        <v>48896.441542862551</v>
      </c>
      <c r="M41" s="465">
        <f>M26*$D26*'Calendar Assumptions'!$E$45*RM_VHA_GBO_Fee</f>
        <v>50363.33478914843</v>
      </c>
      <c r="N41" s="465">
        <f>N26*$D26*'Calendar Assumptions'!$E$45*RM_VHA_GBO_Fee</f>
        <v>51874.234832822884</v>
      </c>
      <c r="O41" s="465">
        <f>O26*$D26*'Calendar Assumptions'!$E$45*RM_VHA_GBO_Fee</f>
        <v>53430.461877807575</v>
      </c>
      <c r="P41" s="120"/>
    </row>
    <row r="42" spans="1:16" x14ac:dyDescent="0.35">
      <c r="A42" s="111"/>
      <c r="B42" s="117">
        <v>6</v>
      </c>
      <c r="C42" s="115" t="s">
        <v>587</v>
      </c>
      <c r="D42" s="15">
        <f>Inputs!$E$132</f>
        <v>3500</v>
      </c>
      <c r="E42" s="464"/>
      <c r="F42" s="465">
        <f>F27*$D27*'Calendar Assumptions'!$E$46*RM_VHA_GBO_Fee</f>
        <v>40950</v>
      </c>
      <c r="G42" s="465">
        <f>G27*$D27*'Calendar Assumptions'!$E$46*RM_VHA_GBO_Fee</f>
        <v>42178.5</v>
      </c>
      <c r="H42" s="465">
        <f>H27*$D27*'Calendar Assumptions'!$E$46*RM_VHA_GBO_Fee</f>
        <v>43443.855000000003</v>
      </c>
      <c r="I42" s="465">
        <f>I27*$D27*'Calendar Assumptions'!$E$46*RM_VHA_GBO_Fee</f>
        <v>44747.17065</v>
      </c>
      <c r="J42" s="465">
        <f>J27*$D27*'Calendar Assumptions'!$E$46*RM_VHA_GBO_Fee</f>
        <v>46089.585769500001</v>
      </c>
      <c r="K42" s="465">
        <f>K27*$D27*'Calendar Assumptions'!$E$46*RM_VHA_GBO_Fee</f>
        <v>47472.273342585009</v>
      </c>
      <c r="L42" s="465">
        <f>L27*$D27*'Calendar Assumptions'!$E$46*RM_VHA_GBO_Fee</f>
        <v>48896.441542862551</v>
      </c>
      <c r="M42" s="465">
        <f>M27*$D27*'Calendar Assumptions'!$E$46*RM_VHA_GBO_Fee</f>
        <v>50363.33478914843</v>
      </c>
      <c r="N42" s="465">
        <f>N27*$D27*'Calendar Assumptions'!$E$46*RM_VHA_GBO_Fee</f>
        <v>51874.234832822884</v>
      </c>
      <c r="O42" s="465">
        <f>O27*$D27*'Calendar Assumptions'!$E$46*RM_VHA_GBO_Fee</f>
        <v>53430.461877807575</v>
      </c>
      <c r="P42" s="120"/>
    </row>
    <row r="43" spans="1:16" x14ac:dyDescent="0.35">
      <c r="A43" s="111"/>
      <c r="B43" s="117">
        <v>7</v>
      </c>
      <c r="C43" s="115" t="s">
        <v>140</v>
      </c>
      <c r="D43" s="15">
        <f>Inputs!$E$133</f>
        <v>3500</v>
      </c>
      <c r="E43" s="464"/>
      <c r="F43" s="465">
        <f>F28*$D28*'Calendar Assumptions'!$E$47*RM_VHA_GBO_Fee</f>
        <v>40040</v>
      </c>
      <c r="G43" s="465">
        <f>G28*$D28*'Calendar Assumptions'!$E$47*RM_VHA_GBO_Fee</f>
        <v>41241.200000000004</v>
      </c>
      <c r="H43" s="465">
        <f>H28*$D28*'Calendar Assumptions'!$E$47*RM_VHA_GBO_Fee</f>
        <v>42478.436000000002</v>
      </c>
      <c r="I43" s="465">
        <f>I28*$D28*'Calendar Assumptions'!$E$47*RM_VHA_GBO_Fee</f>
        <v>43752.789080000002</v>
      </c>
      <c r="J43" s="465">
        <f>J28*$D28*'Calendar Assumptions'!$E$47*RM_VHA_GBO_Fee</f>
        <v>45065.372752400013</v>
      </c>
      <c r="K43" s="465">
        <f>K28*$D28*'Calendar Assumptions'!$E$47*RM_VHA_GBO_Fee</f>
        <v>46417.333934972012</v>
      </c>
      <c r="L43" s="465">
        <f>L28*$D28*'Calendar Assumptions'!$E$47*RM_VHA_GBO_Fee</f>
        <v>47809.853953021171</v>
      </c>
      <c r="M43" s="465">
        <f>M28*$D28*'Calendar Assumptions'!$E$47*RM_VHA_GBO_Fee</f>
        <v>49244.149571611801</v>
      </c>
      <c r="N43" s="465">
        <f>N28*$D28*'Calendar Assumptions'!$E$47*RM_VHA_GBO_Fee</f>
        <v>50721.474058760155</v>
      </c>
      <c r="O43" s="465">
        <f>O28*$D28*'Calendar Assumptions'!$E$47*RM_VHA_GBO_Fee</f>
        <v>52243.118280522955</v>
      </c>
      <c r="P43" s="120"/>
    </row>
    <row r="44" spans="1:16" x14ac:dyDescent="0.35">
      <c r="A44" s="111"/>
      <c r="B44" s="117">
        <v>8</v>
      </c>
      <c r="C44" s="115" t="s">
        <v>142</v>
      </c>
      <c r="D44" s="15">
        <f>Inputs!$E$134</f>
        <v>3500</v>
      </c>
      <c r="E44" s="464"/>
      <c r="F44" s="465">
        <f>F29*$D29*'Calendar Assumptions'!$E$48*RM_VHA_GBO_Fee</f>
        <v>0</v>
      </c>
      <c r="G44" s="465">
        <f>G29*$D29*'Calendar Assumptions'!$E$48*RM_VHA_GBO_Fee</f>
        <v>0</v>
      </c>
      <c r="H44" s="465">
        <f>H29*$D29*'Calendar Assumptions'!$E$48*RM_VHA_GBO_Fee</f>
        <v>0</v>
      </c>
      <c r="I44" s="465">
        <f>I29*$D29*'Calendar Assumptions'!$E$48*RM_VHA_GBO_Fee</f>
        <v>0</v>
      </c>
      <c r="J44" s="465">
        <f>J29*$D29*'Calendar Assumptions'!$E$48*RM_VHA_GBO_Fee</f>
        <v>0</v>
      </c>
      <c r="K44" s="465">
        <f>K29*$D29*'Calendar Assumptions'!$E$48*RM_VHA_GBO_Fee</f>
        <v>0</v>
      </c>
      <c r="L44" s="465">
        <f>L29*$D29*'Calendar Assumptions'!$E$48*RM_VHA_GBO_Fee</f>
        <v>0</v>
      </c>
      <c r="M44" s="465">
        <f>M29*$D29*'Calendar Assumptions'!$E$48*RM_VHA_GBO_Fee</f>
        <v>0</v>
      </c>
      <c r="N44" s="465">
        <f>N29*$D29*'Calendar Assumptions'!$E$48*RM_VHA_GBO_Fee</f>
        <v>0</v>
      </c>
      <c r="O44" s="465">
        <f>O29*$D29*'Calendar Assumptions'!$E$48*RM_VHA_GBO_Fee</f>
        <v>0</v>
      </c>
      <c r="P44" s="120"/>
    </row>
    <row r="45" spans="1:16" x14ac:dyDescent="0.35">
      <c r="A45" s="111"/>
      <c r="B45" s="117">
        <v>9</v>
      </c>
      <c r="C45" s="115" t="s">
        <v>102</v>
      </c>
      <c r="D45" s="15">
        <f>Inputs!$E$135</f>
        <v>2000</v>
      </c>
      <c r="E45" s="464"/>
      <c r="F45" s="465">
        <f>F30*$D30*'Calendar Assumptions'!$E$49*RM_VHA_GBO_Fee</f>
        <v>0</v>
      </c>
      <c r="G45" s="465">
        <f>G30*$D30*'Calendar Assumptions'!$E$49*RM_VHA_GBO_Fee</f>
        <v>0</v>
      </c>
      <c r="H45" s="465">
        <f>H30*$D30*'Calendar Assumptions'!$E$49*RM_VHA_GBO_Fee</f>
        <v>0</v>
      </c>
      <c r="I45" s="465">
        <f>I30*$D30*'Calendar Assumptions'!$E$49*RM_VHA_GBO_Fee</f>
        <v>0</v>
      </c>
      <c r="J45" s="465">
        <f>J30*$D30*'Calendar Assumptions'!$E$49*RM_VHA_GBO_Fee</f>
        <v>0</v>
      </c>
      <c r="K45" s="465">
        <f>K30*$D30*'Calendar Assumptions'!$E$49*RM_VHA_GBO_Fee</f>
        <v>0</v>
      </c>
      <c r="L45" s="465">
        <f>L30*$D30*'Calendar Assumptions'!$E$49*RM_VHA_GBO_Fee</f>
        <v>0</v>
      </c>
      <c r="M45" s="465">
        <f>M30*$D30*'Calendar Assumptions'!$E$49*RM_VHA_GBO_Fee</f>
        <v>0</v>
      </c>
      <c r="N45" s="465">
        <f>N30*$D30*'Calendar Assumptions'!$E$49*RM_VHA_GBO_Fee</f>
        <v>0</v>
      </c>
      <c r="O45" s="465">
        <f>O30*$D30*'Calendar Assumptions'!$E$49*RM_VHA_GBO_Fee</f>
        <v>0</v>
      </c>
      <c r="P45" s="120"/>
    </row>
    <row r="46" spans="1:16" x14ac:dyDescent="0.35">
      <c r="A46" s="111"/>
      <c r="B46" s="117">
        <v>10</v>
      </c>
      <c r="C46" s="115" t="s">
        <v>1394</v>
      </c>
      <c r="D46" s="15">
        <f>Inputs!$E$136</f>
        <v>2000</v>
      </c>
      <c r="E46" s="464"/>
      <c r="F46" s="465">
        <f>F31*$D31*'Calendar Assumptions'!$E$50*RM_VHA_GBO_Fee</f>
        <v>0</v>
      </c>
      <c r="G46" s="465">
        <f>G31*$D31*'Calendar Assumptions'!$E$50*RM_VHA_GBO_Fee</f>
        <v>0</v>
      </c>
      <c r="H46" s="465">
        <f>H31*$D31*'Calendar Assumptions'!$E$50*RM_VHA_GBO_Fee</f>
        <v>0</v>
      </c>
      <c r="I46" s="465">
        <f>I31*$D31*'Calendar Assumptions'!$E$50*RM_VHA_GBO_Fee</f>
        <v>0</v>
      </c>
      <c r="J46" s="465">
        <f>J31*$D31*'Calendar Assumptions'!$E$50*RM_VHA_GBO_Fee</f>
        <v>0</v>
      </c>
      <c r="K46" s="465">
        <f>K31*$D31*'Calendar Assumptions'!$E$50*RM_VHA_GBO_Fee</f>
        <v>0</v>
      </c>
      <c r="L46" s="465">
        <f>L31*$D31*'Calendar Assumptions'!$E$50*RM_VHA_GBO_Fee</f>
        <v>0</v>
      </c>
      <c r="M46" s="465">
        <f>M31*$D31*'Calendar Assumptions'!$E$50*RM_VHA_GBO_Fee</f>
        <v>0</v>
      </c>
      <c r="N46" s="465">
        <f>N31*$D31*'Calendar Assumptions'!$E$50*RM_VHA_GBO_Fee</f>
        <v>0</v>
      </c>
      <c r="O46" s="465">
        <f>O31*$D31*'Calendar Assumptions'!$E$50*RM_VHA_GBO_Fee</f>
        <v>0</v>
      </c>
      <c r="P46" s="120"/>
    </row>
    <row r="47" spans="1:16" x14ac:dyDescent="0.35">
      <c r="A47" s="111"/>
      <c r="B47" s="117">
        <v>11</v>
      </c>
      <c r="C47" s="115" t="s">
        <v>1395</v>
      </c>
      <c r="D47" s="15">
        <f>Inputs!$E$137</f>
        <v>4000</v>
      </c>
      <c r="E47" s="464"/>
      <c r="F47" s="465">
        <f>F32*$D32*'Calendar Assumptions'!$E$51*RM_VHA_GBO_Fee</f>
        <v>0</v>
      </c>
      <c r="G47" s="465">
        <f>G32*$D32*'Calendar Assumptions'!$E$51*RM_VHA_GBO_Fee</f>
        <v>0</v>
      </c>
      <c r="H47" s="465">
        <f>H32*$D32*'Calendar Assumptions'!$E$51*RM_VHA_GBO_Fee</f>
        <v>0</v>
      </c>
      <c r="I47" s="465">
        <f>I32*$D32*'Calendar Assumptions'!$E$51*RM_VHA_GBO_Fee</f>
        <v>0</v>
      </c>
      <c r="J47" s="465">
        <f>J32*$D32*'Calendar Assumptions'!$E$51*RM_VHA_GBO_Fee</f>
        <v>0</v>
      </c>
      <c r="K47" s="465">
        <f>K32*$D32*'Calendar Assumptions'!$E$51*RM_VHA_GBO_Fee</f>
        <v>0</v>
      </c>
      <c r="L47" s="465">
        <f>L32*$D32*'Calendar Assumptions'!$E$51*RM_VHA_GBO_Fee</f>
        <v>0</v>
      </c>
      <c r="M47" s="465">
        <f>M32*$D32*'Calendar Assumptions'!$E$51*RM_VHA_GBO_Fee</f>
        <v>0</v>
      </c>
      <c r="N47" s="465">
        <f>N32*$D32*'Calendar Assumptions'!$E$51*RM_VHA_GBO_Fee</f>
        <v>0</v>
      </c>
      <c r="O47" s="465">
        <f>O32*$D32*'Calendar Assumptions'!$E$51*RM_VHA_GBO_Fee</f>
        <v>0</v>
      </c>
      <c r="P47" s="120"/>
    </row>
    <row r="48" spans="1:16" x14ac:dyDescent="0.35">
      <c r="A48" s="111"/>
      <c r="B48" s="111"/>
      <c r="C48" s="111"/>
      <c r="D48" s="111"/>
      <c r="E48" s="111"/>
      <c r="F48" s="111"/>
      <c r="G48" s="111"/>
      <c r="H48" s="111"/>
      <c r="I48" s="111"/>
      <c r="J48" s="111"/>
      <c r="K48" s="111"/>
      <c r="L48" s="111"/>
      <c r="M48" s="111"/>
      <c r="N48" s="111"/>
      <c r="O48" s="111"/>
      <c r="P48" s="111"/>
    </row>
    <row r="49" spans="1:16" x14ac:dyDescent="0.35">
      <c r="A49" s="111"/>
      <c r="B49" s="115" t="s">
        <v>2058</v>
      </c>
      <c r="C49" s="111"/>
      <c r="D49" s="104" t="s">
        <v>1391</v>
      </c>
      <c r="E49" s="111"/>
      <c r="F49" s="117" t="str">
        <f>F34</f>
        <v>FY27</v>
      </c>
      <c r="G49" s="117" t="str">
        <f t="shared" ref="G49:O49" si="2">G34</f>
        <v>FY28</v>
      </c>
      <c r="H49" s="117" t="str">
        <f t="shared" si="2"/>
        <v>FY29</v>
      </c>
      <c r="I49" s="117" t="str">
        <f t="shared" si="2"/>
        <v>FY30</v>
      </c>
      <c r="J49" s="117" t="str">
        <f t="shared" si="2"/>
        <v>FY31</v>
      </c>
      <c r="K49" s="117" t="str">
        <f t="shared" si="2"/>
        <v>FY32</v>
      </c>
      <c r="L49" s="117" t="str">
        <f t="shared" si="2"/>
        <v>FY33</v>
      </c>
      <c r="M49" s="117" t="str">
        <f t="shared" si="2"/>
        <v>FY34</v>
      </c>
      <c r="N49" s="117" t="str">
        <f t="shared" si="2"/>
        <v>FY35</v>
      </c>
      <c r="O49" s="117" t="str">
        <f t="shared" si="2"/>
        <v>FY36</v>
      </c>
      <c r="P49" s="117"/>
    </row>
    <row r="50" spans="1:16" x14ac:dyDescent="0.35">
      <c r="A50" s="111"/>
      <c r="B50" s="115"/>
      <c r="C50" s="111"/>
      <c r="D50" s="104"/>
      <c r="E50" s="111"/>
      <c r="F50" s="117"/>
      <c r="G50" s="117"/>
      <c r="H50" s="117"/>
      <c r="I50" s="117"/>
      <c r="J50" s="117"/>
      <c r="K50" s="117"/>
      <c r="L50" s="117"/>
      <c r="M50" s="117"/>
      <c r="N50" s="117"/>
      <c r="O50" s="117"/>
      <c r="P50" s="117"/>
    </row>
    <row r="51" spans="1:16" x14ac:dyDescent="0.35">
      <c r="A51" s="111"/>
      <c r="B51" s="117">
        <v>1</v>
      </c>
      <c r="C51" s="115" t="s">
        <v>1392</v>
      </c>
      <c r="D51" s="15">
        <f>Inputs!$E$127</f>
        <v>5000</v>
      </c>
      <c r="E51" s="464"/>
      <c r="F51" s="695">
        <f>F$20*F22*'Calendar Assumptions'!F41*RM_VHA_GBO_Fee</f>
        <v>0</v>
      </c>
      <c r="G51" s="695">
        <f>G$20*G22*'Calendar Assumptions'!G41*RM_VHA_GBO_Fee</f>
        <v>910787.8</v>
      </c>
      <c r="H51" s="695">
        <f>H$20*H22*'Calendar Assumptions'!H41*RM_VHA_GBO_Fee</f>
        <v>977941.86360000016</v>
      </c>
      <c r="I51" s="695">
        <f>I$20*I22*'Calendar Assumptions'!I41*RM_VHA_GBO_Fee</f>
        <v>1079614.2760000001</v>
      </c>
      <c r="J51" s="695">
        <f>J$20*J22*'Calendar Assumptions'!J41*RM_VHA_GBO_Fee</f>
        <v>1112002.7042800002</v>
      </c>
      <c r="K51" s="695">
        <f>K$20*K22*'Calendar Assumptions'!K41*RM_VHA_GBO_Fee</f>
        <v>1145362.7854084</v>
      </c>
      <c r="L51" s="695">
        <f>L$20*L22*'Calendar Assumptions'!L41*RM_VHA_GBO_Fee</f>
        <v>1179723.6689706522</v>
      </c>
      <c r="M51" s="695">
        <f>M$20*M22*'Calendar Assumptions'!M41*RM_VHA_GBO_Fee</f>
        <v>1215115.3790397716</v>
      </c>
      <c r="N51" s="695">
        <f>N$20*N22*'Calendar Assumptions'!N41*RM_VHA_GBO_Fee</f>
        <v>1251568.8404109648</v>
      </c>
      <c r="O51" s="695">
        <f>O$20*O22*'Calendar Assumptions'!O41*RM_VHA_GBO_Fee</f>
        <v>1289115.9056232937</v>
      </c>
      <c r="P51" s="120"/>
    </row>
    <row r="52" spans="1:16" x14ac:dyDescent="0.35">
      <c r="A52" s="111"/>
      <c r="B52" s="117">
        <v>2</v>
      </c>
      <c r="C52" s="115" t="s">
        <v>1392</v>
      </c>
      <c r="D52" s="15">
        <f>Inputs!$E$128</f>
        <v>3000</v>
      </c>
      <c r="E52" s="464"/>
      <c r="F52" s="695">
        <f>F$20*F23*'Calendar Assumptions'!F42*RM_VHA_GBO_Fee</f>
        <v>0</v>
      </c>
      <c r="G52" s="695">
        <f>G$20*G23*'Calendar Assumptions'!G42*RM_VHA_GBO_Fee</f>
        <v>528701.47200000007</v>
      </c>
      <c r="H52" s="695">
        <f>H$20*H23*'Calendar Assumptions'!H42*RM_VHA_GBO_Fee</f>
        <v>555882.74352000002</v>
      </c>
      <c r="I52" s="695">
        <f>I$20*I23*'Calendar Assumptions'!I42*RM_VHA_GBO_Fee</f>
        <v>613675.48320000002</v>
      </c>
      <c r="J52" s="695">
        <f>J$20*J23*'Calendar Assumptions'!J42*RM_VHA_GBO_Fee</f>
        <v>632085.74769600003</v>
      </c>
      <c r="K52" s="695">
        <f>K$20*K23*'Calendar Assumptions'!K42*RM_VHA_GBO_Fee</f>
        <v>651048.32012688008</v>
      </c>
      <c r="L52" s="695">
        <f>L$20*L23*'Calendar Assumptions'!L42*RM_VHA_GBO_Fee</f>
        <v>670579.76973068644</v>
      </c>
      <c r="M52" s="695">
        <f>M$20*M23*'Calendar Assumptions'!M42*RM_VHA_GBO_Fee</f>
        <v>690697.16282260709</v>
      </c>
      <c r="N52" s="695">
        <f>N$20*N23*'Calendar Assumptions'!N42*RM_VHA_GBO_Fee</f>
        <v>711418.07770728529</v>
      </c>
      <c r="O52" s="695">
        <f>O$20*O23*'Calendar Assumptions'!O42*RM_VHA_GBO_Fee</f>
        <v>732760.62003850378</v>
      </c>
      <c r="P52" s="120"/>
    </row>
    <row r="53" spans="1:16" x14ac:dyDescent="0.35">
      <c r="A53" s="111"/>
      <c r="B53" s="117">
        <v>3</v>
      </c>
      <c r="C53" s="115" t="s">
        <v>1392</v>
      </c>
      <c r="D53" s="15">
        <f>Inputs!$E$129</f>
        <v>1500</v>
      </c>
      <c r="E53" s="464"/>
      <c r="F53" s="695">
        <f>F$20*F24*'Calendar Assumptions'!F43*RM_VHA_GBO_Fee</f>
        <v>0</v>
      </c>
      <c r="G53" s="695">
        <f>G$20*G24*'Calendar Assumptions'!G43*RM_VHA_GBO_Fee</f>
        <v>210654.49275</v>
      </c>
      <c r="H53" s="695">
        <f>H$20*H24*'Calendar Assumptions'!H43*RM_VHA_GBO_Fee</f>
        <v>221484.53062125001</v>
      </c>
      <c r="I53" s="695">
        <f>I$20*I24*'Calendar Assumptions'!I43*RM_VHA_GBO_Fee</f>
        <v>244511.32533750002</v>
      </c>
      <c r="J53" s="695">
        <f>J$20*J24*'Calendar Assumptions'!J43*RM_VHA_GBO_Fee</f>
        <v>251846.66509762502</v>
      </c>
      <c r="K53" s="695">
        <f>K$20*K24*'Calendar Assumptions'!K43*RM_VHA_GBO_Fee</f>
        <v>259402.06505055382</v>
      </c>
      <c r="L53" s="695">
        <f>L$20*L24*'Calendar Assumptions'!L43*RM_VHA_GBO_Fee</f>
        <v>267184.12700207043</v>
      </c>
      <c r="M53" s="695">
        <f>M$20*M24*'Calendar Assumptions'!M43*RM_VHA_GBO_Fee</f>
        <v>275199.65081213258</v>
      </c>
      <c r="N53" s="695">
        <f>N$20*N24*'Calendar Assumptions'!N43*RM_VHA_GBO_Fee</f>
        <v>283455.64033649658</v>
      </c>
      <c r="O53" s="695">
        <f>O$20*O24*'Calendar Assumptions'!O43*RM_VHA_GBO_Fee</f>
        <v>291959.30954659148</v>
      </c>
      <c r="P53" s="120"/>
    </row>
    <row r="54" spans="1:16" x14ac:dyDescent="0.35">
      <c r="A54" s="111"/>
      <c r="B54" s="117">
        <v>4</v>
      </c>
      <c r="C54" s="115" t="s">
        <v>1393</v>
      </c>
      <c r="D54" s="15">
        <f>Inputs!$E$130</f>
        <v>3500</v>
      </c>
      <c r="E54" s="464"/>
      <c r="F54" s="695">
        <f>F$20*F25*'Calendar Assumptions'!F44*RM_VHA_GBO_Fee</f>
        <v>0</v>
      </c>
      <c r="G54" s="695">
        <f>G$20*G25*'Calendar Assumptions'!G44*RM_VHA_GBO_Fee</f>
        <v>832704.81840000011</v>
      </c>
      <c r="H54" s="695">
        <f>H$20*H25*'Calendar Assumptions'!H44*RM_VHA_GBO_Fee</f>
        <v>875515.3210440001</v>
      </c>
      <c r="I54" s="695">
        <f>I$20*I25*'Calendar Assumptions'!I44*RM_VHA_GBO_Fee</f>
        <v>966538.88604000013</v>
      </c>
      <c r="J54" s="695">
        <f>J$20*J25*'Calendar Assumptions'!J44*RM_VHA_GBO_Fee</f>
        <v>995535.05262119998</v>
      </c>
      <c r="K54" s="695">
        <f>K$20*K25*'Calendar Assumptions'!K44*RM_VHA_GBO_Fee</f>
        <v>1025401.104199836</v>
      </c>
      <c r="L54" s="695">
        <f>L$20*L25*'Calendar Assumptions'!L44*RM_VHA_GBO_Fee</f>
        <v>1056163.1373258312</v>
      </c>
      <c r="M54" s="695">
        <f>M$20*M25*'Calendar Assumptions'!M44*RM_VHA_GBO_Fee</f>
        <v>1087848.0314456061</v>
      </c>
      <c r="N54" s="695">
        <f>N$20*N25*'Calendar Assumptions'!N44*RM_VHA_GBO_Fee</f>
        <v>1120483.4723889746</v>
      </c>
      <c r="O54" s="695">
        <f>O$20*O25*'Calendar Assumptions'!O44*RM_VHA_GBO_Fee</f>
        <v>1154097.9765606439</v>
      </c>
      <c r="P54" s="120"/>
    </row>
    <row r="55" spans="1:16" x14ac:dyDescent="0.35">
      <c r="A55" s="111"/>
      <c r="B55" s="117">
        <v>5</v>
      </c>
      <c r="C55" s="115" t="s">
        <v>585</v>
      </c>
      <c r="D55" s="15">
        <f>Inputs!$E$131</f>
        <v>3500</v>
      </c>
      <c r="E55" s="464"/>
      <c r="F55" s="695">
        <f>F$20*F26*'Calendar Assumptions'!F45*RM_VHA_GBO_Fee</f>
        <v>0</v>
      </c>
      <c r="G55" s="695">
        <f>G$20*G26*'Calendar Assumptions'!G45*RM_VHA_GBO_Fee</f>
        <v>578267.23499999999</v>
      </c>
      <c r="H55" s="695">
        <f>H$20*H26*'Calendar Assumptions'!H45*RM_VHA_GBO_Fee</f>
        <v>607996.75072500005</v>
      </c>
      <c r="I55" s="695">
        <f>I$20*I26*'Calendar Assumptions'!I45*RM_VHA_GBO_Fee</f>
        <v>671207.55975000001</v>
      </c>
      <c r="J55" s="695">
        <f>J$20*J26*'Calendar Assumptions'!J45*RM_VHA_GBO_Fee</f>
        <v>691343.78654250002</v>
      </c>
      <c r="K55" s="695">
        <f>K$20*K26*'Calendar Assumptions'!K45*RM_VHA_GBO_Fee</f>
        <v>712084.10013877507</v>
      </c>
      <c r="L55" s="695">
        <f>L$20*L26*'Calendar Assumptions'!L45*RM_VHA_GBO_Fee</f>
        <v>733446.62314293836</v>
      </c>
      <c r="M55" s="695">
        <f>M$20*M26*'Calendar Assumptions'!M45*RM_VHA_GBO_Fee</f>
        <v>755450.02183722646</v>
      </c>
      <c r="N55" s="695">
        <f>N$20*N26*'Calendar Assumptions'!N45*RM_VHA_GBO_Fee</f>
        <v>778113.52249234321</v>
      </c>
      <c r="O55" s="695">
        <f>O$20*O26*'Calendar Assumptions'!O45*RM_VHA_GBO_Fee</f>
        <v>801456.92816711357</v>
      </c>
      <c r="P55" s="120"/>
    </row>
    <row r="56" spans="1:16" x14ac:dyDescent="0.35">
      <c r="A56" s="111"/>
      <c r="B56" s="117">
        <v>6</v>
      </c>
      <c r="C56" s="115" t="s">
        <v>587</v>
      </c>
      <c r="D56" s="15">
        <f>Inputs!$E$132</f>
        <v>3500</v>
      </c>
      <c r="E56" s="464"/>
      <c r="F56" s="695">
        <f>F$20*F27*'Calendar Assumptions'!F46*RM_VHA_GBO_Fee</f>
        <v>0</v>
      </c>
      <c r="G56" s="695">
        <f>G$20*G27*'Calendar Assumptions'!G46*RM_VHA_GBO_Fee</f>
        <v>578267.23499999999</v>
      </c>
      <c r="H56" s="695">
        <f>H$20*H27*'Calendar Assumptions'!H46*RM_VHA_GBO_Fee</f>
        <v>607996.75072500005</v>
      </c>
      <c r="I56" s="695">
        <f>I$20*I27*'Calendar Assumptions'!I46*RM_VHA_GBO_Fee</f>
        <v>671207.55975000001</v>
      </c>
      <c r="J56" s="695">
        <f>J$20*J27*'Calendar Assumptions'!J46*RM_VHA_GBO_Fee</f>
        <v>691343.78654250002</v>
      </c>
      <c r="K56" s="695">
        <f>K$20*K27*'Calendar Assumptions'!K46*RM_VHA_GBO_Fee</f>
        <v>712084.10013877507</v>
      </c>
      <c r="L56" s="695">
        <f>L$20*L27*'Calendar Assumptions'!L46*RM_VHA_GBO_Fee</f>
        <v>733446.62314293836</v>
      </c>
      <c r="M56" s="695">
        <f>M$20*M27*'Calendar Assumptions'!M46*RM_VHA_GBO_Fee</f>
        <v>755450.02183722646</v>
      </c>
      <c r="N56" s="695">
        <f>N$20*N27*'Calendar Assumptions'!N46*RM_VHA_GBO_Fee</f>
        <v>778113.52249234321</v>
      </c>
      <c r="O56" s="695">
        <f>O$20*O27*'Calendar Assumptions'!O46*RM_VHA_GBO_Fee</f>
        <v>801456.92816711357</v>
      </c>
      <c r="P56" s="120"/>
    </row>
    <row r="57" spans="1:16" x14ac:dyDescent="0.35">
      <c r="A57" s="111"/>
      <c r="B57" s="117">
        <v>7</v>
      </c>
      <c r="C57" s="115" t="s">
        <v>140</v>
      </c>
      <c r="D57" s="15">
        <f>Inputs!$E$133</f>
        <v>3500</v>
      </c>
      <c r="E57" s="464"/>
      <c r="F57" s="695">
        <f>F$20*F28*'Calendar Assumptions'!F47*RM_VHA_GBO_Fee</f>
        <v>0</v>
      </c>
      <c r="G57" s="695">
        <f>G$20*G28*'Calendar Assumptions'!G47*RM_VHA_GBO_Fee</f>
        <v>113083.37040000001</v>
      </c>
      <c r="H57" s="695">
        <f>H$20*H28*'Calendar Assumptions'!H47*RM_VHA_GBO_Fee</f>
        <v>118897.14236400001</v>
      </c>
      <c r="I57" s="695">
        <f>I$20*I28*'Calendar Assumptions'!I47*RM_VHA_GBO_Fee</f>
        <v>131258.36724000002</v>
      </c>
      <c r="J57" s="695">
        <f>J$20*J28*'Calendar Assumptions'!J47*RM_VHA_GBO_Fee</f>
        <v>135196.11825720003</v>
      </c>
      <c r="K57" s="695">
        <f>K$20*K28*'Calendar Assumptions'!K47*RM_VHA_GBO_Fee</f>
        <v>139252.00180491601</v>
      </c>
      <c r="L57" s="695">
        <f>L$20*L28*'Calendar Assumptions'!L47*RM_VHA_GBO_Fee</f>
        <v>143429.56185906351</v>
      </c>
      <c r="M57" s="695">
        <f>M$20*M28*'Calendar Assumptions'!M47*RM_VHA_GBO_Fee</f>
        <v>147732.44871483539</v>
      </c>
      <c r="N57" s="695">
        <f>N$20*N28*'Calendar Assumptions'!N47*RM_VHA_GBO_Fee</f>
        <v>152164.42217628044</v>
      </c>
      <c r="O57" s="695">
        <f>O$20*O28*'Calendar Assumptions'!O47*RM_VHA_GBO_Fee</f>
        <v>156729.35484156886</v>
      </c>
      <c r="P57" s="120"/>
    </row>
    <row r="58" spans="1:16" x14ac:dyDescent="0.35">
      <c r="A58" s="111"/>
      <c r="B58" s="117">
        <v>8</v>
      </c>
      <c r="C58" s="115" t="s">
        <v>142</v>
      </c>
      <c r="D58" s="15">
        <f>Inputs!$E$134</f>
        <v>3500</v>
      </c>
      <c r="E58" s="464"/>
      <c r="F58" s="695">
        <f>F$20*F29*'Calendar Assumptions'!F48*RM_VHA_GBO_Fee</f>
        <v>0</v>
      </c>
      <c r="G58" s="695">
        <f>G$20*G29*'Calendar Assumptions'!G48*RM_VHA_GBO_Fee</f>
        <v>0</v>
      </c>
      <c r="H58" s="695">
        <f>H$20*H29*'Calendar Assumptions'!H48*RM_VHA_GBO_Fee</f>
        <v>0</v>
      </c>
      <c r="I58" s="695">
        <f>I$20*I29*'Calendar Assumptions'!I48*RM_VHA_GBO_Fee</f>
        <v>0</v>
      </c>
      <c r="J58" s="695">
        <f>J$20*J29*'Calendar Assumptions'!J48*RM_VHA_GBO_Fee</f>
        <v>0</v>
      </c>
      <c r="K58" s="695">
        <f>K$20*K29*'Calendar Assumptions'!K48*RM_VHA_GBO_Fee</f>
        <v>0</v>
      </c>
      <c r="L58" s="695">
        <f>L$20*L29*'Calendar Assumptions'!L48*RM_VHA_GBO_Fee</f>
        <v>0</v>
      </c>
      <c r="M58" s="695">
        <f>M$20*M29*'Calendar Assumptions'!M48*RM_VHA_GBO_Fee</f>
        <v>0</v>
      </c>
      <c r="N58" s="695">
        <f>N$20*N29*'Calendar Assumptions'!N48*RM_VHA_GBO_Fee</f>
        <v>0</v>
      </c>
      <c r="O58" s="695">
        <f>O$20*O29*'Calendar Assumptions'!O48*RM_VHA_GBO_Fee</f>
        <v>0</v>
      </c>
      <c r="P58" s="120"/>
    </row>
    <row r="59" spans="1:16" x14ac:dyDescent="0.35">
      <c r="A59" s="111"/>
      <c r="B59" s="117">
        <v>9</v>
      </c>
      <c r="C59" s="115" t="s">
        <v>102</v>
      </c>
      <c r="D59" s="15">
        <f>Inputs!$E$135</f>
        <v>2000</v>
      </c>
      <c r="E59" s="464"/>
      <c r="F59" s="695">
        <f>F$20*F30*'Calendar Assumptions'!F49*RM_VHA_GBO_Fee</f>
        <v>0</v>
      </c>
      <c r="G59" s="695">
        <f>G$20*G30*'Calendar Assumptions'!G49*RM_VHA_GBO_Fee</f>
        <v>0</v>
      </c>
      <c r="H59" s="695">
        <f>H$20*H30*'Calendar Assumptions'!H49*RM_VHA_GBO_Fee</f>
        <v>0</v>
      </c>
      <c r="I59" s="695">
        <f>I$20*I30*'Calendar Assumptions'!I49*RM_VHA_GBO_Fee</f>
        <v>0</v>
      </c>
      <c r="J59" s="695">
        <f>J$20*J30*'Calendar Assumptions'!J49*RM_VHA_GBO_Fee</f>
        <v>0</v>
      </c>
      <c r="K59" s="695">
        <f>K$20*K30*'Calendar Assumptions'!K49*RM_VHA_GBO_Fee</f>
        <v>0</v>
      </c>
      <c r="L59" s="695">
        <f>L$20*L30*'Calendar Assumptions'!L49*RM_VHA_GBO_Fee</f>
        <v>0</v>
      </c>
      <c r="M59" s="695">
        <f>M$20*M30*'Calendar Assumptions'!M49*RM_VHA_GBO_Fee</f>
        <v>0</v>
      </c>
      <c r="N59" s="695">
        <f>N$20*N30*'Calendar Assumptions'!N49*RM_VHA_GBO_Fee</f>
        <v>0</v>
      </c>
      <c r="O59" s="695">
        <f>O$20*O30*'Calendar Assumptions'!O49*RM_VHA_GBO_Fee</f>
        <v>0</v>
      </c>
      <c r="P59" s="120"/>
    </row>
    <row r="60" spans="1:16" x14ac:dyDescent="0.35">
      <c r="A60" s="111"/>
      <c r="B60" s="117">
        <v>10</v>
      </c>
      <c r="C60" s="115" t="s">
        <v>1394</v>
      </c>
      <c r="D60" s="15">
        <f>Inputs!$E$136</f>
        <v>2000</v>
      </c>
      <c r="E60" s="464"/>
      <c r="F60" s="695">
        <f>F$20*F31*'Calendar Assumptions'!F50*RM_VHA_GBO_Fee</f>
        <v>0</v>
      </c>
      <c r="G60" s="695">
        <f>G$20*G31*'Calendar Assumptions'!G50*RM_VHA_GBO_Fee</f>
        <v>0</v>
      </c>
      <c r="H60" s="695">
        <f>H$20*H31*'Calendar Assumptions'!H50*RM_VHA_GBO_Fee</f>
        <v>0</v>
      </c>
      <c r="I60" s="695">
        <f>I$20*I31*'Calendar Assumptions'!I50*RM_VHA_GBO_Fee</f>
        <v>0</v>
      </c>
      <c r="J60" s="695">
        <f>J$20*J31*'Calendar Assumptions'!J50*RM_VHA_GBO_Fee</f>
        <v>0</v>
      </c>
      <c r="K60" s="695">
        <f>K$20*K31*'Calendar Assumptions'!K50*RM_VHA_GBO_Fee</f>
        <v>0</v>
      </c>
      <c r="L60" s="695">
        <f>L$20*L31*'Calendar Assumptions'!L50*RM_VHA_GBO_Fee</f>
        <v>0</v>
      </c>
      <c r="M60" s="695">
        <f>M$20*M31*'Calendar Assumptions'!M50*RM_VHA_GBO_Fee</f>
        <v>0</v>
      </c>
      <c r="N60" s="695">
        <f>N$20*N31*'Calendar Assumptions'!N50*RM_VHA_GBO_Fee</f>
        <v>0</v>
      </c>
      <c r="O60" s="695">
        <f>O$20*O31*'Calendar Assumptions'!O50*RM_VHA_GBO_Fee</f>
        <v>0</v>
      </c>
      <c r="P60" s="120"/>
    </row>
    <row r="61" spans="1:16" s="166" customFormat="1" x14ac:dyDescent="0.35">
      <c r="A61" s="111"/>
      <c r="B61" s="117">
        <v>11</v>
      </c>
      <c r="C61" s="115" t="s">
        <v>1395</v>
      </c>
      <c r="D61" s="700">
        <f>Inputs!$E$137</f>
        <v>4000</v>
      </c>
      <c r="E61" s="464"/>
      <c r="F61" s="695">
        <f>F$20*F32*'Calendar Assumptions'!F51*RM_VHA_GBO_Fee</f>
        <v>0</v>
      </c>
      <c r="G61" s="695">
        <f>G$20*G32*'Calendar Assumptions'!G51*RM_VHA_GBO_Fee</f>
        <v>0</v>
      </c>
      <c r="H61" s="695">
        <f>H$20*H32*'Calendar Assumptions'!H51*RM_VHA_GBO_Fee</f>
        <v>0</v>
      </c>
      <c r="I61" s="695">
        <f>I$20*I32*'Calendar Assumptions'!I51*RM_VHA_GBO_Fee</f>
        <v>0</v>
      </c>
      <c r="J61" s="695">
        <f>J$20*J32*'Calendar Assumptions'!J51*RM_VHA_GBO_Fee</f>
        <v>0</v>
      </c>
      <c r="K61" s="695">
        <f>K$20*K32*'Calendar Assumptions'!K51*RM_VHA_GBO_Fee</f>
        <v>0</v>
      </c>
      <c r="L61" s="695">
        <f>L$20*L32*'Calendar Assumptions'!L51*RM_VHA_GBO_Fee</f>
        <v>0</v>
      </c>
      <c r="M61" s="695">
        <f>M$20*M32*'Calendar Assumptions'!M51*RM_VHA_GBO_Fee</f>
        <v>0</v>
      </c>
      <c r="N61" s="695">
        <f>N$20*N32*'Calendar Assumptions'!N51*RM_VHA_GBO_Fee</f>
        <v>0</v>
      </c>
      <c r="O61" s="695">
        <f>O$20*O32*'Calendar Assumptions'!O51*RM_VHA_GBO_Fee</f>
        <v>0</v>
      </c>
      <c r="P61" s="120"/>
    </row>
    <row r="62" spans="1:16" s="166" customFormat="1" x14ac:dyDescent="0.35">
      <c r="A62" s="111"/>
      <c r="B62" s="117"/>
      <c r="C62" s="115"/>
      <c r="D62" s="702"/>
      <c r="E62" s="464"/>
      <c r="F62" s="701"/>
      <c r="G62" s="701"/>
      <c r="H62" s="701"/>
      <c r="I62" s="701"/>
      <c r="J62" s="701"/>
      <c r="K62" s="701"/>
      <c r="L62" s="701"/>
      <c r="M62" s="701"/>
      <c r="N62" s="701"/>
      <c r="O62" s="701"/>
      <c r="P62" s="120"/>
    </row>
    <row r="63" spans="1:16" x14ac:dyDescent="0.35">
      <c r="A63" s="111"/>
      <c r="B63" s="111"/>
      <c r="C63" s="111"/>
      <c r="D63" s="111"/>
      <c r="E63" s="104" t="s">
        <v>15</v>
      </c>
      <c r="F63" s="119" t="str">
        <f>'P&amp;L'!J6</f>
        <v>FY27</v>
      </c>
      <c r="G63" s="119" t="str">
        <f>'P&amp;L'!K6</f>
        <v>FY28</v>
      </c>
      <c r="H63" s="119" t="str">
        <f>'P&amp;L'!L6</f>
        <v>FY29</v>
      </c>
      <c r="I63" s="119" t="str">
        <f>'P&amp;L'!M6</f>
        <v>FY30</v>
      </c>
      <c r="J63" s="119" t="str">
        <f>'P&amp;L'!N6</f>
        <v>FY31</v>
      </c>
      <c r="K63" s="119" t="str">
        <f>'P&amp;L'!O6</f>
        <v>FY32</v>
      </c>
      <c r="L63" s="119" t="str">
        <f>'P&amp;L'!P6</f>
        <v>FY33</v>
      </c>
      <c r="M63" s="119" t="str">
        <f>'P&amp;L'!Q6</f>
        <v>FY34</v>
      </c>
      <c r="N63" s="119" t="str">
        <f>'P&amp;L'!R6</f>
        <v>FY35</v>
      </c>
      <c r="O63" s="119" t="str">
        <f>'P&amp;L'!S6</f>
        <v>FY36</v>
      </c>
      <c r="P63" s="111"/>
    </row>
    <row r="64" spans="1:16" x14ac:dyDescent="0.35">
      <c r="A64" s="111"/>
      <c r="B64" s="115" t="s">
        <v>1398</v>
      </c>
      <c r="C64" s="111"/>
      <c r="D64" s="104" t="s">
        <v>1391</v>
      </c>
      <c r="E64" s="111"/>
      <c r="F64" s="117">
        <f>F35</f>
        <v>2027</v>
      </c>
      <c r="G64" s="117">
        <v>2028</v>
      </c>
      <c r="H64" s="117">
        <v>2029</v>
      </c>
      <c r="I64" s="117">
        <v>2030</v>
      </c>
      <c r="J64" s="117">
        <v>2031</v>
      </c>
      <c r="K64" s="117">
        <v>2032</v>
      </c>
      <c r="L64" s="117">
        <v>2033</v>
      </c>
      <c r="M64" s="117">
        <v>2034</v>
      </c>
      <c r="N64" s="117">
        <v>2035</v>
      </c>
      <c r="O64" s="117">
        <v>2036</v>
      </c>
      <c r="P64" s="111"/>
    </row>
    <row r="65" spans="1:16" x14ac:dyDescent="0.35">
      <c r="A65" s="111"/>
      <c r="B65" s="115"/>
      <c r="C65" s="111"/>
      <c r="D65" s="104"/>
      <c r="E65" s="111"/>
      <c r="F65" s="117"/>
      <c r="G65" s="117"/>
      <c r="H65" s="117"/>
      <c r="I65" s="117"/>
      <c r="J65" s="117"/>
      <c r="K65" s="117"/>
      <c r="L65" s="117"/>
      <c r="M65" s="117"/>
      <c r="N65" s="117"/>
      <c r="O65" s="117"/>
      <c r="P65" s="111"/>
    </row>
    <row r="66" spans="1:16" x14ac:dyDescent="0.35">
      <c r="A66" s="111"/>
      <c r="B66" s="117">
        <v>1</v>
      </c>
      <c r="C66" s="115" t="s">
        <v>1392</v>
      </c>
      <c r="D66" s="16">
        <f>D37</f>
        <v>5000</v>
      </c>
      <c r="E66" s="464"/>
      <c r="F66" s="465">
        <f>Inputs!$E$154</f>
        <v>40000</v>
      </c>
      <c r="G66" s="465">
        <f>F66*(1+Inputs!$E$152)</f>
        <v>41200</v>
      </c>
      <c r="H66" s="465">
        <f>G66*(1+Inputs!$E$152)</f>
        <v>42436</v>
      </c>
      <c r="I66" s="465">
        <f>H66*(1+Inputs!$E$152)</f>
        <v>43709.08</v>
      </c>
      <c r="J66" s="465">
        <f>I66*(1+Inputs!$E$152)</f>
        <v>45020.352400000003</v>
      </c>
      <c r="K66" s="465">
        <f>J66*(1+Inputs!$E$152)</f>
        <v>46370.962972000001</v>
      </c>
      <c r="L66" s="465">
        <f>K66*(1+Inputs!$E$152)</f>
        <v>47762.091861159999</v>
      </c>
      <c r="M66" s="465">
        <f>L66*(1+Inputs!$E$152)</f>
        <v>49194.954616994801</v>
      </c>
      <c r="N66" s="465">
        <f>M66*(1+Inputs!$E$152)</f>
        <v>50670.803255504645</v>
      </c>
      <c r="O66" s="465">
        <f>N66*(1+Inputs!$E$152)</f>
        <v>52190.927353169784</v>
      </c>
      <c r="P66" s="111"/>
    </row>
    <row r="67" spans="1:16" x14ac:dyDescent="0.35">
      <c r="A67" s="111"/>
      <c r="B67" s="117">
        <v>2</v>
      </c>
      <c r="C67" s="115" t="s">
        <v>1392</v>
      </c>
      <c r="D67" s="16">
        <v>3000</v>
      </c>
      <c r="E67" s="464"/>
      <c r="F67" s="465">
        <f>(D67/D66)*Inputs!$E$154</f>
        <v>24000</v>
      </c>
      <c r="G67" s="465">
        <f>F67*(1+Inputs!$E$152)</f>
        <v>24720</v>
      </c>
      <c r="H67" s="465">
        <f>G67*(1+Inputs!$E$152)</f>
        <v>25461.600000000002</v>
      </c>
      <c r="I67" s="465">
        <f>H67*(1+Inputs!$E$152)</f>
        <v>26225.448000000004</v>
      </c>
      <c r="J67" s="465">
        <f>I67*(1+Inputs!$E$152)</f>
        <v>27012.211440000006</v>
      </c>
      <c r="K67" s="465">
        <f>J67*(1+Inputs!$E$152)</f>
        <v>27822.577783200006</v>
      </c>
      <c r="L67" s="465">
        <f>K67*(1+Inputs!$E$152)</f>
        <v>28657.255116696007</v>
      </c>
      <c r="M67" s="465">
        <f>L67*(1+Inputs!$E$152)</f>
        <v>29516.972770196888</v>
      </c>
      <c r="N67" s="465">
        <f>M67*(1+Inputs!$E$152)</f>
        <v>30402.481953302795</v>
      </c>
      <c r="O67" s="465">
        <f>N67*(1+Inputs!$E$152)</f>
        <v>31314.556411901878</v>
      </c>
      <c r="P67" s="111"/>
    </row>
    <row r="68" spans="1:16" x14ac:dyDescent="0.35">
      <c r="A68" s="111"/>
      <c r="B68" s="117">
        <v>3</v>
      </c>
      <c r="C68" s="115" t="s">
        <v>1392</v>
      </c>
      <c r="D68" s="16">
        <v>1500</v>
      </c>
      <c r="E68" s="464"/>
      <c r="F68" s="465">
        <f>(D68/D66)*Inputs!$E$154</f>
        <v>12000</v>
      </c>
      <c r="G68" s="465">
        <f>F68*(1+Inputs!$E$152)</f>
        <v>12360</v>
      </c>
      <c r="H68" s="465">
        <f>G68*(1+Inputs!$E$152)</f>
        <v>12730.800000000001</v>
      </c>
      <c r="I68" s="465">
        <f>H68*(1+Inputs!$E$152)</f>
        <v>13112.724000000002</v>
      </c>
      <c r="J68" s="465">
        <f>I68*(1+Inputs!$E$152)</f>
        <v>13506.105720000003</v>
      </c>
      <c r="K68" s="465">
        <f>J68*(1+Inputs!$E$152)</f>
        <v>13911.288891600003</v>
      </c>
      <c r="L68" s="465">
        <f>K68*(1+Inputs!$E$152)</f>
        <v>14328.627558348004</v>
      </c>
      <c r="M68" s="465">
        <f>L68*(1+Inputs!$E$152)</f>
        <v>14758.486385098444</v>
      </c>
      <c r="N68" s="465">
        <f>M68*(1+Inputs!$E$152)</f>
        <v>15201.240976651397</v>
      </c>
      <c r="O68" s="465">
        <f>N68*(1+Inputs!$E$152)</f>
        <v>15657.278205950939</v>
      </c>
      <c r="P68" s="111"/>
    </row>
    <row r="69" spans="1:16" x14ac:dyDescent="0.35">
      <c r="A69" s="111"/>
      <c r="B69" s="117">
        <v>4</v>
      </c>
      <c r="C69" s="115" t="s">
        <v>1393</v>
      </c>
      <c r="D69" s="16">
        <v>3500</v>
      </c>
      <c r="E69" s="464"/>
      <c r="F69" s="465">
        <f>Inputs!$E$154</f>
        <v>40000</v>
      </c>
      <c r="G69" s="465">
        <f>F69*(1+Inputs!$E$152)</f>
        <v>41200</v>
      </c>
      <c r="H69" s="465">
        <f>G69*(1+Inputs!$E$152)</f>
        <v>42436</v>
      </c>
      <c r="I69" s="465">
        <f>H69*(1+Inputs!$E$152)</f>
        <v>43709.08</v>
      </c>
      <c r="J69" s="465">
        <f>I69*(1+Inputs!$E$152)</f>
        <v>45020.352400000003</v>
      </c>
      <c r="K69" s="465">
        <f>J69*(1+Inputs!$E$152)</f>
        <v>46370.962972000001</v>
      </c>
      <c r="L69" s="465">
        <f>K69*(1+Inputs!$E$152)</f>
        <v>47762.091861159999</v>
      </c>
      <c r="M69" s="465">
        <f>L69*(1+Inputs!$E$152)</f>
        <v>49194.954616994801</v>
      </c>
      <c r="N69" s="465">
        <f>M69*(1+Inputs!$E$152)</f>
        <v>50670.803255504645</v>
      </c>
      <c r="O69" s="465">
        <f>N69*(1+Inputs!$E$152)</f>
        <v>52190.927353169784</v>
      </c>
      <c r="P69" s="111"/>
    </row>
    <row r="70" spans="1:16" x14ac:dyDescent="0.35">
      <c r="A70" s="111"/>
      <c r="B70" s="117">
        <v>5</v>
      </c>
      <c r="C70" s="115" t="s">
        <v>585</v>
      </c>
      <c r="D70" s="16">
        <v>3500</v>
      </c>
      <c r="E70" s="464"/>
      <c r="F70" s="465">
        <f>Inputs!$E$154</f>
        <v>40000</v>
      </c>
      <c r="G70" s="465">
        <f>F70*(1+Inputs!$E$152)</f>
        <v>41200</v>
      </c>
      <c r="H70" s="465">
        <f>G70*(1+Inputs!$E$152)</f>
        <v>42436</v>
      </c>
      <c r="I70" s="465">
        <f>H70*(1+Inputs!$E$152)</f>
        <v>43709.08</v>
      </c>
      <c r="J70" s="465">
        <f>I70*(1+Inputs!$E$152)</f>
        <v>45020.352400000003</v>
      </c>
      <c r="K70" s="465">
        <f>J70*(1+Inputs!$E$152)</f>
        <v>46370.962972000001</v>
      </c>
      <c r="L70" s="465">
        <f>K70*(1+Inputs!$E$152)</f>
        <v>47762.091861159999</v>
      </c>
      <c r="M70" s="465">
        <f>L70*(1+Inputs!$E$152)</f>
        <v>49194.954616994801</v>
      </c>
      <c r="N70" s="465">
        <f>M70*(1+Inputs!$E$152)</f>
        <v>50670.803255504645</v>
      </c>
      <c r="O70" s="465">
        <f>N70*(1+Inputs!$E$152)</f>
        <v>52190.927353169784</v>
      </c>
      <c r="P70" s="111"/>
    </row>
    <row r="71" spans="1:16" x14ac:dyDescent="0.35">
      <c r="A71" s="111"/>
      <c r="B71" s="117">
        <v>6</v>
      </c>
      <c r="C71" s="115" t="s">
        <v>587</v>
      </c>
      <c r="D71" s="16">
        <v>3500</v>
      </c>
      <c r="E71" s="464"/>
      <c r="F71" s="465">
        <f>Inputs!$E$154</f>
        <v>40000</v>
      </c>
      <c r="G71" s="465">
        <f>F71*(1+Inputs!$E$152)</f>
        <v>41200</v>
      </c>
      <c r="H71" s="465">
        <f>G71*(1+Inputs!$E$152)</f>
        <v>42436</v>
      </c>
      <c r="I71" s="465">
        <f>H71*(1+Inputs!$E$152)</f>
        <v>43709.08</v>
      </c>
      <c r="J71" s="465">
        <f>I71*(1+Inputs!$E$152)</f>
        <v>45020.352400000003</v>
      </c>
      <c r="K71" s="465">
        <f>J71*(1+Inputs!$E$152)</f>
        <v>46370.962972000001</v>
      </c>
      <c r="L71" s="465">
        <f>K71*(1+Inputs!$E$152)</f>
        <v>47762.091861159999</v>
      </c>
      <c r="M71" s="465">
        <f>L71*(1+Inputs!$E$152)</f>
        <v>49194.954616994801</v>
      </c>
      <c r="N71" s="465">
        <f>M71*(1+Inputs!$E$152)</f>
        <v>50670.803255504645</v>
      </c>
      <c r="O71" s="465">
        <f>N71*(1+Inputs!$E$152)</f>
        <v>52190.927353169784</v>
      </c>
      <c r="P71" s="111"/>
    </row>
    <row r="72" spans="1:16" x14ac:dyDescent="0.35">
      <c r="A72" s="111"/>
      <c r="B72" s="117">
        <v>7</v>
      </c>
      <c r="C72" s="115" t="s">
        <v>140</v>
      </c>
      <c r="D72" s="16">
        <v>3500</v>
      </c>
      <c r="E72" s="464"/>
      <c r="F72" s="465">
        <f>Inputs!$E$154</f>
        <v>40000</v>
      </c>
      <c r="G72" s="465">
        <f>F72*(1+Inputs!$E$152)</f>
        <v>41200</v>
      </c>
      <c r="H72" s="465">
        <f>G72*(1+Inputs!$E$152)</f>
        <v>42436</v>
      </c>
      <c r="I72" s="465">
        <f>H72*(1+Inputs!$E$152)</f>
        <v>43709.08</v>
      </c>
      <c r="J72" s="465">
        <f>I72*(1+Inputs!$E$152)</f>
        <v>45020.352400000003</v>
      </c>
      <c r="K72" s="465">
        <f>J72*(1+Inputs!$E$152)</f>
        <v>46370.962972000001</v>
      </c>
      <c r="L72" s="465">
        <f>K72*(1+Inputs!$E$152)</f>
        <v>47762.091861159999</v>
      </c>
      <c r="M72" s="465">
        <f>L72*(1+Inputs!$E$152)</f>
        <v>49194.954616994801</v>
      </c>
      <c r="N72" s="465">
        <f>M72*(1+Inputs!$E$152)</f>
        <v>50670.803255504645</v>
      </c>
      <c r="O72" s="465">
        <f>N72*(1+Inputs!$E$152)</f>
        <v>52190.927353169784</v>
      </c>
      <c r="P72" s="111"/>
    </row>
    <row r="73" spans="1:16" x14ac:dyDescent="0.35">
      <c r="A73" s="111"/>
      <c r="B73" s="117">
        <v>8</v>
      </c>
      <c r="C73" s="115" t="s">
        <v>142</v>
      </c>
      <c r="D73" s="16">
        <v>3500</v>
      </c>
      <c r="E73" s="464"/>
      <c r="F73" s="465">
        <f>Inputs!$E$153</f>
        <v>40000</v>
      </c>
      <c r="G73" s="465">
        <f>F73*(1+Inputs!$E$152)</f>
        <v>41200</v>
      </c>
      <c r="H73" s="465">
        <f>G73*(1+Inputs!$E$152)</f>
        <v>42436</v>
      </c>
      <c r="I73" s="465">
        <f>H73*(1+Inputs!$E$152)</f>
        <v>43709.08</v>
      </c>
      <c r="J73" s="465">
        <f>I73*(1+Inputs!$E$152)</f>
        <v>45020.352400000003</v>
      </c>
      <c r="K73" s="465">
        <f>J73*(1+Inputs!$E$152)</f>
        <v>46370.962972000001</v>
      </c>
      <c r="L73" s="465">
        <f>K73*(1+Inputs!$E$152)</f>
        <v>47762.091861159999</v>
      </c>
      <c r="M73" s="465">
        <f>L73*(1+Inputs!$E$152)</f>
        <v>49194.954616994801</v>
      </c>
      <c r="N73" s="465">
        <f>M73*(1+Inputs!$E$152)</f>
        <v>50670.803255504645</v>
      </c>
      <c r="O73" s="465">
        <f>N73*(1+Inputs!$E$152)</f>
        <v>52190.927353169784</v>
      </c>
      <c r="P73" s="111"/>
    </row>
    <row r="74" spans="1:16" x14ac:dyDescent="0.35">
      <c r="A74" s="111"/>
      <c r="B74" s="117">
        <v>9</v>
      </c>
      <c r="C74" s="115" t="s">
        <v>102</v>
      </c>
      <c r="D74" s="16">
        <v>2000</v>
      </c>
      <c r="E74" s="464"/>
      <c r="F74" s="465">
        <f>Inputs!$E$155</f>
        <v>10000</v>
      </c>
      <c r="G74" s="465">
        <f>F74*(1+Inputs!$E$152)</f>
        <v>10300</v>
      </c>
      <c r="H74" s="465">
        <f>G74*(1+Inputs!$E$152)</f>
        <v>10609</v>
      </c>
      <c r="I74" s="465">
        <f>H74*(1+Inputs!$E$152)</f>
        <v>10927.27</v>
      </c>
      <c r="J74" s="465">
        <f>I74*(1+Inputs!$E$152)</f>
        <v>11255.088100000001</v>
      </c>
      <c r="K74" s="465">
        <f>J74*(1+Inputs!$E$152)</f>
        <v>11592.740743</v>
      </c>
      <c r="L74" s="465">
        <f>K74*(1+Inputs!$E$152)</f>
        <v>11940.52296529</v>
      </c>
      <c r="M74" s="465">
        <f>L74*(1+Inputs!$E$152)</f>
        <v>12298.7386542487</v>
      </c>
      <c r="N74" s="465">
        <f>M74*(1+Inputs!$E$152)</f>
        <v>12667.700813876161</v>
      </c>
      <c r="O74" s="465">
        <f>N74*(1+Inputs!$E$152)</f>
        <v>13047.731838292446</v>
      </c>
      <c r="P74" s="111"/>
    </row>
    <row r="75" spans="1:16" x14ac:dyDescent="0.35">
      <c r="A75" s="111"/>
      <c r="B75" s="117">
        <v>10</v>
      </c>
      <c r="C75" s="115" t="s">
        <v>1394</v>
      </c>
      <c r="D75" s="16">
        <v>2000</v>
      </c>
      <c r="E75" s="464"/>
      <c r="F75" s="465">
        <f>Inputs!$E$156</f>
        <v>20000</v>
      </c>
      <c r="G75" s="465">
        <f>F75*(1+Inputs!$E$152)</f>
        <v>20600</v>
      </c>
      <c r="H75" s="465">
        <f>G75*(1+Inputs!$E$152)</f>
        <v>21218</v>
      </c>
      <c r="I75" s="465">
        <f>H75*(1+Inputs!$E$152)</f>
        <v>21854.54</v>
      </c>
      <c r="J75" s="465">
        <f>I75*(1+Inputs!$E$152)</f>
        <v>22510.176200000002</v>
      </c>
      <c r="K75" s="465">
        <f>J75*(1+Inputs!$E$152)</f>
        <v>23185.481486000001</v>
      </c>
      <c r="L75" s="465">
        <f>K75*(1+Inputs!$E$152)</f>
        <v>23881.04593058</v>
      </c>
      <c r="M75" s="465">
        <f>L75*(1+Inputs!$E$152)</f>
        <v>24597.4773084974</v>
      </c>
      <c r="N75" s="465">
        <f>M75*(1+Inputs!$E$152)</f>
        <v>25335.401627752322</v>
      </c>
      <c r="O75" s="465">
        <f>N75*(1+Inputs!$E$152)</f>
        <v>26095.463676584892</v>
      </c>
      <c r="P75" s="111"/>
    </row>
    <row r="76" spans="1:16" x14ac:dyDescent="0.35">
      <c r="A76" s="111"/>
      <c r="B76" s="117">
        <v>11</v>
      </c>
      <c r="C76" s="115" t="s">
        <v>1395</v>
      </c>
      <c r="D76" s="16">
        <v>4000</v>
      </c>
      <c r="E76" s="464"/>
      <c r="F76" s="465">
        <f>Inputs!$E$157</f>
        <v>10000</v>
      </c>
      <c r="G76" s="465">
        <f>F76*(1+Inputs!$E$152)</f>
        <v>10300</v>
      </c>
      <c r="H76" s="465">
        <f>G76*(1+Inputs!$E$152)</f>
        <v>10609</v>
      </c>
      <c r="I76" s="465">
        <f>H76*(1+Inputs!$E$152)</f>
        <v>10927.27</v>
      </c>
      <c r="J76" s="465">
        <f>I76*(1+Inputs!$E$152)</f>
        <v>11255.088100000001</v>
      </c>
      <c r="K76" s="465">
        <f>J76*(1+Inputs!$E$152)</f>
        <v>11592.740743</v>
      </c>
      <c r="L76" s="465">
        <f>K76*(1+Inputs!$E$152)</f>
        <v>11940.52296529</v>
      </c>
      <c r="M76" s="465">
        <f>L76*(1+Inputs!$E$152)</f>
        <v>12298.7386542487</v>
      </c>
      <c r="N76" s="465">
        <f>M76*(1+Inputs!$E$152)</f>
        <v>12667.700813876161</v>
      </c>
      <c r="O76" s="465">
        <f>N76*(1+Inputs!$E$152)</f>
        <v>13047.731838292446</v>
      </c>
      <c r="P76" s="111"/>
    </row>
    <row r="77" spans="1:16" x14ac:dyDescent="0.35">
      <c r="A77" s="111"/>
      <c r="B77" s="113"/>
      <c r="C77" s="111"/>
      <c r="D77" s="111"/>
      <c r="E77" s="464"/>
      <c r="F77" s="466"/>
      <c r="G77" s="466"/>
      <c r="H77" s="466"/>
      <c r="I77" s="466"/>
      <c r="J77" s="466"/>
      <c r="K77" s="466"/>
      <c r="L77" s="466"/>
      <c r="M77" s="466"/>
      <c r="N77" s="466"/>
      <c r="O77" s="466"/>
      <c r="P77" s="111"/>
    </row>
    <row r="78" spans="1:16" x14ac:dyDescent="0.35">
      <c r="A78" s="111"/>
      <c r="B78" s="111"/>
      <c r="C78" s="111"/>
      <c r="D78" s="111"/>
      <c r="E78" s="111"/>
      <c r="F78" s="111"/>
      <c r="G78" s="111"/>
      <c r="H78" s="111"/>
      <c r="I78" s="111"/>
      <c r="J78" s="111"/>
      <c r="K78" s="111"/>
      <c r="L78" s="111"/>
      <c r="M78" s="111"/>
      <c r="N78" s="111"/>
      <c r="O78" s="111"/>
      <c r="P78" s="111"/>
    </row>
    <row r="79" spans="1:16" x14ac:dyDescent="0.35">
      <c r="A79" s="111"/>
      <c r="B79" s="111"/>
      <c r="C79" s="111"/>
      <c r="D79" s="111"/>
      <c r="E79" s="104" t="s">
        <v>15</v>
      </c>
      <c r="F79" s="119" t="str">
        <f>'P&amp;L'!J6</f>
        <v>FY27</v>
      </c>
      <c r="G79" s="119" t="str">
        <f>'P&amp;L'!K6</f>
        <v>FY28</v>
      </c>
      <c r="H79" s="119" t="str">
        <f>'P&amp;L'!L6</f>
        <v>FY29</v>
      </c>
      <c r="I79" s="119" t="str">
        <f>'P&amp;L'!M6</f>
        <v>FY30</v>
      </c>
      <c r="J79" s="119" t="str">
        <f>'P&amp;L'!N6</f>
        <v>FY31</v>
      </c>
      <c r="K79" s="119" t="str">
        <f>'P&amp;L'!O6</f>
        <v>FY32</v>
      </c>
      <c r="L79" s="119" t="str">
        <f>'P&amp;L'!P6</f>
        <v>FY33</v>
      </c>
      <c r="M79" s="119" t="str">
        <f>'P&amp;L'!Q6</f>
        <v>FY34</v>
      </c>
      <c r="N79" s="119" t="str">
        <f>'P&amp;L'!R6</f>
        <v>FY35</v>
      </c>
      <c r="O79" s="119" t="str">
        <f>'P&amp;L'!S6</f>
        <v>FY36</v>
      </c>
      <c r="P79" s="111"/>
    </row>
    <row r="80" spans="1:16" x14ac:dyDescent="0.35">
      <c r="A80" s="111"/>
      <c r="B80" s="115" t="s">
        <v>1399</v>
      </c>
      <c r="C80" s="111"/>
      <c r="D80" s="104" t="s">
        <v>1391</v>
      </c>
      <c r="E80" s="111"/>
      <c r="F80" s="117">
        <f t="shared" ref="F80:O80" si="3">F64</f>
        <v>2027</v>
      </c>
      <c r="G80" s="117">
        <f t="shared" si="3"/>
        <v>2028</v>
      </c>
      <c r="H80" s="117">
        <f t="shared" si="3"/>
        <v>2029</v>
      </c>
      <c r="I80" s="117">
        <f t="shared" si="3"/>
        <v>2030</v>
      </c>
      <c r="J80" s="117">
        <f t="shared" si="3"/>
        <v>2031</v>
      </c>
      <c r="K80" s="117">
        <f t="shared" si="3"/>
        <v>2032</v>
      </c>
      <c r="L80" s="117">
        <f t="shared" si="3"/>
        <v>2033</v>
      </c>
      <c r="M80" s="117">
        <f t="shared" si="3"/>
        <v>2034</v>
      </c>
      <c r="N80" s="117">
        <f t="shared" si="3"/>
        <v>2035</v>
      </c>
      <c r="O80" s="117">
        <f t="shared" si="3"/>
        <v>2036</v>
      </c>
      <c r="P80" s="111"/>
    </row>
    <row r="81" spans="1:16" x14ac:dyDescent="0.35">
      <c r="A81" s="111"/>
      <c r="B81" s="115"/>
      <c r="C81" s="111"/>
      <c r="D81" s="104"/>
      <c r="E81" s="111"/>
      <c r="F81" s="119"/>
      <c r="G81" s="117"/>
      <c r="H81" s="117"/>
      <c r="I81" s="117"/>
      <c r="J81" s="117"/>
      <c r="K81" s="117"/>
      <c r="L81" s="117"/>
      <c r="M81" s="117"/>
      <c r="N81" s="117"/>
      <c r="O81" s="117"/>
      <c r="P81" s="111"/>
    </row>
    <row r="82" spans="1:16" x14ac:dyDescent="0.35">
      <c r="A82" s="111"/>
      <c r="B82" s="117">
        <v>1</v>
      </c>
      <c r="C82" s="115" t="s">
        <v>1392</v>
      </c>
      <c r="D82" s="16">
        <v>5000</v>
      </c>
      <c r="E82" s="464"/>
      <c r="F82" s="465">
        <f>Inputs!$E$154</f>
        <v>40000</v>
      </c>
      <c r="G82" s="465">
        <f>G66*'Calendar Assumptions'!H5</f>
        <v>730352.4</v>
      </c>
      <c r="H82" s="465">
        <f>H66*'Calendar Assumptions'!I5</f>
        <v>806284</v>
      </c>
      <c r="I82" s="465">
        <f>I66*'Calendar Assumptions'!J5</f>
        <v>830472.52</v>
      </c>
      <c r="J82" s="465">
        <f>J66*'Calendar Assumptions'!K5</f>
        <v>855386.69560000009</v>
      </c>
      <c r="K82" s="465">
        <f>K66*'Calendar Assumptions'!L5</f>
        <v>881048.29646800004</v>
      </c>
      <c r="L82" s="465">
        <f>L66*'Calendar Assumptions'!M5</f>
        <v>907479.74536204</v>
      </c>
      <c r="M82" s="465">
        <f>M66*'Calendar Assumptions'!N5</f>
        <v>934704.13772290119</v>
      </c>
      <c r="N82" s="465">
        <f>N66*'Calendar Assumptions'!O5</f>
        <v>962745.26185458829</v>
      </c>
      <c r="O82" s="465">
        <f>O66*'Calendar Assumptions'!P5</f>
        <v>991627.61971022584</v>
      </c>
      <c r="P82" s="111"/>
    </row>
    <row r="83" spans="1:16" x14ac:dyDescent="0.35">
      <c r="A83" s="111"/>
      <c r="B83" s="117">
        <v>2</v>
      </c>
      <c r="C83" s="115" t="s">
        <v>1392</v>
      </c>
      <c r="D83" s="16">
        <v>3000</v>
      </c>
      <c r="E83" s="464"/>
      <c r="F83" s="465">
        <f>Inputs!$E$154*0.7</f>
        <v>28000</v>
      </c>
      <c r="G83" s="465">
        <f>G67*'Calendar Assumptions'!H6</f>
        <v>415147.68</v>
      </c>
      <c r="H83" s="465">
        <f>H67*'Calendar Assumptions'!I6</f>
        <v>458308.80000000005</v>
      </c>
      <c r="I83" s="465">
        <f>I67*'Calendar Assumptions'!J6</f>
        <v>472058.06400000007</v>
      </c>
      <c r="J83" s="465">
        <f>J67*'Calendar Assumptions'!K6</f>
        <v>486219.80592000013</v>
      </c>
      <c r="K83" s="465">
        <f>K67*'Calendar Assumptions'!L6</f>
        <v>500806.40009760013</v>
      </c>
      <c r="L83" s="465">
        <f>L67*'Calendar Assumptions'!M6</f>
        <v>515830.59210052813</v>
      </c>
      <c r="M83" s="465">
        <f>M67*'Calendar Assumptions'!N6</f>
        <v>531305.50986354402</v>
      </c>
      <c r="N83" s="465">
        <f>N67*'Calendar Assumptions'!O6</f>
        <v>547244.67515945027</v>
      </c>
      <c r="O83" s="465">
        <f>O67*'Calendar Assumptions'!P6</f>
        <v>563662.01541423379</v>
      </c>
      <c r="P83" s="111"/>
    </row>
    <row r="84" spans="1:16" x14ac:dyDescent="0.35">
      <c r="A84" s="111"/>
      <c r="B84" s="117">
        <v>3</v>
      </c>
      <c r="C84" s="115" t="s">
        <v>1392</v>
      </c>
      <c r="D84" s="16">
        <v>1500</v>
      </c>
      <c r="E84" s="464"/>
      <c r="F84" s="465">
        <f>Inputs!$E$154*0.5</f>
        <v>20000</v>
      </c>
      <c r="G84" s="465">
        <f>G68*'Calendar Assumptions'!H7</f>
        <v>172978.2</v>
      </c>
      <c r="H84" s="465">
        <f>H68*'Calendar Assumptions'!I7</f>
        <v>190962.00000000003</v>
      </c>
      <c r="I84" s="465">
        <f>I68*'Calendar Assumptions'!J7</f>
        <v>196690.86000000004</v>
      </c>
      <c r="J84" s="465">
        <f>J68*'Calendar Assumptions'!K7</f>
        <v>202591.58580000006</v>
      </c>
      <c r="K84" s="465">
        <f>K68*'Calendar Assumptions'!L7</f>
        <v>208669.33337400004</v>
      </c>
      <c r="L84" s="465">
        <f>L68*'Calendar Assumptions'!M7</f>
        <v>214929.41337522006</v>
      </c>
      <c r="M84" s="465">
        <f>M68*'Calendar Assumptions'!N7</f>
        <v>221377.29577647665</v>
      </c>
      <c r="N84" s="465">
        <f>N68*'Calendar Assumptions'!O7</f>
        <v>228018.61464977096</v>
      </c>
      <c r="O84" s="465">
        <f>O68*'Calendar Assumptions'!P7</f>
        <v>234859.17308926408</v>
      </c>
      <c r="P84" s="111"/>
    </row>
    <row r="85" spans="1:16" x14ac:dyDescent="0.35">
      <c r="A85" s="111"/>
      <c r="B85" s="117">
        <v>4</v>
      </c>
      <c r="C85" s="115" t="s">
        <v>1393</v>
      </c>
      <c r="D85" s="16">
        <v>3500</v>
      </c>
      <c r="E85" s="464"/>
      <c r="F85" s="465">
        <f>Inputs!$E$154</f>
        <v>40000</v>
      </c>
      <c r="G85" s="465">
        <f>G69*'Calendar Assumptions'!H8</f>
        <v>691912.8</v>
      </c>
      <c r="H85" s="465">
        <f>H69*'Calendar Assumptions'!I8</f>
        <v>763848</v>
      </c>
      <c r="I85" s="465">
        <f>I69*'Calendar Assumptions'!J8</f>
        <v>786763.44000000006</v>
      </c>
      <c r="J85" s="465">
        <f>J69*'Calendar Assumptions'!K8</f>
        <v>810366.3432</v>
      </c>
      <c r="K85" s="465">
        <f>K69*'Calendar Assumptions'!L8</f>
        <v>834677.33349600004</v>
      </c>
      <c r="L85" s="465">
        <f>L69*'Calendar Assumptions'!M8</f>
        <v>859717.65350088</v>
      </c>
      <c r="M85" s="465">
        <f>M69*'Calendar Assumptions'!N8</f>
        <v>885509.18310590647</v>
      </c>
      <c r="N85" s="465">
        <f>N69*'Calendar Assumptions'!O8</f>
        <v>912074.45859908359</v>
      </c>
      <c r="O85" s="465">
        <f>O69*'Calendar Assumptions'!P8</f>
        <v>939436.69235705608</v>
      </c>
      <c r="P85" s="111"/>
    </row>
    <row r="86" spans="1:16" x14ac:dyDescent="0.35">
      <c r="A86" s="111"/>
      <c r="B86" s="117">
        <v>5</v>
      </c>
      <c r="C86" s="115" t="s">
        <v>585</v>
      </c>
      <c r="D86" s="16">
        <v>3500</v>
      </c>
      <c r="E86" s="464"/>
      <c r="F86" s="465">
        <f>Inputs!$E$154</f>
        <v>40000</v>
      </c>
      <c r="G86" s="465">
        <f>G70*'Calendar Assumptions'!H9</f>
        <v>576594</v>
      </c>
      <c r="H86" s="465">
        <f>H70*'Calendar Assumptions'!I9</f>
        <v>636540</v>
      </c>
      <c r="I86" s="465">
        <f>I70*'Calendar Assumptions'!J9</f>
        <v>655636.20000000007</v>
      </c>
      <c r="J86" s="465">
        <f>J70*'Calendar Assumptions'!K9</f>
        <v>675305.28600000008</v>
      </c>
      <c r="K86" s="465">
        <f>K70*'Calendar Assumptions'!L9</f>
        <v>695564.44458000001</v>
      </c>
      <c r="L86" s="465">
        <f>L70*'Calendar Assumptions'!M9</f>
        <v>716431.37791739998</v>
      </c>
      <c r="M86" s="465">
        <f>M70*'Calendar Assumptions'!N9</f>
        <v>737924.31925492198</v>
      </c>
      <c r="N86" s="465">
        <f>N70*'Calendar Assumptions'!O9</f>
        <v>760062.04883256962</v>
      </c>
      <c r="O86" s="465">
        <f>O70*'Calendar Assumptions'!P9</f>
        <v>782863.91029754677</v>
      </c>
      <c r="P86" s="111"/>
    </row>
    <row r="87" spans="1:16" x14ac:dyDescent="0.35">
      <c r="A87" s="111"/>
      <c r="B87" s="117">
        <v>6</v>
      </c>
      <c r="C87" s="115" t="s">
        <v>587</v>
      </c>
      <c r="D87" s="16">
        <v>3500</v>
      </c>
      <c r="E87" s="464"/>
      <c r="F87" s="465">
        <f>Inputs!$E$154</f>
        <v>40000</v>
      </c>
      <c r="G87" s="465">
        <f>G71*'Calendar Assumptions'!H10</f>
        <v>576594</v>
      </c>
      <c r="H87" s="465">
        <f>H71*'Calendar Assumptions'!I10</f>
        <v>636540</v>
      </c>
      <c r="I87" s="465">
        <f>I71*'Calendar Assumptions'!J10</f>
        <v>655636.20000000007</v>
      </c>
      <c r="J87" s="465">
        <f>J71*'Calendar Assumptions'!K10</f>
        <v>675305.28600000008</v>
      </c>
      <c r="K87" s="465">
        <f>K71*'Calendar Assumptions'!L10</f>
        <v>695564.44458000001</v>
      </c>
      <c r="L87" s="465">
        <f>L71*'Calendar Assumptions'!M10</f>
        <v>716431.37791739998</v>
      </c>
      <c r="M87" s="465">
        <f>M71*'Calendar Assumptions'!N10</f>
        <v>737924.31925492198</v>
      </c>
      <c r="N87" s="465">
        <f>N71*'Calendar Assumptions'!O10</f>
        <v>760062.04883256962</v>
      </c>
      <c r="O87" s="465">
        <f>O71*'Calendar Assumptions'!P10</f>
        <v>782863.91029754677</v>
      </c>
      <c r="P87" s="111"/>
    </row>
    <row r="88" spans="1:16" x14ac:dyDescent="0.35">
      <c r="A88" s="111"/>
      <c r="B88" s="117">
        <v>7</v>
      </c>
      <c r="C88" s="115" t="s">
        <v>140</v>
      </c>
      <c r="D88" s="16">
        <v>3500</v>
      </c>
      <c r="E88" s="464"/>
      <c r="F88" s="465">
        <f>Inputs!$E$154</f>
        <v>40000</v>
      </c>
      <c r="G88" s="465">
        <f>G72*'Calendar Assumptions'!H11</f>
        <v>115318.80000000002</v>
      </c>
      <c r="H88" s="465">
        <f>H72*'Calendar Assumptions'!I11</f>
        <v>127308</v>
      </c>
      <c r="I88" s="465">
        <f>I72*'Calendar Assumptions'!J11</f>
        <v>131127.24</v>
      </c>
      <c r="J88" s="465">
        <f>J72*'Calendar Assumptions'!K11</f>
        <v>135061.05720000001</v>
      </c>
      <c r="K88" s="465">
        <f>K72*'Calendar Assumptions'!L11</f>
        <v>139112.888916</v>
      </c>
      <c r="L88" s="465">
        <f>L72*'Calendar Assumptions'!M11</f>
        <v>143286.27558347999</v>
      </c>
      <c r="M88" s="465">
        <f>M72*'Calendar Assumptions'!N11</f>
        <v>147584.8638509844</v>
      </c>
      <c r="N88" s="465">
        <f>N72*'Calendar Assumptions'!O11</f>
        <v>152012.40976651394</v>
      </c>
      <c r="O88" s="465">
        <f>O72*'Calendar Assumptions'!P11</f>
        <v>156572.78205950937</v>
      </c>
      <c r="P88" s="111"/>
    </row>
    <row r="89" spans="1:16" x14ac:dyDescent="0.35">
      <c r="A89" s="111"/>
      <c r="B89" s="117">
        <v>8</v>
      </c>
      <c r="C89" s="115" t="s">
        <v>142</v>
      </c>
      <c r="D89" s="16">
        <v>3500</v>
      </c>
      <c r="E89" s="464"/>
      <c r="F89" s="465">
        <f>Inputs!$E$154</f>
        <v>40000</v>
      </c>
      <c r="G89" s="465">
        <f>G73*'Calendar Assumptions'!H12</f>
        <v>1114748.4000000001</v>
      </c>
      <c r="H89" s="465">
        <f>H73*'Calendar Assumptions'!I12</f>
        <v>1230644</v>
      </c>
      <c r="I89" s="465">
        <f>I73*'Calendar Assumptions'!J12</f>
        <v>1267563.32</v>
      </c>
      <c r="J89" s="465">
        <f>J73*'Calendar Assumptions'!K12</f>
        <v>1305590.2196000002</v>
      </c>
      <c r="K89" s="465">
        <f>K73*'Calendar Assumptions'!L12</f>
        <v>1344757.926188</v>
      </c>
      <c r="L89" s="465">
        <f>L73*'Calendar Assumptions'!M12</f>
        <v>1385100.66397364</v>
      </c>
      <c r="M89" s="465">
        <f>M73*'Calendar Assumptions'!N12</f>
        <v>1426653.6838928491</v>
      </c>
      <c r="N89" s="465">
        <f>N73*'Calendar Assumptions'!O12</f>
        <v>1469453.2944096348</v>
      </c>
      <c r="O89" s="465">
        <f>O73*'Calendar Assumptions'!P12</f>
        <v>1513536.8932419238</v>
      </c>
      <c r="P89" s="111"/>
    </row>
    <row r="90" spans="1:16" x14ac:dyDescent="0.35">
      <c r="A90" s="111"/>
      <c r="B90" s="117">
        <v>9</v>
      </c>
      <c r="C90" s="115" t="s">
        <v>102</v>
      </c>
      <c r="D90" s="16">
        <v>2000</v>
      </c>
      <c r="E90" s="464"/>
      <c r="F90" s="465">
        <f>Inputs!E155</f>
        <v>10000</v>
      </c>
      <c r="G90" s="465">
        <f>G74*'Calendar Assumptions'!H13</f>
        <v>115318.80000000002</v>
      </c>
      <c r="H90" s="465">
        <f>H74*'Calendar Assumptions'!I13</f>
        <v>127308</v>
      </c>
      <c r="I90" s="465">
        <f>I74*'Calendar Assumptions'!J13</f>
        <v>131127.24</v>
      </c>
      <c r="J90" s="465">
        <f>J74*'Calendar Assumptions'!K13</f>
        <v>135061.05720000001</v>
      </c>
      <c r="K90" s="465">
        <f>K74*'Calendar Assumptions'!L13</f>
        <v>139112.888916</v>
      </c>
      <c r="L90" s="465">
        <f>L74*'Calendar Assumptions'!M13</f>
        <v>143286.27558347999</v>
      </c>
      <c r="M90" s="465">
        <f>M74*'Calendar Assumptions'!N13</f>
        <v>147584.8638509844</v>
      </c>
      <c r="N90" s="465">
        <f>N74*'Calendar Assumptions'!O13</f>
        <v>152012.40976651394</v>
      </c>
      <c r="O90" s="465">
        <f>O74*'Calendar Assumptions'!P13</f>
        <v>156572.78205950937</v>
      </c>
      <c r="P90" s="111"/>
    </row>
    <row r="91" spans="1:16" x14ac:dyDescent="0.35">
      <c r="A91" s="111"/>
      <c r="B91" s="117">
        <v>10</v>
      </c>
      <c r="C91" s="115" t="s">
        <v>1394</v>
      </c>
      <c r="D91" s="16">
        <v>2000</v>
      </c>
      <c r="E91" s="464"/>
      <c r="F91" s="465">
        <f>Inputs!E156</f>
        <v>20000</v>
      </c>
      <c r="G91" s="465">
        <f>G75*'Calendar Assumptions'!H14</f>
        <v>192198</v>
      </c>
      <c r="H91" s="465">
        <f>H75*'Calendar Assumptions'!I14</f>
        <v>212180</v>
      </c>
      <c r="I91" s="465">
        <f>I75*'Calendar Assumptions'!J14</f>
        <v>218545.40000000002</v>
      </c>
      <c r="J91" s="465">
        <f>J75*'Calendar Assumptions'!K14</f>
        <v>225101.76200000002</v>
      </c>
      <c r="K91" s="465">
        <f>K75*'Calendar Assumptions'!L14</f>
        <v>231854.81486000001</v>
      </c>
      <c r="L91" s="465">
        <f>L75*'Calendar Assumptions'!M14</f>
        <v>238810.4593058</v>
      </c>
      <c r="M91" s="465">
        <f>M75*'Calendar Assumptions'!N14</f>
        <v>245974.773084974</v>
      </c>
      <c r="N91" s="465">
        <f>N75*'Calendar Assumptions'!O14</f>
        <v>253354.01627752322</v>
      </c>
      <c r="O91" s="465">
        <f>O75*'Calendar Assumptions'!P14</f>
        <v>260954.6367658489</v>
      </c>
      <c r="P91" s="111"/>
    </row>
    <row r="92" spans="1:16" x14ac:dyDescent="0.35">
      <c r="A92" s="111"/>
      <c r="B92" s="117">
        <v>11</v>
      </c>
      <c r="C92" s="115" t="s">
        <v>1395</v>
      </c>
      <c r="D92" s="16">
        <v>4000</v>
      </c>
      <c r="E92" s="464"/>
      <c r="F92" s="465">
        <f>Inputs!E157</f>
        <v>10000</v>
      </c>
      <c r="G92" s="465">
        <f>G76*'Calendar Assumptions'!H15</f>
        <v>249857.40000000002</v>
      </c>
      <c r="H92" s="465">
        <f>H76*'Calendar Assumptions'!I15</f>
        <v>275834</v>
      </c>
      <c r="I92" s="465">
        <f>I76*'Calendar Assumptions'!J15</f>
        <v>284109.02</v>
      </c>
      <c r="J92" s="465">
        <f>J76*'Calendar Assumptions'!K15</f>
        <v>292632.29060000001</v>
      </c>
      <c r="K92" s="465">
        <f>K76*'Calendar Assumptions'!L15</f>
        <v>301411.259318</v>
      </c>
      <c r="L92" s="465">
        <f>L76*'Calendar Assumptions'!M15</f>
        <v>310453.59709753998</v>
      </c>
      <c r="M92" s="465">
        <f>M76*'Calendar Assumptions'!N15</f>
        <v>319767.20501046622</v>
      </c>
      <c r="N92" s="465">
        <f>N76*'Calendar Assumptions'!O15</f>
        <v>329360.22116078017</v>
      </c>
      <c r="O92" s="465">
        <f>O76*'Calendar Assumptions'!P15</f>
        <v>339241.02779560362</v>
      </c>
      <c r="P92" s="111"/>
    </row>
    <row r="93" spans="1:16" x14ac:dyDescent="0.35">
      <c r="A93" s="111"/>
      <c r="B93" s="111"/>
      <c r="C93" s="111"/>
      <c r="D93" s="111"/>
      <c r="E93" s="111"/>
      <c r="F93" s="111"/>
      <c r="G93" s="111"/>
      <c r="H93" s="111"/>
      <c r="I93" s="111"/>
      <c r="J93" s="111"/>
      <c r="K93" s="111"/>
      <c r="L93" s="111"/>
      <c r="M93" s="111"/>
      <c r="N93" s="111"/>
      <c r="O93" s="111"/>
      <c r="P93" s="111"/>
    </row>
    <row r="94" spans="1:16" x14ac:dyDescent="0.35">
      <c r="A94" s="111"/>
      <c r="B94" s="111"/>
      <c r="C94" s="111"/>
      <c r="D94" s="111"/>
      <c r="E94" s="104" t="s">
        <v>15</v>
      </c>
      <c r="F94" s="119" t="str">
        <f>'P&amp;L'!J6</f>
        <v>FY27</v>
      </c>
      <c r="G94" s="119" t="str">
        <f>'P&amp;L'!K6</f>
        <v>FY28</v>
      </c>
      <c r="H94" s="119" t="str">
        <f>'P&amp;L'!L6</f>
        <v>FY29</v>
      </c>
      <c r="I94" s="119" t="str">
        <f>'P&amp;L'!M6</f>
        <v>FY30</v>
      </c>
      <c r="J94" s="119" t="str">
        <f>'P&amp;L'!N6</f>
        <v>FY31</v>
      </c>
      <c r="K94" s="119" t="str">
        <f>'P&amp;L'!O6</f>
        <v>FY32</v>
      </c>
      <c r="L94" s="119" t="str">
        <f>'P&amp;L'!P6</f>
        <v>FY33</v>
      </c>
      <c r="M94" s="119" t="str">
        <f>'P&amp;L'!Q6</f>
        <v>FY34</v>
      </c>
      <c r="N94" s="119" t="str">
        <f>'P&amp;L'!R6</f>
        <v>FY35</v>
      </c>
      <c r="O94" s="119" t="str">
        <f>'P&amp;L'!S6</f>
        <v>FY36</v>
      </c>
      <c r="P94" s="111"/>
    </row>
    <row r="95" spans="1:16" x14ac:dyDescent="0.35">
      <c r="A95" s="111"/>
      <c r="B95" s="115" t="s">
        <v>1400</v>
      </c>
      <c r="C95" s="111"/>
      <c r="D95" s="104" t="s">
        <v>1391</v>
      </c>
      <c r="E95" s="111"/>
      <c r="F95" s="117">
        <f>F80</f>
        <v>2027</v>
      </c>
      <c r="G95" s="117">
        <v>2028</v>
      </c>
      <c r="H95" s="117">
        <v>2029</v>
      </c>
      <c r="I95" s="117">
        <v>2030</v>
      </c>
      <c r="J95" s="117">
        <v>2031</v>
      </c>
      <c r="K95" s="117">
        <v>2032</v>
      </c>
      <c r="L95" s="117">
        <v>2033</v>
      </c>
      <c r="M95" s="117">
        <v>2034</v>
      </c>
      <c r="N95" s="117">
        <v>2035</v>
      </c>
      <c r="O95" s="117">
        <v>2036</v>
      </c>
      <c r="P95" s="111"/>
    </row>
    <row r="96" spans="1:16" x14ac:dyDescent="0.35">
      <c r="A96" s="111"/>
      <c r="B96" s="115"/>
      <c r="C96" s="111"/>
      <c r="D96" s="104"/>
      <c r="E96" s="111"/>
      <c r="F96" s="117"/>
      <c r="G96" s="117"/>
      <c r="H96" s="117"/>
      <c r="I96" s="117"/>
      <c r="J96" s="117"/>
      <c r="K96" s="117"/>
      <c r="L96" s="117"/>
      <c r="M96" s="117"/>
      <c r="N96" s="117"/>
      <c r="O96" s="117"/>
      <c r="P96" s="111"/>
    </row>
    <row r="97" spans="1:16" x14ac:dyDescent="0.35">
      <c r="A97" s="111"/>
      <c r="B97" s="117">
        <v>1</v>
      </c>
      <c r="C97" s="115" t="s">
        <v>1392</v>
      </c>
      <c r="D97" s="16">
        <f t="shared" ref="D97:D107" si="4">D82</f>
        <v>5000</v>
      </c>
      <c r="E97" s="464"/>
      <c r="F97" s="465">
        <f>MAX(F82,F37)</f>
        <v>52000</v>
      </c>
      <c r="G97" s="465">
        <f>MAX(G51,G82)</f>
        <v>910787.8</v>
      </c>
      <c r="H97" s="465">
        <f t="shared" ref="H97:O97" si="5">MAX(H51,H82)</f>
        <v>977941.86360000016</v>
      </c>
      <c r="I97" s="465">
        <f t="shared" si="5"/>
        <v>1079614.2760000001</v>
      </c>
      <c r="J97" s="465">
        <f t="shared" si="5"/>
        <v>1112002.7042800002</v>
      </c>
      <c r="K97" s="465">
        <f t="shared" si="5"/>
        <v>1145362.7854084</v>
      </c>
      <c r="L97" s="465">
        <f t="shared" si="5"/>
        <v>1179723.6689706522</v>
      </c>
      <c r="M97" s="465">
        <f t="shared" si="5"/>
        <v>1215115.3790397716</v>
      </c>
      <c r="N97" s="465">
        <f t="shared" si="5"/>
        <v>1251568.8404109648</v>
      </c>
      <c r="O97" s="465">
        <f t="shared" si="5"/>
        <v>1289115.9056232937</v>
      </c>
      <c r="P97" s="111"/>
    </row>
    <row r="98" spans="1:16" x14ac:dyDescent="0.35">
      <c r="A98" s="111"/>
      <c r="B98" s="117">
        <v>2</v>
      </c>
      <c r="C98" s="115" t="s">
        <v>1392</v>
      </c>
      <c r="D98" s="16">
        <f t="shared" si="4"/>
        <v>3000</v>
      </c>
      <c r="E98" s="464"/>
      <c r="F98" s="465">
        <f t="shared" ref="F97:F107" si="6">MAX(F83,F38)</f>
        <v>31200</v>
      </c>
      <c r="G98" s="465">
        <f t="shared" ref="G98:O98" si="7">MAX(G52,G83)</f>
        <v>528701.47200000007</v>
      </c>
      <c r="H98" s="465">
        <f t="shared" si="7"/>
        <v>555882.74352000002</v>
      </c>
      <c r="I98" s="465">
        <f t="shared" si="7"/>
        <v>613675.48320000002</v>
      </c>
      <c r="J98" s="465">
        <f t="shared" si="7"/>
        <v>632085.74769600003</v>
      </c>
      <c r="K98" s="465">
        <f t="shared" si="7"/>
        <v>651048.32012688008</v>
      </c>
      <c r="L98" s="465">
        <f t="shared" si="7"/>
        <v>670579.76973068644</v>
      </c>
      <c r="M98" s="465">
        <f t="shared" si="7"/>
        <v>690697.16282260709</v>
      </c>
      <c r="N98" s="465">
        <f t="shared" si="7"/>
        <v>711418.07770728529</v>
      </c>
      <c r="O98" s="465">
        <f t="shared" si="7"/>
        <v>732760.62003850378</v>
      </c>
      <c r="P98" s="111"/>
    </row>
    <row r="99" spans="1:16" x14ac:dyDescent="0.35">
      <c r="A99" s="111"/>
      <c r="B99" s="117">
        <v>3</v>
      </c>
      <c r="C99" s="115" t="s">
        <v>1392</v>
      </c>
      <c r="D99" s="16">
        <f t="shared" si="4"/>
        <v>1500</v>
      </c>
      <c r="E99" s="464"/>
      <c r="F99" s="465">
        <f t="shared" si="6"/>
        <v>20000</v>
      </c>
      <c r="G99" s="465">
        <f t="shared" ref="G99:O99" si="8">MAX(G53,G84)</f>
        <v>210654.49275</v>
      </c>
      <c r="H99" s="465">
        <f t="shared" si="8"/>
        <v>221484.53062125001</v>
      </c>
      <c r="I99" s="465">
        <f t="shared" si="8"/>
        <v>244511.32533750002</v>
      </c>
      <c r="J99" s="465">
        <f t="shared" si="8"/>
        <v>251846.66509762502</v>
      </c>
      <c r="K99" s="465">
        <f t="shared" si="8"/>
        <v>259402.06505055382</v>
      </c>
      <c r="L99" s="465">
        <f t="shared" si="8"/>
        <v>267184.12700207043</v>
      </c>
      <c r="M99" s="465">
        <f t="shared" si="8"/>
        <v>275199.65081213258</v>
      </c>
      <c r="N99" s="465">
        <f t="shared" si="8"/>
        <v>283455.64033649658</v>
      </c>
      <c r="O99" s="465">
        <f t="shared" si="8"/>
        <v>291959.30954659148</v>
      </c>
      <c r="P99" s="111"/>
    </row>
    <row r="100" spans="1:16" x14ac:dyDescent="0.35">
      <c r="A100" s="111"/>
      <c r="B100" s="117">
        <v>4</v>
      </c>
      <c r="C100" s="115" t="s">
        <v>1393</v>
      </c>
      <c r="D100" s="16">
        <f t="shared" si="4"/>
        <v>3500</v>
      </c>
      <c r="E100" s="464"/>
      <c r="F100" s="465">
        <f t="shared" si="6"/>
        <v>49140</v>
      </c>
      <c r="G100" s="465">
        <f t="shared" ref="G100:O100" si="9">MAX(G54,G85)</f>
        <v>832704.81840000011</v>
      </c>
      <c r="H100" s="465">
        <f t="shared" si="9"/>
        <v>875515.3210440001</v>
      </c>
      <c r="I100" s="465">
        <f t="shared" si="9"/>
        <v>966538.88604000013</v>
      </c>
      <c r="J100" s="465">
        <f t="shared" si="9"/>
        <v>995535.05262119998</v>
      </c>
      <c r="K100" s="465">
        <f t="shared" si="9"/>
        <v>1025401.104199836</v>
      </c>
      <c r="L100" s="465">
        <f t="shared" si="9"/>
        <v>1056163.1373258312</v>
      </c>
      <c r="M100" s="465">
        <f t="shared" si="9"/>
        <v>1087848.0314456061</v>
      </c>
      <c r="N100" s="465">
        <f t="shared" si="9"/>
        <v>1120483.4723889746</v>
      </c>
      <c r="O100" s="465">
        <f t="shared" si="9"/>
        <v>1154097.9765606439</v>
      </c>
      <c r="P100" s="111"/>
    </row>
    <row r="101" spans="1:16" x14ac:dyDescent="0.35">
      <c r="A101" s="111"/>
      <c r="B101" s="117">
        <v>5</v>
      </c>
      <c r="C101" s="115" t="s">
        <v>585</v>
      </c>
      <c r="D101" s="16">
        <f t="shared" si="4"/>
        <v>3500</v>
      </c>
      <c r="E101" s="464"/>
      <c r="F101" s="465">
        <f t="shared" si="6"/>
        <v>40950</v>
      </c>
      <c r="G101" s="465">
        <f t="shared" ref="G101:O101" si="10">MAX(G55,G86)</f>
        <v>578267.23499999999</v>
      </c>
      <c r="H101" s="465">
        <f t="shared" si="10"/>
        <v>636540</v>
      </c>
      <c r="I101" s="465">
        <f t="shared" si="10"/>
        <v>671207.55975000001</v>
      </c>
      <c r="J101" s="465">
        <f t="shared" si="10"/>
        <v>691343.78654250002</v>
      </c>
      <c r="K101" s="465">
        <f t="shared" si="10"/>
        <v>712084.10013877507</v>
      </c>
      <c r="L101" s="465">
        <f t="shared" si="10"/>
        <v>733446.62314293836</v>
      </c>
      <c r="M101" s="465">
        <f t="shared" si="10"/>
        <v>755450.02183722646</v>
      </c>
      <c r="N101" s="465">
        <f t="shared" si="10"/>
        <v>778113.52249234321</v>
      </c>
      <c r="O101" s="465">
        <f t="shared" si="10"/>
        <v>801456.92816711357</v>
      </c>
      <c r="P101" s="111"/>
    </row>
    <row r="102" spans="1:16" x14ac:dyDescent="0.35">
      <c r="A102" s="111"/>
      <c r="B102" s="117">
        <v>6</v>
      </c>
      <c r="C102" s="115" t="s">
        <v>587</v>
      </c>
      <c r="D102" s="16">
        <f t="shared" si="4"/>
        <v>3500</v>
      </c>
      <c r="E102" s="464"/>
      <c r="F102" s="465">
        <f t="shared" si="6"/>
        <v>40950</v>
      </c>
      <c r="G102" s="465">
        <f t="shared" ref="G102:O102" si="11">MAX(G56,G87)</f>
        <v>578267.23499999999</v>
      </c>
      <c r="H102" s="465">
        <f t="shared" si="11"/>
        <v>636540</v>
      </c>
      <c r="I102" s="465">
        <f t="shared" si="11"/>
        <v>671207.55975000001</v>
      </c>
      <c r="J102" s="465">
        <f t="shared" si="11"/>
        <v>691343.78654250002</v>
      </c>
      <c r="K102" s="465">
        <f t="shared" si="11"/>
        <v>712084.10013877507</v>
      </c>
      <c r="L102" s="465">
        <f t="shared" si="11"/>
        <v>733446.62314293836</v>
      </c>
      <c r="M102" s="465">
        <f t="shared" si="11"/>
        <v>755450.02183722646</v>
      </c>
      <c r="N102" s="465">
        <f t="shared" si="11"/>
        <v>778113.52249234321</v>
      </c>
      <c r="O102" s="465">
        <f t="shared" si="11"/>
        <v>801456.92816711357</v>
      </c>
      <c r="P102" s="111"/>
    </row>
    <row r="103" spans="1:16" x14ac:dyDescent="0.35">
      <c r="A103" s="111"/>
      <c r="B103" s="117">
        <v>7</v>
      </c>
      <c r="C103" s="115" t="s">
        <v>140</v>
      </c>
      <c r="D103" s="16">
        <f t="shared" si="4"/>
        <v>3500</v>
      </c>
      <c r="E103" s="464"/>
      <c r="F103" s="465">
        <f t="shared" si="6"/>
        <v>40040</v>
      </c>
      <c r="G103" s="465">
        <f t="shared" ref="G103:O103" si="12">MAX(G57,G88)</f>
        <v>115318.80000000002</v>
      </c>
      <c r="H103" s="465">
        <f t="shared" si="12"/>
        <v>127308</v>
      </c>
      <c r="I103" s="465">
        <f t="shared" si="12"/>
        <v>131258.36724000002</v>
      </c>
      <c r="J103" s="465">
        <f t="shared" si="12"/>
        <v>135196.11825720003</v>
      </c>
      <c r="K103" s="465">
        <f t="shared" si="12"/>
        <v>139252.00180491601</v>
      </c>
      <c r="L103" s="465">
        <f t="shared" si="12"/>
        <v>143429.56185906351</v>
      </c>
      <c r="M103" s="465">
        <f t="shared" si="12"/>
        <v>147732.44871483539</v>
      </c>
      <c r="N103" s="465">
        <f t="shared" si="12"/>
        <v>152164.42217628044</v>
      </c>
      <c r="O103" s="465">
        <f t="shared" si="12"/>
        <v>156729.35484156886</v>
      </c>
      <c r="P103" s="111"/>
    </row>
    <row r="104" spans="1:16" x14ac:dyDescent="0.35">
      <c r="A104" s="111"/>
      <c r="B104" s="117">
        <v>8</v>
      </c>
      <c r="C104" s="115" t="s">
        <v>142</v>
      </c>
      <c r="D104" s="16">
        <f t="shared" si="4"/>
        <v>3500</v>
      </c>
      <c r="E104" s="464"/>
      <c r="F104" s="465">
        <f t="shared" si="6"/>
        <v>40000</v>
      </c>
      <c r="G104" s="465">
        <f t="shared" ref="G104:O104" si="13">MAX(G58,G89)</f>
        <v>1114748.4000000001</v>
      </c>
      <c r="H104" s="465">
        <f t="shared" si="13"/>
        <v>1230644</v>
      </c>
      <c r="I104" s="465">
        <f t="shared" si="13"/>
        <v>1267563.32</v>
      </c>
      <c r="J104" s="465">
        <f t="shared" si="13"/>
        <v>1305590.2196000002</v>
      </c>
      <c r="K104" s="465">
        <f t="shared" si="13"/>
        <v>1344757.926188</v>
      </c>
      <c r="L104" s="465">
        <f t="shared" si="13"/>
        <v>1385100.66397364</v>
      </c>
      <c r="M104" s="465">
        <f t="shared" si="13"/>
        <v>1426653.6838928491</v>
      </c>
      <c r="N104" s="465">
        <f t="shared" si="13"/>
        <v>1469453.2944096348</v>
      </c>
      <c r="O104" s="465">
        <f t="shared" si="13"/>
        <v>1513536.8932419238</v>
      </c>
      <c r="P104" s="111"/>
    </row>
    <row r="105" spans="1:16" x14ac:dyDescent="0.35">
      <c r="A105" s="111"/>
      <c r="B105" s="117">
        <v>9</v>
      </c>
      <c r="C105" s="115" t="s">
        <v>102</v>
      </c>
      <c r="D105" s="16">
        <f t="shared" si="4"/>
        <v>2000</v>
      </c>
      <c r="E105" s="464"/>
      <c r="F105" s="465">
        <f t="shared" si="6"/>
        <v>10000</v>
      </c>
      <c r="G105" s="465">
        <f t="shared" ref="G105:O105" si="14">MAX(G59,G90)</f>
        <v>115318.80000000002</v>
      </c>
      <c r="H105" s="465">
        <f t="shared" si="14"/>
        <v>127308</v>
      </c>
      <c r="I105" s="465">
        <f t="shared" si="14"/>
        <v>131127.24</v>
      </c>
      <c r="J105" s="465">
        <f t="shared" si="14"/>
        <v>135061.05720000001</v>
      </c>
      <c r="K105" s="465">
        <f t="shared" si="14"/>
        <v>139112.888916</v>
      </c>
      <c r="L105" s="465">
        <f t="shared" si="14"/>
        <v>143286.27558347999</v>
      </c>
      <c r="M105" s="465">
        <f t="shared" si="14"/>
        <v>147584.8638509844</v>
      </c>
      <c r="N105" s="465">
        <f t="shared" si="14"/>
        <v>152012.40976651394</v>
      </c>
      <c r="O105" s="465">
        <f t="shared" si="14"/>
        <v>156572.78205950937</v>
      </c>
      <c r="P105" s="111"/>
    </row>
    <row r="106" spans="1:16" x14ac:dyDescent="0.35">
      <c r="A106" s="111"/>
      <c r="B106" s="117">
        <v>10</v>
      </c>
      <c r="C106" s="115" t="s">
        <v>1394</v>
      </c>
      <c r="D106" s="16">
        <f t="shared" si="4"/>
        <v>2000</v>
      </c>
      <c r="E106" s="464"/>
      <c r="F106" s="465">
        <f t="shared" si="6"/>
        <v>20000</v>
      </c>
      <c r="G106" s="465">
        <f t="shared" ref="G106:O106" si="15">MAX(G60,G91)</f>
        <v>192198</v>
      </c>
      <c r="H106" s="465">
        <f t="shared" si="15"/>
        <v>212180</v>
      </c>
      <c r="I106" s="465">
        <f t="shared" si="15"/>
        <v>218545.40000000002</v>
      </c>
      <c r="J106" s="465">
        <f t="shared" si="15"/>
        <v>225101.76200000002</v>
      </c>
      <c r="K106" s="465">
        <f t="shared" si="15"/>
        <v>231854.81486000001</v>
      </c>
      <c r="L106" s="465">
        <f t="shared" si="15"/>
        <v>238810.4593058</v>
      </c>
      <c r="M106" s="465">
        <f t="shared" si="15"/>
        <v>245974.773084974</v>
      </c>
      <c r="N106" s="465">
        <f t="shared" si="15"/>
        <v>253354.01627752322</v>
      </c>
      <c r="O106" s="465">
        <f t="shared" si="15"/>
        <v>260954.6367658489</v>
      </c>
      <c r="P106" s="111"/>
    </row>
    <row r="107" spans="1:16" x14ac:dyDescent="0.35">
      <c r="A107" s="111"/>
      <c r="B107" s="117">
        <v>11</v>
      </c>
      <c r="C107" s="115" t="s">
        <v>1395</v>
      </c>
      <c r="D107" s="16">
        <f t="shared" si="4"/>
        <v>4000</v>
      </c>
      <c r="E107" s="464"/>
      <c r="F107" s="465">
        <f t="shared" si="6"/>
        <v>10000</v>
      </c>
      <c r="G107" s="465">
        <f t="shared" ref="G107:O107" si="16">MAX(G61,G92)</f>
        <v>249857.40000000002</v>
      </c>
      <c r="H107" s="465">
        <f t="shared" si="16"/>
        <v>275834</v>
      </c>
      <c r="I107" s="465">
        <f t="shared" si="16"/>
        <v>284109.02</v>
      </c>
      <c r="J107" s="465">
        <f t="shared" si="16"/>
        <v>292632.29060000001</v>
      </c>
      <c r="K107" s="465">
        <f t="shared" si="16"/>
        <v>301411.259318</v>
      </c>
      <c r="L107" s="465">
        <f t="shared" si="16"/>
        <v>310453.59709753998</v>
      </c>
      <c r="M107" s="465">
        <f t="shared" si="16"/>
        <v>319767.20501046622</v>
      </c>
      <c r="N107" s="465">
        <f t="shared" si="16"/>
        <v>329360.22116078017</v>
      </c>
      <c r="O107" s="465">
        <f t="shared" si="16"/>
        <v>339241.02779560362</v>
      </c>
      <c r="P107" s="111"/>
    </row>
    <row r="108" spans="1:16" x14ac:dyDescent="0.35">
      <c r="A108" s="111"/>
      <c r="B108" s="111"/>
      <c r="C108" s="111"/>
      <c r="D108" s="111"/>
      <c r="E108" s="111"/>
      <c r="F108" s="467">
        <f t="shared" ref="F108:O108" si="17">SUM(F95:F107)</f>
        <v>356307</v>
      </c>
      <c r="G108" s="467">
        <f t="shared" si="17"/>
        <v>5428852.4531500004</v>
      </c>
      <c r="H108" s="467">
        <f t="shared" si="17"/>
        <v>5879207.4587852508</v>
      </c>
      <c r="I108" s="467">
        <f t="shared" si="17"/>
        <v>6281388.4373175018</v>
      </c>
      <c r="J108" s="467">
        <f t="shared" si="17"/>
        <v>6469770.1904370254</v>
      </c>
      <c r="K108" s="467">
        <f t="shared" si="17"/>
        <v>6663803.3661501352</v>
      </c>
      <c r="L108" s="467">
        <f t="shared" si="17"/>
        <v>6863657.5071346397</v>
      </c>
      <c r="M108" s="467">
        <f t="shared" si="17"/>
        <v>7069507.2423486803</v>
      </c>
      <c r="N108" s="467">
        <f t="shared" si="17"/>
        <v>7281532.4396191388</v>
      </c>
      <c r="O108" s="467">
        <f t="shared" si="17"/>
        <v>7499918.3628077153</v>
      </c>
      <c r="P108" s="104"/>
    </row>
    <row r="109" spans="1:16" x14ac:dyDescent="0.35">
      <c r="A109" s="111"/>
      <c r="B109" s="111"/>
      <c r="C109" s="111"/>
      <c r="D109" s="111"/>
      <c r="E109" s="111"/>
      <c r="F109" s="111"/>
      <c r="G109" s="111"/>
      <c r="H109" s="111"/>
      <c r="I109" s="111"/>
      <c r="J109" s="111"/>
      <c r="K109" s="111"/>
      <c r="L109" s="111"/>
      <c r="M109" s="111"/>
      <c r="N109" s="111"/>
      <c r="O109" s="111"/>
      <c r="P109" s="111"/>
    </row>
    <row r="110" spans="1:16" x14ac:dyDescent="0.35">
      <c r="A110" s="111"/>
      <c r="B110" s="111"/>
      <c r="C110" s="111"/>
      <c r="D110" s="111"/>
      <c r="E110" s="104" t="s">
        <v>15</v>
      </c>
      <c r="F110" s="119" t="str">
        <f>'P&amp;L'!J6</f>
        <v>FY27</v>
      </c>
      <c r="G110" s="119" t="str">
        <f>'P&amp;L'!K6</f>
        <v>FY28</v>
      </c>
      <c r="H110" s="119" t="str">
        <f>'P&amp;L'!L6</f>
        <v>FY29</v>
      </c>
      <c r="I110" s="119" t="str">
        <f>'P&amp;L'!M6</f>
        <v>FY30</v>
      </c>
      <c r="J110" s="119" t="str">
        <f>'P&amp;L'!N6</f>
        <v>FY31</v>
      </c>
      <c r="K110" s="119" t="str">
        <f>'P&amp;L'!O6</f>
        <v>FY32</v>
      </c>
      <c r="L110" s="119" t="str">
        <f>'P&amp;L'!P6</f>
        <v>FY33</v>
      </c>
      <c r="M110" s="119" t="str">
        <f>'P&amp;L'!Q6</f>
        <v>FY34</v>
      </c>
      <c r="N110" s="119" t="str">
        <f>'P&amp;L'!R6</f>
        <v>FY35</v>
      </c>
      <c r="O110" s="119" t="str">
        <f>'P&amp;L'!S6</f>
        <v>FY36</v>
      </c>
      <c r="P110" s="111"/>
    </row>
    <row r="111" spans="1:16" x14ac:dyDescent="0.35">
      <c r="A111" s="111"/>
      <c r="B111" s="115" t="s">
        <v>1401</v>
      </c>
      <c r="C111" s="111"/>
      <c r="D111" s="104" t="s">
        <v>1391</v>
      </c>
      <c r="E111" s="111"/>
      <c r="F111" s="117">
        <f t="shared" ref="F111:O111" si="18">F95</f>
        <v>2027</v>
      </c>
      <c r="G111" s="117">
        <f t="shared" si="18"/>
        <v>2028</v>
      </c>
      <c r="H111" s="117">
        <f t="shared" si="18"/>
        <v>2029</v>
      </c>
      <c r="I111" s="117">
        <f t="shared" si="18"/>
        <v>2030</v>
      </c>
      <c r="J111" s="117">
        <f t="shared" si="18"/>
        <v>2031</v>
      </c>
      <c r="K111" s="117">
        <f t="shared" si="18"/>
        <v>2032</v>
      </c>
      <c r="L111" s="117">
        <f t="shared" si="18"/>
        <v>2033</v>
      </c>
      <c r="M111" s="117">
        <f t="shared" si="18"/>
        <v>2034</v>
      </c>
      <c r="N111" s="117">
        <f t="shared" si="18"/>
        <v>2035</v>
      </c>
      <c r="O111" s="117">
        <f t="shared" si="18"/>
        <v>2036</v>
      </c>
      <c r="P111" s="111"/>
    </row>
    <row r="112" spans="1:16" x14ac:dyDescent="0.35">
      <c r="A112" s="111"/>
      <c r="B112" s="115"/>
      <c r="C112" s="111"/>
      <c r="D112" s="104"/>
      <c r="E112" s="111"/>
      <c r="F112" s="117"/>
      <c r="G112" s="117"/>
      <c r="H112" s="117"/>
      <c r="I112" s="117"/>
      <c r="J112" s="117"/>
      <c r="K112" s="117"/>
      <c r="L112" s="117"/>
      <c r="M112" s="117"/>
      <c r="N112" s="117"/>
      <c r="O112" s="117"/>
      <c r="P112" s="111"/>
    </row>
    <row r="113" spans="1:16" x14ac:dyDescent="0.35">
      <c r="A113" s="111"/>
      <c r="B113" s="117">
        <v>1</v>
      </c>
      <c r="C113" s="115" t="s">
        <v>1392</v>
      </c>
      <c r="D113" s="16">
        <f>Inputs!$E$166</f>
        <v>50</v>
      </c>
      <c r="E113" s="111"/>
      <c r="F113" s="465">
        <f>F22*'Calendar Assumptions'!G5*$D$113*Inputs!$E$167</f>
        <v>130245</v>
      </c>
      <c r="G113" s="465">
        <f>G22*'Calendar Assumptions'!H5*$D$113*Inputs!$E$167</f>
        <v>136941.07500000001</v>
      </c>
      <c r="H113" s="465">
        <f>H22*'Calendar Assumptions'!I5*$D$113*Inputs!$E$167</f>
        <v>151178.25</v>
      </c>
      <c r="I113" s="465">
        <f>I22*'Calendar Assumptions'!J5*$D$113*Inputs!$E$167</f>
        <v>155713.5975</v>
      </c>
      <c r="J113" s="465">
        <f>J22*'Calendar Assumptions'!K5*$D$113*Inputs!$E$167</f>
        <v>160385.00542499998</v>
      </c>
      <c r="K113" s="465">
        <f>K22*'Calendar Assumptions'!L5*$D$113*Inputs!$E$167</f>
        <v>165196.55558775002</v>
      </c>
      <c r="L113" s="465">
        <f>L22*'Calendar Assumptions'!M5*$D$113*Inputs!$E$167</f>
        <v>170152.45225538249</v>
      </c>
      <c r="M113" s="465">
        <f>M22*'Calendar Assumptions'!N5*$D$113*Inputs!$E$167</f>
        <v>175257.02582304398</v>
      </c>
      <c r="N113" s="465">
        <f>N22*'Calendar Assumptions'!O5*$D$113*Inputs!$E$167</f>
        <v>180514.73659773532</v>
      </c>
      <c r="O113" s="465">
        <f>O22*'Calendar Assumptions'!P5*$D$113*Inputs!$E$167</f>
        <v>185930.17869566736</v>
      </c>
      <c r="P113" s="111"/>
    </row>
    <row r="114" spans="1:16" x14ac:dyDescent="0.35">
      <c r="A114" s="111"/>
      <c r="B114" s="117">
        <v>2</v>
      </c>
      <c r="C114" s="115" t="s">
        <v>1392</v>
      </c>
      <c r="D114" s="16">
        <f>Inputs!$E$166</f>
        <v>50</v>
      </c>
      <c r="E114" s="111"/>
      <c r="F114" s="465">
        <f>F23*'Calendar Assumptions'!G6*$D$114*Inputs!$E$167</f>
        <v>123390.00000000003</v>
      </c>
      <c r="G114" s="465">
        <f>G23*'Calendar Assumptions'!H6*$D$114*Inputs!$E$167</f>
        <v>129733.65000000001</v>
      </c>
      <c r="H114" s="465">
        <f>H23*'Calendar Assumptions'!I6*$D$114*Inputs!$E$167</f>
        <v>143221.5</v>
      </c>
      <c r="I114" s="465">
        <f>I23*'Calendar Assumptions'!J6*$D$114*Inputs!$E$167</f>
        <v>147518.14499999999</v>
      </c>
      <c r="J114" s="465">
        <f>J23*'Calendar Assumptions'!K6*$D$114*Inputs!$E$167</f>
        <v>151943.68935</v>
      </c>
      <c r="K114" s="465">
        <f>K23*'Calendar Assumptions'!L6*$D$114*Inputs!$E$167</f>
        <v>156502.0000305</v>
      </c>
      <c r="L114" s="465">
        <f>L23*'Calendar Assumptions'!M6*$D$114*Inputs!$E$167</f>
        <v>161197.06003141502</v>
      </c>
      <c r="M114" s="465">
        <f>M23*'Calendar Assumptions'!N6*$D$114*Inputs!$E$167</f>
        <v>166032.97183235746</v>
      </c>
      <c r="N114" s="465">
        <f>N23*'Calendar Assumptions'!O6*$D$114*Inputs!$E$167</f>
        <v>171013.9609873282</v>
      </c>
      <c r="O114" s="465">
        <f>O23*'Calendar Assumptions'!P6*$D$114*Inputs!$E$167</f>
        <v>176144.37981694803</v>
      </c>
      <c r="P114" s="111"/>
    </row>
    <row r="115" spans="1:16" x14ac:dyDescent="0.35">
      <c r="A115" s="111"/>
      <c r="B115" s="117">
        <v>3</v>
      </c>
      <c r="C115" s="115" t="s">
        <v>1392</v>
      </c>
      <c r="D115" s="16">
        <f>Inputs!$E$166</f>
        <v>50</v>
      </c>
      <c r="E115" s="111"/>
      <c r="F115" s="465">
        <f>F24*'Calendar Assumptions'!G7*$D$115*Inputs!$E$167</f>
        <v>87401.250000000015</v>
      </c>
      <c r="G115" s="465">
        <f>G24*'Calendar Assumptions'!H7*$D$115*Inputs!$E$167</f>
        <v>91894.668750000012</v>
      </c>
      <c r="H115" s="465">
        <f>H24*'Calendar Assumptions'!I7*$D$115*Inputs!$E$167</f>
        <v>101448.5625</v>
      </c>
      <c r="I115" s="465">
        <f>I24*'Calendar Assumptions'!J7*$D$115*Inputs!$E$167</f>
        <v>104492.019375</v>
      </c>
      <c r="J115" s="465">
        <f>J24*'Calendar Assumptions'!K7*$D$115*Inputs!$E$167</f>
        <v>107626.77995625001</v>
      </c>
      <c r="K115" s="465">
        <f>K24*'Calendar Assumptions'!L7*$D$115*Inputs!$E$167</f>
        <v>110855.58335493752</v>
      </c>
      <c r="L115" s="465">
        <f>L24*'Calendar Assumptions'!M7*$D$115*Inputs!$E$167</f>
        <v>114181.25085558566</v>
      </c>
      <c r="M115" s="465">
        <f>M24*'Calendar Assumptions'!N7*$D$115*Inputs!$E$167</f>
        <v>117606.68838125323</v>
      </c>
      <c r="N115" s="465">
        <f>N24*'Calendar Assumptions'!O7*$D$115*Inputs!$E$167</f>
        <v>121134.88903269081</v>
      </c>
      <c r="O115" s="465">
        <f>O24*'Calendar Assumptions'!P7*$D$115*Inputs!$E$167</f>
        <v>124768.93570367154</v>
      </c>
      <c r="P115" s="111"/>
    </row>
    <row r="116" spans="1:16" x14ac:dyDescent="0.35">
      <c r="A116" s="111"/>
      <c r="B116" s="117">
        <v>4</v>
      </c>
      <c r="C116" s="115" t="s">
        <v>1393</v>
      </c>
      <c r="D116" s="16">
        <f>Inputs!$E$166</f>
        <v>50</v>
      </c>
      <c r="E116" s="111"/>
      <c r="F116" s="465">
        <f>F25*'Calendar Assumptions'!G8*$D$116*Inputs!$E$167</f>
        <v>148068.00000000003</v>
      </c>
      <c r="G116" s="465">
        <f>G25*'Calendar Assumptions'!H8*$D$116*Inputs!$E$167</f>
        <v>155680.38</v>
      </c>
      <c r="H116" s="465">
        <f>H25*'Calendar Assumptions'!I8*$D$116*Inputs!$E$167</f>
        <v>171865.80000000002</v>
      </c>
      <c r="I116" s="465">
        <f>I25*'Calendar Assumptions'!J8*$D$116*Inputs!$E$167</f>
        <v>177021.774</v>
      </c>
      <c r="J116" s="465">
        <f>J25*'Calendar Assumptions'!K8*$D$116*Inputs!$E$167</f>
        <v>182332.42722000001</v>
      </c>
      <c r="K116" s="465">
        <f>K25*'Calendar Assumptions'!L8*$D$116*Inputs!$E$167</f>
        <v>187802.40003660001</v>
      </c>
      <c r="L116" s="465">
        <f>L25*'Calendar Assumptions'!M8*$D$116*Inputs!$E$167</f>
        <v>193436.47203769797</v>
      </c>
      <c r="M116" s="465">
        <f>M25*'Calendar Assumptions'!N8*$D$116*Inputs!$E$167</f>
        <v>199239.56619882898</v>
      </c>
      <c r="N116" s="465">
        <f>N25*'Calendar Assumptions'!O8*$D$116*Inputs!$E$167</f>
        <v>205216.75318479387</v>
      </c>
      <c r="O116" s="465">
        <f>O25*'Calendar Assumptions'!P8*$D$116*Inputs!$E$167</f>
        <v>211373.25578033767</v>
      </c>
      <c r="P116" s="111"/>
    </row>
    <row r="117" spans="1:16" x14ac:dyDescent="0.35">
      <c r="A117" s="111"/>
      <c r="B117" s="117">
        <v>5</v>
      </c>
      <c r="C117" s="115" t="s">
        <v>585</v>
      </c>
      <c r="D117" s="16">
        <f>Inputs!$E$166</f>
        <v>50</v>
      </c>
      <c r="E117" s="111"/>
      <c r="F117" s="465">
        <f>F26*'Calendar Assumptions'!G9*$D$117*Inputs!$E$167</f>
        <v>102825</v>
      </c>
      <c r="G117" s="465">
        <f>G26*'Calendar Assumptions'!H9*$D$117*Inputs!$E$167</f>
        <v>108111.375</v>
      </c>
      <c r="H117" s="465">
        <f>H26*'Calendar Assumptions'!I9*$D$117*Inputs!$E$167</f>
        <v>119351.25</v>
      </c>
      <c r="I117" s="465">
        <f>I26*'Calendar Assumptions'!J9*$D$117*Inputs!$E$167</f>
        <v>122931.78749999999</v>
      </c>
      <c r="J117" s="465">
        <f>J26*'Calendar Assumptions'!K9*$D$117*Inputs!$E$167</f>
        <v>126619.741125</v>
      </c>
      <c r="K117" s="465">
        <f>K26*'Calendar Assumptions'!L9*$D$117*Inputs!$E$167</f>
        <v>130418.33335875001</v>
      </c>
      <c r="L117" s="465">
        <f>L26*'Calendar Assumptions'!M9*$D$117*Inputs!$E$167</f>
        <v>134330.88335951249</v>
      </c>
      <c r="M117" s="465">
        <f>M26*'Calendar Assumptions'!N9*$D$117*Inputs!$E$167</f>
        <v>138360.80986029789</v>
      </c>
      <c r="N117" s="465">
        <f>N26*'Calendar Assumptions'!O9*$D$117*Inputs!$E$167</f>
        <v>142511.63415610683</v>
      </c>
      <c r="O117" s="465">
        <f>O26*'Calendar Assumptions'!P9*$D$117*Inputs!$E$167</f>
        <v>146786.98318079003</v>
      </c>
      <c r="P117" s="111"/>
    </row>
    <row r="118" spans="1:16" x14ac:dyDescent="0.35">
      <c r="A118" s="111"/>
      <c r="B118" s="117">
        <v>6</v>
      </c>
      <c r="C118" s="115" t="s">
        <v>587</v>
      </c>
      <c r="D118" s="16">
        <f>Inputs!$E$166</f>
        <v>50</v>
      </c>
      <c r="E118" s="111"/>
      <c r="F118" s="465">
        <f>F27*'Calendar Assumptions'!G10*$D$118*Inputs!$E$167</f>
        <v>102825</v>
      </c>
      <c r="G118" s="465">
        <f>G27*'Calendar Assumptions'!H10*$D$118*Inputs!$E$167</f>
        <v>108111.375</v>
      </c>
      <c r="H118" s="465">
        <f>H27*'Calendar Assumptions'!I10*$D$118*Inputs!$E$167</f>
        <v>119351.25</v>
      </c>
      <c r="I118" s="465">
        <f>I27*'Calendar Assumptions'!J10*$D$118*Inputs!$E$167</f>
        <v>122931.78749999999</v>
      </c>
      <c r="J118" s="465">
        <f>J27*'Calendar Assumptions'!K10*$D$118*Inputs!$E$167</f>
        <v>126619.741125</v>
      </c>
      <c r="K118" s="465">
        <f>K27*'Calendar Assumptions'!L10*$D$118*Inputs!$E$167</f>
        <v>130418.33335875001</v>
      </c>
      <c r="L118" s="465">
        <f>L27*'Calendar Assumptions'!M10*$D$118*Inputs!$E$167</f>
        <v>134330.88335951249</v>
      </c>
      <c r="M118" s="465">
        <f>M27*'Calendar Assumptions'!N10*$D$118*Inputs!$E$167</f>
        <v>138360.80986029789</v>
      </c>
      <c r="N118" s="465">
        <f>N27*'Calendar Assumptions'!O10*$D$118*Inputs!$E$167</f>
        <v>142511.63415610683</v>
      </c>
      <c r="O118" s="465">
        <f>O27*'Calendar Assumptions'!P10*$D$118*Inputs!$E$167</f>
        <v>146786.98318079003</v>
      </c>
      <c r="P118" s="111"/>
    </row>
    <row r="119" spans="1:16" x14ac:dyDescent="0.35">
      <c r="A119" s="111"/>
      <c r="B119" s="117">
        <v>7</v>
      </c>
      <c r="C119" s="115" t="s">
        <v>140</v>
      </c>
      <c r="D119" s="16">
        <f>Inputs!$E$166</f>
        <v>50</v>
      </c>
      <c r="E119" s="111"/>
      <c r="F119" s="465">
        <f>F28*'Calendar Assumptions'!G11*$D$119*Inputs!$E$167</f>
        <v>22621.5</v>
      </c>
      <c r="G119" s="465">
        <f>G28*'Calendar Assumptions'!H11*$D$119*Inputs!$E$167</f>
        <v>23784.502500000002</v>
      </c>
      <c r="H119" s="465">
        <f>H28*'Calendar Assumptions'!I11*$D$119*Inputs!$E$167</f>
        <v>26257.274999999998</v>
      </c>
      <c r="I119" s="465">
        <f>I28*'Calendar Assumptions'!J11*$D$119*Inputs!$E$167</f>
        <v>27044.99325</v>
      </c>
      <c r="J119" s="465">
        <f>J28*'Calendar Assumptions'!K11*$D$119*Inputs!$E$167</f>
        <v>27856.343047499999</v>
      </c>
      <c r="K119" s="465">
        <f>K28*'Calendar Assumptions'!L11*$D$119*Inputs!$E$167</f>
        <v>28692.033338925001</v>
      </c>
      <c r="L119" s="465">
        <f>L28*'Calendar Assumptions'!M11*$D$119*Inputs!$E$167</f>
        <v>29552.794339092754</v>
      </c>
      <c r="M119" s="465">
        <f>M28*'Calendar Assumptions'!N11*$D$119*Inputs!$E$167</f>
        <v>30439.378169265532</v>
      </c>
      <c r="N119" s="465">
        <f>N28*'Calendar Assumptions'!O11*$D$119*Inputs!$E$167</f>
        <v>31352.559514343498</v>
      </c>
      <c r="O119" s="465">
        <f>O28*'Calendar Assumptions'!P11*$D$119*Inputs!$E$167</f>
        <v>32293.136299773803</v>
      </c>
      <c r="P119" s="111"/>
    </row>
    <row r="120" spans="1:16" x14ac:dyDescent="0.35">
      <c r="A120" s="111"/>
      <c r="B120" s="117">
        <v>8</v>
      </c>
      <c r="C120" s="115" t="s">
        <v>142</v>
      </c>
      <c r="D120" s="16">
        <f>Inputs!$E$166</f>
        <v>50</v>
      </c>
      <c r="E120" s="111"/>
      <c r="F120" s="465">
        <f>F29*'Calendar Assumptions'!G12*$D$120*Inputs!$E$167</f>
        <v>0</v>
      </c>
      <c r="G120" s="465">
        <f>G29*'Calendar Assumptions'!H12*$D$120*Inputs!$E$167</f>
        <v>0</v>
      </c>
      <c r="H120" s="465">
        <f>H29*'Calendar Assumptions'!I12*$D$120*Inputs!$E$167</f>
        <v>0</v>
      </c>
      <c r="I120" s="465">
        <f>I29*'Calendar Assumptions'!J12*$D$120*Inputs!$E$167</f>
        <v>0</v>
      </c>
      <c r="J120" s="465">
        <f>J29*'Calendar Assumptions'!K12*$D$120*Inputs!$E$167</f>
        <v>0</v>
      </c>
      <c r="K120" s="465">
        <f>K29*'Calendar Assumptions'!L12*$D$120*Inputs!$E$167</f>
        <v>0</v>
      </c>
      <c r="L120" s="465">
        <f>L29*'Calendar Assumptions'!M12*$D$120*Inputs!$E$167</f>
        <v>0</v>
      </c>
      <c r="M120" s="465">
        <f>M29*'Calendar Assumptions'!N12*$D$120*Inputs!$E$167</f>
        <v>0</v>
      </c>
      <c r="N120" s="465">
        <f>N29*'Calendar Assumptions'!O12*$D$120*Inputs!$E$167</f>
        <v>0</v>
      </c>
      <c r="O120" s="465">
        <f>O29*'Calendar Assumptions'!P12*$D$120*Inputs!$E$167</f>
        <v>0</v>
      </c>
      <c r="P120" s="111"/>
    </row>
    <row r="121" spans="1:16" x14ac:dyDescent="0.35">
      <c r="A121" s="111"/>
      <c r="B121" s="117">
        <v>9</v>
      </c>
      <c r="C121" s="115" t="s">
        <v>102</v>
      </c>
      <c r="D121" s="16">
        <f>Inputs!$E$166</f>
        <v>50</v>
      </c>
      <c r="E121" s="111"/>
      <c r="F121" s="465">
        <f>F30*'Calendar Assumptions'!G13*$D$121*Inputs!$E$167</f>
        <v>0</v>
      </c>
      <c r="G121" s="465">
        <f>G30*'Calendar Assumptions'!H13*$D$121*Inputs!$E$167</f>
        <v>0</v>
      </c>
      <c r="H121" s="465">
        <f>H30*'Calendar Assumptions'!I13*$D$121*Inputs!$E$167</f>
        <v>0</v>
      </c>
      <c r="I121" s="465">
        <f>I30*'Calendar Assumptions'!J13*$D$121*Inputs!$E$167</f>
        <v>0</v>
      </c>
      <c r="J121" s="465">
        <f>J30*'Calendar Assumptions'!K13*$D$121*Inputs!$E$167</f>
        <v>0</v>
      </c>
      <c r="K121" s="465">
        <f>K30*'Calendar Assumptions'!L13*$D$121*Inputs!$E$167</f>
        <v>0</v>
      </c>
      <c r="L121" s="465">
        <f>L30*'Calendar Assumptions'!M13*$D$121*Inputs!$E$167</f>
        <v>0</v>
      </c>
      <c r="M121" s="465">
        <f>M30*'Calendar Assumptions'!N13*$D$121*Inputs!$E$167</f>
        <v>0</v>
      </c>
      <c r="N121" s="465">
        <f>N30*'Calendar Assumptions'!O13*$D$121*Inputs!$E$167</f>
        <v>0</v>
      </c>
      <c r="O121" s="465">
        <f>O30*'Calendar Assumptions'!P13*$D$121*Inputs!$E$167</f>
        <v>0</v>
      </c>
      <c r="P121" s="111"/>
    </row>
    <row r="122" spans="1:16" x14ac:dyDescent="0.35">
      <c r="A122" s="111"/>
      <c r="B122" s="117">
        <v>10</v>
      </c>
      <c r="C122" s="115" t="s">
        <v>1394</v>
      </c>
      <c r="D122" s="16">
        <f>Inputs!$E$166</f>
        <v>50</v>
      </c>
      <c r="E122" s="111"/>
      <c r="F122" s="465">
        <f>F31*'Calendar Assumptions'!G14*$D$122*Inputs!$E$167</f>
        <v>0</v>
      </c>
      <c r="G122" s="465">
        <f>G31*'Calendar Assumptions'!H14*$D$122*Inputs!$E$167</f>
        <v>0</v>
      </c>
      <c r="H122" s="465">
        <f>H31*'Calendar Assumptions'!I14*$D$122*Inputs!$E$167</f>
        <v>0</v>
      </c>
      <c r="I122" s="465">
        <f>I31*'Calendar Assumptions'!J14*$D$122*Inputs!$E$167</f>
        <v>0</v>
      </c>
      <c r="J122" s="465">
        <f>J31*'Calendar Assumptions'!K14*$D$122*Inputs!$E$167</f>
        <v>0</v>
      </c>
      <c r="K122" s="465">
        <f>K31*'Calendar Assumptions'!L14*$D$122*Inputs!$E$167</f>
        <v>0</v>
      </c>
      <c r="L122" s="465">
        <f>L31*'Calendar Assumptions'!M14*$D$122*Inputs!$E$167</f>
        <v>0</v>
      </c>
      <c r="M122" s="465">
        <f>M31*'Calendar Assumptions'!N14*$D$122*Inputs!$E$167</f>
        <v>0</v>
      </c>
      <c r="N122" s="465">
        <f>N31*'Calendar Assumptions'!O14*$D$122*Inputs!$E$167</f>
        <v>0</v>
      </c>
      <c r="O122" s="465">
        <f>O31*'Calendar Assumptions'!P14*$D$122*Inputs!$E$167</f>
        <v>0</v>
      </c>
      <c r="P122" s="111"/>
    </row>
    <row r="123" spans="1:16" x14ac:dyDescent="0.35">
      <c r="A123" s="111"/>
      <c r="B123" s="117">
        <v>11</v>
      </c>
      <c r="C123" s="115" t="s">
        <v>1395</v>
      </c>
      <c r="D123" s="16">
        <f>Inputs!$E$166</f>
        <v>50</v>
      </c>
      <c r="E123" s="111"/>
      <c r="F123" s="465">
        <f>F32*'Calendar Assumptions'!G15*$D$123*Inputs!$E$167</f>
        <v>0</v>
      </c>
      <c r="G123" s="465">
        <f>G32*'Calendar Assumptions'!H15*$D$123*Inputs!$E$167</f>
        <v>0</v>
      </c>
      <c r="H123" s="465">
        <f>H32*'Calendar Assumptions'!I15*$D$123*Inputs!$E$167</f>
        <v>0</v>
      </c>
      <c r="I123" s="465">
        <f>I32*'Calendar Assumptions'!J15*$D$123*Inputs!$E$167</f>
        <v>0</v>
      </c>
      <c r="J123" s="465">
        <f>J32*'Calendar Assumptions'!K15*$D$123*Inputs!$E$167</f>
        <v>0</v>
      </c>
      <c r="K123" s="465">
        <f>K32*'Calendar Assumptions'!L15*$D$123*Inputs!$E$167</f>
        <v>0</v>
      </c>
      <c r="L123" s="465">
        <f>L32*'Calendar Assumptions'!M15*$D$123*Inputs!$E$167</f>
        <v>0</v>
      </c>
      <c r="M123" s="465">
        <f>M32*'Calendar Assumptions'!N15*$D$123*Inputs!$E$167</f>
        <v>0</v>
      </c>
      <c r="N123" s="465">
        <f>N32*'Calendar Assumptions'!O15*$D$123*Inputs!$E$167</f>
        <v>0</v>
      </c>
      <c r="O123" s="465">
        <f>O32*'Calendar Assumptions'!P15*$D$123*Inputs!$E$167</f>
        <v>0</v>
      </c>
      <c r="P123" s="111"/>
    </row>
    <row r="124" spans="1:16" x14ac:dyDescent="0.35">
      <c r="A124" s="111"/>
      <c r="B124" s="113"/>
      <c r="C124" s="111"/>
      <c r="D124" s="111"/>
      <c r="E124" s="111"/>
      <c r="F124" s="467">
        <f t="shared" ref="F124:O124" si="19">SUM(F113:F123)</f>
        <v>717375.75000000012</v>
      </c>
      <c r="G124" s="467">
        <f t="shared" si="19"/>
        <v>754257.02625000011</v>
      </c>
      <c r="H124" s="467">
        <f t="shared" si="19"/>
        <v>832673.88750000007</v>
      </c>
      <c r="I124" s="467">
        <f t="shared" si="19"/>
        <v>857654.10412499984</v>
      </c>
      <c r="J124" s="467">
        <f t="shared" si="19"/>
        <v>883383.72724874981</v>
      </c>
      <c r="K124" s="467">
        <f t="shared" si="19"/>
        <v>909885.23906621255</v>
      </c>
      <c r="L124" s="467">
        <f t="shared" si="19"/>
        <v>937181.79623819899</v>
      </c>
      <c r="M124" s="467">
        <f t="shared" si="19"/>
        <v>965297.25012534508</v>
      </c>
      <c r="N124" s="467">
        <f t="shared" si="19"/>
        <v>994256.16762910539</v>
      </c>
      <c r="O124" s="467">
        <f t="shared" si="19"/>
        <v>1024083.8526579784</v>
      </c>
      <c r="P124" s="104"/>
    </row>
    <row r="125" spans="1:16" x14ac:dyDescent="0.35">
      <c r="A125" s="111"/>
      <c r="B125" s="113"/>
      <c r="C125" s="111"/>
      <c r="D125" s="111"/>
      <c r="E125" s="111"/>
      <c r="F125" s="467"/>
      <c r="G125" s="467"/>
      <c r="H125" s="467"/>
      <c r="I125" s="467"/>
      <c r="J125" s="467"/>
      <c r="K125" s="467"/>
      <c r="L125" s="467"/>
      <c r="M125" s="467"/>
      <c r="N125" s="467"/>
      <c r="O125" s="467"/>
      <c r="P125" s="104"/>
    </row>
    <row r="126" spans="1:16" x14ac:dyDescent="0.35">
      <c r="A126" s="111"/>
      <c r="B126" s="113"/>
      <c r="C126" s="111"/>
      <c r="D126" s="111"/>
      <c r="E126" s="111"/>
      <c r="F126" s="467"/>
      <c r="G126" s="467"/>
      <c r="H126" s="467"/>
      <c r="I126" s="467"/>
      <c r="J126" s="467"/>
      <c r="K126" s="467"/>
      <c r="L126" s="467"/>
      <c r="M126" s="467"/>
      <c r="N126" s="467"/>
      <c r="O126" s="467"/>
      <c r="P126" s="104"/>
    </row>
    <row r="127" spans="1:16" x14ac:dyDescent="0.35">
      <c r="A127" s="111"/>
      <c r="B127" s="113"/>
      <c r="C127" s="111"/>
      <c r="D127" s="111"/>
      <c r="E127" s="104" t="s">
        <v>15</v>
      </c>
      <c r="F127" s="468" t="str">
        <f>'P&amp;L'!J6</f>
        <v>FY27</v>
      </c>
      <c r="G127" s="468" t="str">
        <f>'P&amp;L'!K6</f>
        <v>FY28</v>
      </c>
      <c r="H127" s="468" t="str">
        <f>'P&amp;L'!L6</f>
        <v>FY29</v>
      </c>
      <c r="I127" s="468" t="str">
        <f>'P&amp;L'!M6</f>
        <v>FY30</v>
      </c>
      <c r="J127" s="468" t="str">
        <f>'P&amp;L'!N6</f>
        <v>FY31</v>
      </c>
      <c r="K127" s="468" t="str">
        <f>'P&amp;L'!O6</f>
        <v>FY32</v>
      </c>
      <c r="L127" s="468" t="str">
        <f>'P&amp;L'!P6</f>
        <v>FY33</v>
      </c>
      <c r="M127" s="468" t="str">
        <f>'P&amp;L'!Q6</f>
        <v>FY34</v>
      </c>
      <c r="N127" s="468" t="str">
        <f>'P&amp;L'!R6</f>
        <v>FY35</v>
      </c>
      <c r="O127" s="468" t="str">
        <f>'P&amp;L'!S6</f>
        <v>FY36</v>
      </c>
      <c r="P127" s="111"/>
    </row>
    <row r="128" spans="1:16" x14ac:dyDescent="0.35">
      <c r="A128" s="111"/>
      <c r="B128" s="115" t="s">
        <v>2056</v>
      </c>
      <c r="C128" s="111"/>
      <c r="D128" s="104" t="s">
        <v>1402</v>
      </c>
      <c r="E128" s="111"/>
      <c r="F128" s="117">
        <f t="shared" ref="F128:O128" si="20">F111</f>
        <v>2027</v>
      </c>
      <c r="G128" s="117">
        <f t="shared" si="20"/>
        <v>2028</v>
      </c>
      <c r="H128" s="117">
        <f t="shared" si="20"/>
        <v>2029</v>
      </c>
      <c r="I128" s="117">
        <f t="shared" si="20"/>
        <v>2030</v>
      </c>
      <c r="J128" s="117">
        <f t="shared" si="20"/>
        <v>2031</v>
      </c>
      <c r="K128" s="117">
        <f t="shared" si="20"/>
        <v>2032</v>
      </c>
      <c r="L128" s="117">
        <f t="shared" si="20"/>
        <v>2033</v>
      </c>
      <c r="M128" s="117">
        <f t="shared" si="20"/>
        <v>2034</v>
      </c>
      <c r="N128" s="117">
        <f t="shared" si="20"/>
        <v>2035</v>
      </c>
      <c r="O128" s="117">
        <f t="shared" si="20"/>
        <v>2036</v>
      </c>
      <c r="P128" s="111"/>
    </row>
    <row r="129" spans="1:16" x14ac:dyDescent="0.35">
      <c r="A129" s="111"/>
      <c r="B129" s="115"/>
      <c r="C129" s="111"/>
      <c r="D129" s="104"/>
      <c r="E129" s="111"/>
      <c r="F129" s="117"/>
      <c r="G129" s="117"/>
      <c r="H129" s="117"/>
      <c r="I129" s="117"/>
      <c r="J129" s="117"/>
      <c r="K129" s="117"/>
      <c r="L129" s="117"/>
      <c r="M129" s="117"/>
      <c r="N129" s="117"/>
      <c r="O129" s="117"/>
      <c r="P129" s="111"/>
    </row>
    <row r="130" spans="1:16" x14ac:dyDescent="0.35">
      <c r="A130" s="111"/>
      <c r="B130" s="117">
        <v>1</v>
      </c>
      <c r="C130" s="115" t="s">
        <v>1392</v>
      </c>
      <c r="D130" s="16">
        <f>Inputs!$E$160</f>
        <v>12</v>
      </c>
      <c r="E130" s="111"/>
      <c r="F130" s="465">
        <f>D130*'Calendar Assumptions'!G41</f>
        <v>816240</v>
      </c>
      <c r="G130" s="465">
        <f>$D$130*'Calendar Assumptions'!H41*(1+Inputs!$E$165)</f>
        <v>876422.88</v>
      </c>
      <c r="H130" s="465">
        <f>$D$130*'Calendar Assumptions'!I41*(1+Inputs!$E$165)</f>
        <v>939360</v>
      </c>
      <c r="I130" s="465">
        <f>$D$130*'Calendar Assumptions'!J41*(1+Inputs!$E$165)</f>
        <v>939360</v>
      </c>
      <c r="J130" s="465">
        <f>I130*(1+Inputs!$E$165)</f>
        <v>967540.8</v>
      </c>
      <c r="K130" s="465">
        <f>J130*(1+Inputs!$E$165)</f>
        <v>996567.02400000009</v>
      </c>
      <c r="L130" s="465">
        <f>K130*(1+Inputs!$E$165)</f>
        <v>1026464.0347200001</v>
      </c>
      <c r="M130" s="465">
        <f>L130*(1+Inputs!$E$165)</f>
        <v>1057257.9557616001</v>
      </c>
      <c r="N130" s="465">
        <f>M130*(1+Inputs!$E$165)</f>
        <v>1088975.6944344481</v>
      </c>
      <c r="O130" s="465">
        <f>N130*(1+Inputs!$E$165)</f>
        <v>1121644.9652674815</v>
      </c>
      <c r="P130" s="111"/>
    </row>
    <row r="131" spans="1:16" x14ac:dyDescent="0.35">
      <c r="A131" s="111"/>
      <c r="B131" s="117">
        <v>2</v>
      </c>
      <c r="C131" s="115" t="s">
        <v>1392</v>
      </c>
      <c r="D131" s="16">
        <f>Inputs!$E$160</f>
        <v>12</v>
      </c>
      <c r="E131" s="111"/>
      <c r="F131" s="465">
        <f>D131*'Calendar Assumptions'!G42</f>
        <v>473817.60000000003</v>
      </c>
      <c r="G131" s="465">
        <f>$D$131*'Calendar Assumptions'!H42*(Inputs!$E$165+1)</f>
        <v>498177.21599999996</v>
      </c>
      <c r="H131" s="465">
        <f>$D$131*'Calendar Assumptions'!I42*(1+Inputs!$E$165)</f>
        <v>533952</v>
      </c>
      <c r="I131" s="465">
        <f>$D$131*'Calendar Assumptions'!J42*(Inputs!$E$165+1)</f>
        <v>533952</v>
      </c>
      <c r="J131" s="465">
        <f>I131*(1+Inputs!$E$165)</f>
        <v>549970.56000000006</v>
      </c>
      <c r="K131" s="465">
        <f>J131*(1+Inputs!$E$165)</f>
        <v>566469.67680000002</v>
      </c>
      <c r="L131" s="465">
        <f>K131*(1+Inputs!$E$165)</f>
        <v>583463.76710400009</v>
      </c>
      <c r="M131" s="465">
        <f>L131*(1+Inputs!$E$165)</f>
        <v>600967.68011712015</v>
      </c>
      <c r="N131" s="465">
        <f>M131*(1+Inputs!$E$165)</f>
        <v>618996.71052063373</v>
      </c>
      <c r="O131" s="465">
        <f>N131*(1+Inputs!$E$165)</f>
        <v>637566.61183625273</v>
      </c>
      <c r="P131" s="111"/>
    </row>
    <row r="132" spans="1:16" x14ac:dyDescent="0.35">
      <c r="A132" s="111"/>
      <c r="B132" s="117">
        <v>3</v>
      </c>
      <c r="C132" s="115" t="s">
        <v>1392</v>
      </c>
      <c r="D132" s="16">
        <f>Inputs!$E$160</f>
        <v>12</v>
      </c>
      <c r="E132" s="111"/>
      <c r="F132" s="465">
        <f>D132*'Calendar Assumptions'!G43</f>
        <v>222102</v>
      </c>
      <c r="G132" s="465">
        <f>$D$132*'Calendar Assumptions'!H43*(1+Inputs!$E$165)</f>
        <v>233520.57</v>
      </c>
      <c r="H132" s="465">
        <f>$D$132*'Calendar Assumptions'!I43*(1+Inputs!$E$165)</f>
        <v>250290</v>
      </c>
      <c r="I132" s="465">
        <f>$D$132*'Calendar Assumptions'!J43*(1+Inputs!$E$165)</f>
        <v>250290</v>
      </c>
      <c r="J132" s="465">
        <f>I132*(1+Inputs!$E$165)</f>
        <v>257798.7</v>
      </c>
      <c r="K132" s="465">
        <f>J132*(1+Inputs!$E$165)</f>
        <v>265532.66100000002</v>
      </c>
      <c r="L132" s="465">
        <f>K132*(1+Inputs!$E$165)</f>
        <v>273498.64083000005</v>
      </c>
      <c r="M132" s="465">
        <f>L132*(1+Inputs!$E$165)</f>
        <v>281703.60005490005</v>
      </c>
      <c r="N132" s="465">
        <f>M132*(1+Inputs!$E$165)</f>
        <v>290154.70805654704</v>
      </c>
      <c r="O132" s="465">
        <f>N132*(1+Inputs!$E$165)</f>
        <v>298859.34929824347</v>
      </c>
      <c r="P132" s="111"/>
    </row>
    <row r="133" spans="1:16" x14ac:dyDescent="0.35">
      <c r="A133" s="111"/>
      <c r="B133" s="117">
        <v>4</v>
      </c>
      <c r="C133" s="115" t="s">
        <v>1393</v>
      </c>
      <c r="D133" s="16">
        <f>Inputs!$E$161</f>
        <v>15</v>
      </c>
      <c r="E133" s="111"/>
      <c r="F133" s="465">
        <f>D133*'Calendar Assumptions'!G44</f>
        <v>777357</v>
      </c>
      <c r="G133" s="465">
        <f>D133*'Calendar Assumptions'!H44*(1+Inputs!$E$165)</f>
        <v>817321.995</v>
      </c>
      <c r="H133" s="465">
        <f>$D$133*'Calendar Assumptions'!I44*(1+Inputs!$E$165)</f>
        <v>876015</v>
      </c>
      <c r="I133" s="465">
        <f>'Revenue Assumptions'!H133*(1+Inputs!$E$165)</f>
        <v>902295.45000000007</v>
      </c>
      <c r="J133" s="465">
        <f>I133*(1+Inputs!$E$165)</f>
        <v>929364.31350000005</v>
      </c>
      <c r="K133" s="465">
        <f>J133*(1+Inputs!$E$165)</f>
        <v>957245.24290500011</v>
      </c>
      <c r="L133" s="465">
        <f>K133*(1+Inputs!$E$165)</f>
        <v>985962.6001921501</v>
      </c>
      <c r="M133" s="465">
        <f>L133*(1+Inputs!$E$165)</f>
        <v>1015541.4781979147</v>
      </c>
      <c r="N133" s="465">
        <f>M133*(1+Inputs!$E$165)</f>
        <v>1046007.7225438522</v>
      </c>
      <c r="O133" s="465">
        <f>N133*(1+Inputs!$E$165)</f>
        <v>1077387.9542201678</v>
      </c>
      <c r="P133" s="111"/>
    </row>
    <row r="134" spans="1:16" x14ac:dyDescent="0.35">
      <c r="A134" s="111"/>
      <c r="B134" s="117">
        <v>5</v>
      </c>
      <c r="C134" s="115" t="s">
        <v>585</v>
      </c>
      <c r="D134" s="16">
        <f>Inputs!$E$160</f>
        <v>12</v>
      </c>
      <c r="E134" s="111"/>
      <c r="F134" s="465">
        <f>D134*'Calendar Assumptions'!G45</f>
        <v>518238</v>
      </c>
      <c r="G134" s="465">
        <f>D134*'Calendar Assumptions'!H45*(1+Inputs!$E$165)</f>
        <v>544881.32999999996</v>
      </c>
      <c r="H134" s="465">
        <f>$D$134*'Calendar Assumptions'!I45*(1+Inputs!$E$165)</f>
        <v>584010</v>
      </c>
      <c r="I134" s="465">
        <f>'Revenue Assumptions'!H134*(1+Inputs!$E$165)</f>
        <v>601530.30000000005</v>
      </c>
      <c r="J134" s="465">
        <f>I134*(1+Inputs!$E$165)</f>
        <v>619576.20900000003</v>
      </c>
      <c r="K134" s="465">
        <f>J134*(1+Inputs!$E$165)</f>
        <v>638163.49527000007</v>
      </c>
      <c r="L134" s="465">
        <f>K134*(1+Inputs!$E$165)</f>
        <v>657308.40012810007</v>
      </c>
      <c r="M134" s="465">
        <f>L134*(1+Inputs!$E$165)</f>
        <v>677027.65213194303</v>
      </c>
      <c r="N134" s="465">
        <f>M134*(1+Inputs!$E$165)</f>
        <v>697338.48169590137</v>
      </c>
      <c r="O134" s="465">
        <f>N134*(1+Inputs!$E$165)</f>
        <v>718258.63614677847</v>
      </c>
      <c r="P134" s="111"/>
    </row>
    <row r="135" spans="1:16" x14ac:dyDescent="0.35">
      <c r="A135" s="111"/>
      <c r="B135" s="117">
        <v>6</v>
      </c>
      <c r="C135" s="115" t="s">
        <v>587</v>
      </c>
      <c r="D135" s="16">
        <f>Inputs!$E$160</f>
        <v>12</v>
      </c>
      <c r="E135" s="111"/>
      <c r="F135" s="465">
        <f>D135*'Calendar Assumptions'!G46</f>
        <v>518238</v>
      </c>
      <c r="G135" s="465">
        <f>D135*'Calendar Assumptions'!H46*(1+Inputs!$E$165)</f>
        <v>544881.32999999996</v>
      </c>
      <c r="H135" s="465">
        <f>$D$135*'Calendar Assumptions'!I46*(1+Inputs!$E$165)</f>
        <v>584010</v>
      </c>
      <c r="I135" s="465">
        <f>'Revenue Assumptions'!H135*(1+Inputs!$E$165)</f>
        <v>601530.30000000005</v>
      </c>
      <c r="J135" s="465">
        <f>I135*(1+Inputs!$E$165)</f>
        <v>619576.20900000003</v>
      </c>
      <c r="K135" s="465">
        <f>J135*(1+Inputs!$E$165)</f>
        <v>638163.49527000007</v>
      </c>
      <c r="L135" s="465">
        <f>K135*(1+Inputs!$E$165)</f>
        <v>657308.40012810007</v>
      </c>
      <c r="M135" s="465">
        <f>L135*(1+Inputs!$E$165)</f>
        <v>677027.65213194303</v>
      </c>
      <c r="N135" s="465">
        <f>M135*(1+Inputs!$E$165)</f>
        <v>697338.48169590137</v>
      </c>
      <c r="O135" s="465">
        <f>N135*(1+Inputs!$E$165)</f>
        <v>718258.63614677847</v>
      </c>
      <c r="P135" s="111"/>
    </row>
    <row r="136" spans="1:16" x14ac:dyDescent="0.35">
      <c r="A136" s="111"/>
      <c r="B136" s="117">
        <v>7</v>
      </c>
      <c r="C136" s="115" t="s">
        <v>140</v>
      </c>
      <c r="D136" s="16">
        <f>Inputs!$E$160</f>
        <v>12</v>
      </c>
      <c r="E136" s="111"/>
      <c r="F136" s="465">
        <f>D136*'Calendar Assumptions'!G47</f>
        <v>92131.200000000012</v>
      </c>
      <c r="G136" s="465">
        <f>D136*'Calendar Assumptions'!H47*(1+Inputs!$E$165)</f>
        <v>96867.792000000016</v>
      </c>
      <c r="H136" s="465">
        <f>$D$136*'Calendar Assumptions'!I47*(1+Inputs!$E$165)</f>
        <v>103824</v>
      </c>
      <c r="I136" s="465">
        <f>'Revenue Assumptions'!H136*(1+Inputs!$E$165)</f>
        <v>106938.72</v>
      </c>
      <c r="J136" s="465">
        <f>I136*(1+Inputs!$E$165)</f>
        <v>110146.88160000001</v>
      </c>
      <c r="K136" s="465">
        <f>J136*(1+Inputs!$E$165)</f>
        <v>113451.28804800002</v>
      </c>
      <c r="L136" s="465">
        <f>K136*(1+Inputs!$E$165)</f>
        <v>116854.82668944001</v>
      </c>
      <c r="M136" s="465">
        <f>L136*(1+Inputs!$E$165)</f>
        <v>120360.47149012322</v>
      </c>
      <c r="N136" s="465">
        <f>M136*(1+Inputs!$E$165)</f>
        <v>123971.28563482693</v>
      </c>
      <c r="O136" s="465">
        <f>N136*(1+Inputs!$E$165)</f>
        <v>127690.42420387173</v>
      </c>
      <c r="P136" s="111"/>
    </row>
    <row r="137" spans="1:16" x14ac:dyDescent="0.35">
      <c r="A137" s="111"/>
      <c r="B137" s="117">
        <v>8</v>
      </c>
      <c r="C137" s="115" t="s">
        <v>142</v>
      </c>
      <c r="D137" s="16">
        <f>Inputs!$E$162</f>
        <v>7</v>
      </c>
      <c r="E137" s="111"/>
      <c r="F137" s="465">
        <f>D137*'Calendar Assumptions'!G48</f>
        <v>454577.89999999997</v>
      </c>
      <c r="G137" s="465">
        <f>D137*'Calendar Assumptions'!H48*(1+Inputs!$E$165)</f>
        <v>477948.37650000007</v>
      </c>
      <c r="H137" s="465">
        <f>$D$137*'Calendar Assumptions'!I48*(1+Inputs!$E$165)</f>
        <v>512270.5</v>
      </c>
      <c r="I137" s="465">
        <f>'Revenue Assumptions'!H137*(1+Inputs!$E$165)</f>
        <v>527638.61499999999</v>
      </c>
      <c r="J137" s="465">
        <f>I137*(1+Inputs!$E$165)</f>
        <v>543467.77344999998</v>
      </c>
      <c r="K137" s="465">
        <f>J137*(1+Inputs!$E$165)</f>
        <v>559771.80665349995</v>
      </c>
      <c r="L137" s="465">
        <f>K137*(1+Inputs!$E$165)</f>
        <v>576564.96085310495</v>
      </c>
      <c r="M137" s="465">
        <f>L137*(1+Inputs!$E$165)</f>
        <v>593861.90967869805</v>
      </c>
      <c r="N137" s="465">
        <f>M137*(1+Inputs!$E$165)</f>
        <v>611677.76696905901</v>
      </c>
      <c r="O137" s="465">
        <f>N137*(1+Inputs!$E$165)</f>
        <v>630028.09997813078</v>
      </c>
      <c r="P137" s="111"/>
    </row>
    <row r="138" spans="1:16" x14ac:dyDescent="0.35">
      <c r="A138" s="111"/>
      <c r="B138" s="117">
        <v>9</v>
      </c>
      <c r="C138" s="115" t="s">
        <v>102</v>
      </c>
      <c r="D138" s="16">
        <f>Inputs!$E$160</f>
        <v>12</v>
      </c>
      <c r="E138" s="111"/>
      <c r="F138" s="465">
        <f>D138*'Calendar Assumptions'!G49</f>
        <v>263232</v>
      </c>
      <c r="G138" s="465">
        <f>D138*'Calendar Assumptions'!H49*(1+Inputs!$E$165)</f>
        <v>276765.12000000005</v>
      </c>
      <c r="H138" s="465">
        <f>$D$138*'Calendar Assumptions'!I49*(1+Inputs!$E$165)</f>
        <v>296640</v>
      </c>
      <c r="I138" s="465">
        <f>'Revenue Assumptions'!H138*(1+Inputs!$E$165)</f>
        <v>305539.20000000001</v>
      </c>
      <c r="J138" s="465">
        <f>I138*(1+Inputs!$E$165)</f>
        <v>314705.37600000005</v>
      </c>
      <c r="K138" s="465">
        <f>J138*(1+Inputs!$E$165)</f>
        <v>324146.53728000005</v>
      </c>
      <c r="L138" s="465">
        <f>K138*(1+Inputs!$E$165)</f>
        <v>333870.93339840008</v>
      </c>
      <c r="M138" s="465">
        <f>L138*(1+Inputs!$E$165)</f>
        <v>343887.0614003521</v>
      </c>
      <c r="N138" s="465">
        <f>M138*(1+Inputs!$E$165)</f>
        <v>354203.67324236268</v>
      </c>
      <c r="O138" s="465">
        <f>N138*(1+Inputs!$E$165)</f>
        <v>364829.78343963355</v>
      </c>
      <c r="P138" s="111"/>
    </row>
    <row r="139" spans="1:16" x14ac:dyDescent="0.35">
      <c r="A139" s="111"/>
      <c r="B139" s="117">
        <v>10</v>
      </c>
      <c r="C139" s="115" t="s">
        <v>1394</v>
      </c>
      <c r="D139" s="16">
        <f>Inputs!$E$163</f>
        <v>40</v>
      </c>
      <c r="E139" s="111"/>
      <c r="F139" s="465">
        <f>D139*'Calendar Assumptions'!G50</f>
        <v>731200</v>
      </c>
      <c r="G139" s="465">
        <f>D139*'Calendar Assumptions'!H50*(1+Inputs!$E$165)</f>
        <v>768792</v>
      </c>
      <c r="H139" s="465">
        <f>$D$139*'Calendar Assumptions'!I50*(1+Inputs!$E$165)</f>
        <v>824000</v>
      </c>
      <c r="I139" s="465">
        <f>'Revenue Assumptions'!H139*(1+Inputs!$E$165)</f>
        <v>848720</v>
      </c>
      <c r="J139" s="465">
        <f>I139*(1+Inputs!$E$165)</f>
        <v>874181.6</v>
      </c>
      <c r="K139" s="465">
        <f>J139*(1+Inputs!$E$165)</f>
        <v>900407.04799999995</v>
      </c>
      <c r="L139" s="465">
        <f>K139*(1+Inputs!$E$165)</f>
        <v>927419.25943999994</v>
      </c>
      <c r="M139" s="465">
        <f>L139*(1+Inputs!$E$165)</f>
        <v>955241.83722320001</v>
      </c>
      <c r="N139" s="465">
        <f>M139*(1+Inputs!$E$165)</f>
        <v>983899.09233989601</v>
      </c>
      <c r="O139" s="465">
        <f>N139*(1+Inputs!$E$165)</f>
        <v>1013416.0651100929</v>
      </c>
      <c r="P139" s="111"/>
    </row>
    <row r="140" spans="1:16" x14ac:dyDescent="0.35">
      <c r="A140" s="111"/>
      <c r="B140" s="117">
        <v>11</v>
      </c>
      <c r="C140" s="115" t="s">
        <v>1395</v>
      </c>
      <c r="D140" s="16">
        <f>Inputs!$E$164</f>
        <v>5</v>
      </c>
      <c r="E140" s="111"/>
      <c r="F140" s="465">
        <f>D140*'Calendar Assumptions'!G51</f>
        <v>475280</v>
      </c>
      <c r="G140" s="465">
        <f>D140*'Calendar Assumptions'!H51*(1+Inputs!$E$165)</f>
        <v>499714.80000000005</v>
      </c>
      <c r="H140" s="465">
        <f>$D$140*'Calendar Assumptions'!I51*(1+Inputs!$E$165)</f>
        <v>535600</v>
      </c>
      <c r="I140" s="465">
        <f>'Revenue Assumptions'!H140*(1+Inputs!$E$165)</f>
        <v>551668</v>
      </c>
      <c r="J140" s="465">
        <f>I140*(1+Inputs!$E$165)</f>
        <v>568218.04</v>
      </c>
      <c r="K140" s="465">
        <f>J140*(1+Inputs!$E$165)</f>
        <v>585264.58120000002</v>
      </c>
      <c r="L140" s="465">
        <f>K140*(1+Inputs!$E$165)</f>
        <v>602822.51863599999</v>
      </c>
      <c r="M140" s="465">
        <f>L140*(1+Inputs!$E$165)</f>
        <v>620907.19419507997</v>
      </c>
      <c r="N140" s="465">
        <f>M140*(1+Inputs!$E$165)</f>
        <v>639534.41002093244</v>
      </c>
      <c r="O140" s="465">
        <f>N140*(1+Inputs!$E$165)</f>
        <v>658720.44232156046</v>
      </c>
      <c r="P140" s="111"/>
    </row>
    <row r="141" spans="1:16" x14ac:dyDescent="0.35">
      <c r="A141" s="111"/>
      <c r="B141" s="113"/>
      <c r="C141" s="111"/>
      <c r="D141" s="111"/>
      <c r="E141" s="111"/>
      <c r="F141" s="467">
        <f t="shared" ref="F141:O141" si="21">SUM(F130:F140)</f>
        <v>5342413.7</v>
      </c>
      <c r="G141" s="467">
        <f t="shared" si="21"/>
        <v>5635293.4095000001</v>
      </c>
      <c r="H141" s="467">
        <f t="shared" si="21"/>
        <v>6039971.5</v>
      </c>
      <c r="I141" s="467">
        <f t="shared" si="21"/>
        <v>6169462.585</v>
      </c>
      <c r="J141" s="467">
        <f t="shared" si="21"/>
        <v>6354546.4625500003</v>
      </c>
      <c r="K141" s="467">
        <f t="shared" si="21"/>
        <v>6545182.8564264998</v>
      </c>
      <c r="L141" s="467">
        <f t="shared" si="21"/>
        <v>6741538.3421192961</v>
      </c>
      <c r="M141" s="467">
        <f t="shared" si="21"/>
        <v>6943784.4923828738</v>
      </c>
      <c r="N141" s="467">
        <f t="shared" si="21"/>
        <v>7152098.02715436</v>
      </c>
      <c r="O141" s="467">
        <f t="shared" si="21"/>
        <v>7366660.967968991</v>
      </c>
      <c r="P141" s="104"/>
    </row>
    <row r="142" spans="1:16" x14ac:dyDescent="0.35">
      <c r="A142" s="111"/>
      <c r="B142" s="113"/>
      <c r="C142" s="111"/>
      <c r="D142" s="111"/>
      <c r="E142" s="111"/>
      <c r="F142" s="466"/>
      <c r="G142" s="466"/>
      <c r="H142" s="466"/>
      <c r="I142" s="466"/>
      <c r="J142" s="466"/>
      <c r="K142" s="466"/>
      <c r="L142" s="466"/>
      <c r="M142" s="466"/>
      <c r="N142" s="466"/>
      <c r="O142" s="466"/>
      <c r="P142" s="111"/>
    </row>
    <row r="143" spans="1:16" x14ac:dyDescent="0.35">
      <c r="A143" s="111"/>
      <c r="B143" s="113"/>
      <c r="C143" s="111"/>
      <c r="D143" s="111"/>
      <c r="E143" s="111"/>
      <c r="F143" s="466"/>
      <c r="G143" s="466"/>
      <c r="H143" s="466"/>
      <c r="I143" s="466"/>
      <c r="J143" s="466"/>
      <c r="K143" s="466"/>
      <c r="L143" s="466"/>
      <c r="M143" s="466"/>
      <c r="N143" s="466"/>
      <c r="O143" s="466"/>
      <c r="P143" s="111"/>
    </row>
    <row r="144" spans="1:16" x14ac:dyDescent="0.35">
      <c r="A144" s="111"/>
      <c r="B144" s="113"/>
      <c r="C144" s="111"/>
      <c r="D144" s="111"/>
      <c r="E144" s="111"/>
      <c r="F144" s="466"/>
      <c r="G144" s="466"/>
      <c r="H144" s="466"/>
      <c r="I144" s="466"/>
      <c r="J144" s="466"/>
      <c r="K144" s="466"/>
      <c r="L144" s="466"/>
      <c r="M144" s="466"/>
      <c r="N144" s="466"/>
      <c r="O144" s="466"/>
      <c r="P144" s="111"/>
    </row>
    <row r="145" spans="1:16" x14ac:dyDescent="0.35">
      <c r="A145" s="111"/>
      <c r="B145" s="113"/>
      <c r="C145" s="111"/>
      <c r="D145" s="111"/>
      <c r="E145" s="104" t="s">
        <v>15</v>
      </c>
      <c r="F145" s="468" t="str">
        <f>'P&amp;L'!J6</f>
        <v>FY27</v>
      </c>
      <c r="G145" s="468" t="str">
        <f>'P&amp;L'!K6</f>
        <v>FY28</v>
      </c>
      <c r="H145" s="468" t="str">
        <f>'P&amp;L'!L6</f>
        <v>FY29</v>
      </c>
      <c r="I145" s="468" t="str">
        <f>'P&amp;L'!M6</f>
        <v>FY30</v>
      </c>
      <c r="J145" s="468" t="str">
        <f>'P&amp;L'!N6</f>
        <v>FY31</v>
      </c>
      <c r="K145" s="468" t="str">
        <f>'P&amp;L'!O6</f>
        <v>FY32</v>
      </c>
      <c r="L145" s="468" t="str">
        <f>'P&amp;L'!P6</f>
        <v>FY33</v>
      </c>
      <c r="M145" s="468" t="str">
        <f>'P&amp;L'!Q6</f>
        <v>FY34</v>
      </c>
      <c r="N145" s="468" t="str">
        <f>'P&amp;L'!R6</f>
        <v>FY35</v>
      </c>
      <c r="O145" s="468" t="str">
        <f>'P&amp;L'!S6</f>
        <v>FY36</v>
      </c>
      <c r="P145" s="111"/>
    </row>
    <row r="146" spans="1:16" x14ac:dyDescent="0.35">
      <c r="A146" s="111"/>
      <c r="B146" s="115" t="s">
        <v>1403</v>
      </c>
      <c r="C146" s="111"/>
      <c r="D146" s="104" t="s">
        <v>1402</v>
      </c>
      <c r="E146" s="111"/>
      <c r="F146" s="117">
        <f t="shared" ref="F146:O146" si="22">F128</f>
        <v>2027</v>
      </c>
      <c r="G146" s="117">
        <f t="shared" si="22"/>
        <v>2028</v>
      </c>
      <c r="H146" s="117">
        <f t="shared" si="22"/>
        <v>2029</v>
      </c>
      <c r="I146" s="117">
        <f t="shared" si="22"/>
        <v>2030</v>
      </c>
      <c r="J146" s="117">
        <f t="shared" si="22"/>
        <v>2031</v>
      </c>
      <c r="K146" s="117">
        <f t="shared" si="22"/>
        <v>2032</v>
      </c>
      <c r="L146" s="117">
        <f t="shared" si="22"/>
        <v>2033</v>
      </c>
      <c r="M146" s="117">
        <f t="shared" si="22"/>
        <v>2034</v>
      </c>
      <c r="N146" s="117">
        <f t="shared" si="22"/>
        <v>2035</v>
      </c>
      <c r="O146" s="117">
        <f t="shared" si="22"/>
        <v>2036</v>
      </c>
      <c r="P146" s="111"/>
    </row>
    <row r="147" spans="1:16" x14ac:dyDescent="0.35">
      <c r="A147" s="111"/>
      <c r="B147" s="115"/>
      <c r="C147" s="111"/>
      <c r="D147" s="104"/>
      <c r="E147" s="111"/>
      <c r="F147" s="117"/>
      <c r="G147" s="117"/>
      <c r="H147" s="117"/>
      <c r="I147" s="117"/>
      <c r="J147" s="117"/>
      <c r="K147" s="117"/>
      <c r="L147" s="117"/>
      <c r="M147" s="117"/>
      <c r="N147" s="117"/>
      <c r="O147" s="117"/>
      <c r="P147" s="111"/>
    </row>
    <row r="148" spans="1:16" x14ac:dyDescent="0.35">
      <c r="A148" s="111"/>
      <c r="B148" s="117">
        <v>1</v>
      </c>
      <c r="C148" s="115" t="s">
        <v>1392</v>
      </c>
      <c r="D148" s="16">
        <f>D130*Inputs!$E$167</f>
        <v>18</v>
      </c>
      <c r="E148" s="111"/>
      <c r="F148" s="465">
        <f>D148*'Calendar Assumptions'!G57</f>
        <v>18755.28</v>
      </c>
      <c r="G148" s="465">
        <f>D148*'Calendar Assumptions'!H57*(1+Inputs!$E$165)</f>
        <v>19719.514800000004</v>
      </c>
      <c r="H148" s="465">
        <f>D148*'Calendar Assumptions'!I57*(1+Inputs!$E$165)</f>
        <v>21135.600000000002</v>
      </c>
      <c r="I148" s="465">
        <f>D148*'Calendar Assumptions'!J57*(1+Inputs!$E$165)</f>
        <v>21135.600000000002</v>
      </c>
      <c r="J148" s="465">
        <f>'Revenue Assumptions'!I148*(1+Inputs!$E$165)</f>
        <v>21769.668000000001</v>
      </c>
      <c r="K148" s="465">
        <f>'Revenue Assumptions'!J148*(1+Inputs!$E$165)</f>
        <v>22422.758040000001</v>
      </c>
      <c r="L148" s="465">
        <f>'Revenue Assumptions'!K148*(1+Inputs!$E$165)</f>
        <v>23095.440781200003</v>
      </c>
      <c r="M148" s="465">
        <f>'Revenue Assumptions'!L148*(1+Inputs!$E$165)</f>
        <v>23788.304004636004</v>
      </c>
      <c r="N148" s="465">
        <f>'Revenue Assumptions'!M148*(1+Inputs!$E$165)</f>
        <v>24501.953124775086</v>
      </c>
      <c r="O148" s="465">
        <f>'Revenue Assumptions'!N148*(1+Inputs!$E$165)</f>
        <v>25237.011718518337</v>
      </c>
      <c r="P148" s="111"/>
    </row>
    <row r="149" spans="1:16" x14ac:dyDescent="0.35">
      <c r="A149" s="111"/>
      <c r="B149" s="117">
        <v>2</v>
      </c>
      <c r="C149" s="115" t="s">
        <v>1392</v>
      </c>
      <c r="D149" s="16">
        <f>D131*Inputs!$E$167</f>
        <v>18</v>
      </c>
      <c r="E149" s="111"/>
      <c r="F149" s="465">
        <f>D149*'Calendar Assumptions'!G58</f>
        <v>17768.160000000003</v>
      </c>
      <c r="G149" s="465">
        <f>D149*'Calendar Assumptions'!H58*(1+Inputs!$E$165)</f>
        <v>18681.6456</v>
      </c>
      <c r="H149" s="465">
        <f>D149*'Calendar Assumptions'!I58*(1+Inputs!$E$165)</f>
        <v>20023.2</v>
      </c>
      <c r="I149" s="465">
        <f>D149*'Calendar Assumptions'!J58*(1+Inputs!$E$165)</f>
        <v>20023.2</v>
      </c>
      <c r="J149" s="465">
        <f>'Revenue Assumptions'!I149*(1+Inputs!$E$165)</f>
        <v>20623.896000000001</v>
      </c>
      <c r="K149" s="465">
        <f>'Revenue Assumptions'!J149*(1+Inputs!$E$165)</f>
        <v>21242.612880000001</v>
      </c>
      <c r="L149" s="465">
        <f>'Revenue Assumptions'!K149*(1+Inputs!$E$165)</f>
        <v>21879.891266400002</v>
      </c>
      <c r="M149" s="465">
        <f>'Revenue Assumptions'!L149*(1+Inputs!$E$165)</f>
        <v>22536.288004392001</v>
      </c>
      <c r="N149" s="465">
        <f>'Revenue Assumptions'!M149*(1+Inputs!$E$165)</f>
        <v>23212.376644523763</v>
      </c>
      <c r="O149" s="465">
        <f>'Revenue Assumptions'!N149*(1+Inputs!$E$165)</f>
        <v>23908.747943859478</v>
      </c>
      <c r="P149" s="111"/>
    </row>
    <row r="150" spans="1:16" x14ac:dyDescent="0.35">
      <c r="A150" s="111"/>
      <c r="B150" s="117">
        <v>3</v>
      </c>
      <c r="C150" s="115" t="s">
        <v>1392</v>
      </c>
      <c r="D150" s="16">
        <f>D132*Inputs!$E$167</f>
        <v>18</v>
      </c>
      <c r="E150" s="111"/>
      <c r="F150" s="465">
        <f>D150*'Calendar Assumptions'!G59</f>
        <v>14806.800000000001</v>
      </c>
      <c r="G150" s="465">
        <f>D150*'Calendar Assumptions'!H59*(1+Inputs!$E$165)</f>
        <v>15568.038</v>
      </c>
      <c r="H150" s="465">
        <f>D150*'Calendar Assumptions'!I59*(1+Inputs!$E$165)</f>
        <v>16686</v>
      </c>
      <c r="I150" s="465">
        <f>D150*'Calendar Assumptions'!J59*(1+Inputs!$E$165)</f>
        <v>16686</v>
      </c>
      <c r="J150" s="465">
        <f>'Revenue Assumptions'!I150*(1+Inputs!$E$165)</f>
        <v>17186.580000000002</v>
      </c>
      <c r="K150" s="465">
        <f>'Revenue Assumptions'!J150*(1+Inputs!$E$165)</f>
        <v>17702.1774</v>
      </c>
      <c r="L150" s="465">
        <f>'Revenue Assumptions'!K150*(1+Inputs!$E$165)</f>
        <v>18233.242722000003</v>
      </c>
      <c r="M150" s="465">
        <f>'Revenue Assumptions'!L150*(1+Inputs!$E$165)</f>
        <v>18780.240003660005</v>
      </c>
      <c r="N150" s="465">
        <f>'Revenue Assumptions'!M150*(1+Inputs!$E$165)</f>
        <v>19343.647203769804</v>
      </c>
      <c r="O150" s="465">
        <f>'Revenue Assumptions'!N150*(1+Inputs!$E$165)</f>
        <v>19923.956619882898</v>
      </c>
      <c r="P150" s="111"/>
    </row>
    <row r="151" spans="1:16" x14ac:dyDescent="0.35">
      <c r="A151" s="111"/>
      <c r="B151" s="117">
        <v>4</v>
      </c>
      <c r="C151" s="115" t="s">
        <v>1393</v>
      </c>
      <c r="D151" s="16">
        <f>D133*Inputs!$E$167</f>
        <v>22.5</v>
      </c>
      <c r="E151" s="111"/>
      <c r="F151" s="465">
        <f>D151*'Calendar Assumptions'!G60</f>
        <v>22210.200000000004</v>
      </c>
      <c r="G151" s="465">
        <f>D151*'Calendar Assumptions'!H60*(1+Inputs!$E$165)</f>
        <v>23352.057000000001</v>
      </c>
      <c r="H151" s="465">
        <f>D151*'Calendar Assumptions'!I60*(1+Inputs!$E$165)</f>
        <v>25029</v>
      </c>
      <c r="I151" s="465">
        <f>D151*'Calendar Assumptions'!J60*(1+Inputs!$E$165)</f>
        <v>25029</v>
      </c>
      <c r="J151" s="465">
        <f>'Revenue Assumptions'!I151*(1+Inputs!$E$165)</f>
        <v>25779.87</v>
      </c>
      <c r="K151" s="465">
        <f>'Revenue Assumptions'!J151*(1+Inputs!$E$165)</f>
        <v>26553.266100000001</v>
      </c>
      <c r="L151" s="465">
        <f>'Revenue Assumptions'!K151*(1+Inputs!$E$165)</f>
        <v>27349.864083</v>
      </c>
      <c r="M151" s="465">
        <f>'Revenue Assumptions'!L151*(1+Inputs!$E$165)</f>
        <v>28170.360005490002</v>
      </c>
      <c r="N151" s="465">
        <f>'Revenue Assumptions'!M151*(1+Inputs!$E$165)</f>
        <v>29015.470805654702</v>
      </c>
      <c r="O151" s="465">
        <f>'Revenue Assumptions'!N151*(1+Inputs!$E$165)</f>
        <v>29885.934929824343</v>
      </c>
      <c r="P151" s="111"/>
    </row>
    <row r="152" spans="1:16" x14ac:dyDescent="0.35">
      <c r="A152" s="111"/>
      <c r="B152" s="117">
        <v>5</v>
      </c>
      <c r="C152" s="115" t="s">
        <v>585</v>
      </c>
      <c r="D152" s="16">
        <f>D134*Inputs!$E$167</f>
        <v>18</v>
      </c>
      <c r="E152" s="111"/>
      <c r="F152" s="465">
        <f>D152*'Calendar Assumptions'!G61</f>
        <v>14806.800000000001</v>
      </c>
      <c r="G152" s="465">
        <f>D152*'Calendar Assumptions'!H61*(1+Inputs!$E$165)</f>
        <v>15568.038</v>
      </c>
      <c r="H152" s="465">
        <f>D152*'Calendar Assumptions'!I61*(1+Inputs!$E$165)</f>
        <v>16686</v>
      </c>
      <c r="I152" s="465">
        <f>D152*'Calendar Assumptions'!J61*(1+Inputs!$E$165)</f>
        <v>16686</v>
      </c>
      <c r="J152" s="465">
        <f>'Revenue Assumptions'!I152*(1+Inputs!$E$165)</f>
        <v>17186.580000000002</v>
      </c>
      <c r="K152" s="465">
        <f>'Revenue Assumptions'!J152*(1+Inputs!$E$165)</f>
        <v>17702.1774</v>
      </c>
      <c r="L152" s="465">
        <f>'Revenue Assumptions'!K152*(1+Inputs!$E$165)</f>
        <v>18233.242722000003</v>
      </c>
      <c r="M152" s="465">
        <f>'Revenue Assumptions'!L152*(1+Inputs!$E$165)</f>
        <v>18780.240003660005</v>
      </c>
      <c r="N152" s="465">
        <f>'Revenue Assumptions'!M152*(1+Inputs!$E$165)</f>
        <v>19343.647203769804</v>
      </c>
      <c r="O152" s="465">
        <f>'Revenue Assumptions'!N152*(1+Inputs!$E$165)</f>
        <v>19923.956619882898</v>
      </c>
      <c r="P152" s="111"/>
    </row>
    <row r="153" spans="1:16" x14ac:dyDescent="0.35">
      <c r="A153" s="111"/>
      <c r="B153" s="117">
        <v>6</v>
      </c>
      <c r="C153" s="115" t="s">
        <v>587</v>
      </c>
      <c r="D153" s="16">
        <f>D135*Inputs!$E$167</f>
        <v>18</v>
      </c>
      <c r="E153" s="111"/>
      <c r="F153" s="465">
        <f>D153*'Calendar Assumptions'!G62</f>
        <v>14806.800000000001</v>
      </c>
      <c r="G153" s="465">
        <f>D153*'Calendar Assumptions'!H62*(1+Inputs!$E$165)</f>
        <v>15568.038</v>
      </c>
      <c r="H153" s="465">
        <f>D153*'Calendar Assumptions'!I62*(1+Inputs!$E$165)</f>
        <v>16686</v>
      </c>
      <c r="I153" s="465">
        <f>D153*'Calendar Assumptions'!J62*(1+Inputs!$E$165)</f>
        <v>16686</v>
      </c>
      <c r="J153" s="465">
        <f>'Revenue Assumptions'!I153*(1+Inputs!$E$165)</f>
        <v>17186.580000000002</v>
      </c>
      <c r="K153" s="465">
        <f>'Revenue Assumptions'!J153*(1+Inputs!$E$165)</f>
        <v>17702.1774</v>
      </c>
      <c r="L153" s="465">
        <f>'Revenue Assumptions'!K153*(1+Inputs!$E$165)</f>
        <v>18233.242722000003</v>
      </c>
      <c r="M153" s="465">
        <f>'Revenue Assumptions'!L153*(1+Inputs!$E$165)</f>
        <v>18780.240003660005</v>
      </c>
      <c r="N153" s="465">
        <f>'Revenue Assumptions'!M153*(1+Inputs!$E$165)</f>
        <v>19343.647203769804</v>
      </c>
      <c r="O153" s="465">
        <f>'Revenue Assumptions'!N153*(1+Inputs!$E$165)</f>
        <v>19923.956619882898</v>
      </c>
      <c r="P153" s="111"/>
    </row>
    <row r="154" spans="1:16" x14ac:dyDescent="0.35">
      <c r="A154" s="111"/>
      <c r="B154" s="117">
        <v>7</v>
      </c>
      <c r="C154" s="115" t="s">
        <v>140</v>
      </c>
      <c r="D154" s="16">
        <f>D136*Inputs!$E$167</f>
        <v>18</v>
      </c>
      <c r="E154" s="111"/>
      <c r="F154" s="465">
        <f>D154*'Calendar Assumptions'!G63</f>
        <v>2961.36</v>
      </c>
      <c r="G154" s="465">
        <f>D154*'Calendar Assumptions'!H63*(1+Inputs!$E$165)</f>
        <v>3113.6076000000007</v>
      </c>
      <c r="H154" s="465">
        <f>D154*'Calendar Assumptions'!I63*(1+Inputs!$E$165)</f>
        <v>3337.2000000000003</v>
      </c>
      <c r="I154" s="465">
        <f>D154*'Calendar Assumptions'!J63*(1+Inputs!$E$165)</f>
        <v>3337.2000000000003</v>
      </c>
      <c r="J154" s="465">
        <f>'Revenue Assumptions'!I154*(1+Inputs!$E$165)</f>
        <v>3437.3160000000003</v>
      </c>
      <c r="K154" s="465">
        <f>'Revenue Assumptions'!J154*(1+Inputs!$E$165)</f>
        <v>3540.4354800000006</v>
      </c>
      <c r="L154" s="465">
        <f>'Revenue Assumptions'!K154*(1+Inputs!$E$165)</f>
        <v>3646.6485444000004</v>
      </c>
      <c r="M154" s="465">
        <f>'Revenue Assumptions'!L154*(1+Inputs!$E$165)</f>
        <v>3756.0480007320007</v>
      </c>
      <c r="N154" s="465">
        <f>'Revenue Assumptions'!M154*(1+Inputs!$E$165)</f>
        <v>3868.7294407539607</v>
      </c>
      <c r="O154" s="465">
        <f>'Revenue Assumptions'!N154*(1+Inputs!$E$165)</f>
        <v>3984.7913239765799</v>
      </c>
      <c r="P154" s="111"/>
    </row>
    <row r="155" spans="1:16" x14ac:dyDescent="0.35">
      <c r="A155" s="111"/>
      <c r="B155" s="117">
        <v>8</v>
      </c>
      <c r="C155" s="115" t="s">
        <v>142</v>
      </c>
      <c r="D155" s="16">
        <v>0</v>
      </c>
      <c r="E155" s="111"/>
      <c r="F155" s="465">
        <f>D155*'Calendar Assumptions'!G64</f>
        <v>0</v>
      </c>
      <c r="G155" s="465">
        <f>D155*'Calendar Assumptions'!H64*(1+Inputs!$E$165)</f>
        <v>0</v>
      </c>
      <c r="H155" s="465">
        <f>D155*'Calendar Assumptions'!I64*(1+Inputs!$E$165)</f>
        <v>0</v>
      </c>
      <c r="I155" s="465">
        <f>D155*'Calendar Assumptions'!J64*(1+Inputs!$E$165)</f>
        <v>0</v>
      </c>
      <c r="J155" s="465">
        <f>'Revenue Assumptions'!I155*(1+Inputs!$E$165)</f>
        <v>0</v>
      </c>
      <c r="K155" s="465">
        <f>'Revenue Assumptions'!J155*(1+Inputs!$E$165)</f>
        <v>0</v>
      </c>
      <c r="L155" s="465">
        <f>'Revenue Assumptions'!K155*(1+Inputs!$E$165)</f>
        <v>0</v>
      </c>
      <c r="M155" s="465">
        <f>'Revenue Assumptions'!L155*(1+Inputs!$E$165)</f>
        <v>0</v>
      </c>
      <c r="N155" s="465">
        <f>'Revenue Assumptions'!M155*(1+Inputs!$E$165)</f>
        <v>0</v>
      </c>
      <c r="O155" s="465">
        <f>'Revenue Assumptions'!N155*(1+Inputs!$E$165)</f>
        <v>0</v>
      </c>
      <c r="P155" s="111"/>
    </row>
    <row r="156" spans="1:16" x14ac:dyDescent="0.35">
      <c r="A156" s="111"/>
      <c r="B156" s="117">
        <v>9</v>
      </c>
      <c r="C156" s="115" t="s">
        <v>102</v>
      </c>
      <c r="D156" s="16">
        <v>0</v>
      </c>
      <c r="E156" s="111"/>
      <c r="F156" s="465">
        <f>D156*'Calendar Assumptions'!G65</f>
        <v>0</v>
      </c>
      <c r="G156" s="465">
        <f>D156*'Calendar Assumptions'!H65*(1+Inputs!$E$165)</f>
        <v>0</v>
      </c>
      <c r="H156" s="465">
        <f>D156*'Calendar Assumptions'!I65*(1+Inputs!$E$165)</f>
        <v>0</v>
      </c>
      <c r="I156" s="465">
        <f>D156*'Calendar Assumptions'!J65*(1+Inputs!$E$165)</f>
        <v>0</v>
      </c>
      <c r="J156" s="465">
        <f>'Revenue Assumptions'!I156*(1+Inputs!$E$165)</f>
        <v>0</v>
      </c>
      <c r="K156" s="465">
        <f>'Revenue Assumptions'!J156*(1+Inputs!$E$165)</f>
        <v>0</v>
      </c>
      <c r="L156" s="465">
        <f>'Revenue Assumptions'!K156*(1+Inputs!$E$165)</f>
        <v>0</v>
      </c>
      <c r="M156" s="465">
        <f>'Revenue Assumptions'!L156*(1+Inputs!$E$165)</f>
        <v>0</v>
      </c>
      <c r="N156" s="465">
        <f>'Revenue Assumptions'!M156*(1+Inputs!$E$165)</f>
        <v>0</v>
      </c>
      <c r="O156" s="465">
        <f>'Revenue Assumptions'!N156*(1+Inputs!$E$165)</f>
        <v>0</v>
      </c>
      <c r="P156" s="111"/>
    </row>
    <row r="157" spans="1:16" x14ac:dyDescent="0.35">
      <c r="A157" s="111"/>
      <c r="B157" s="117">
        <v>10</v>
      </c>
      <c r="C157" s="115" t="s">
        <v>1394</v>
      </c>
      <c r="D157" s="16">
        <v>0</v>
      </c>
      <c r="E157" s="111"/>
      <c r="F157" s="465">
        <f>D157*'Calendar Assumptions'!G66</f>
        <v>0</v>
      </c>
      <c r="G157" s="465">
        <f>D157*'Calendar Assumptions'!H66*(1+Inputs!$E$165)</f>
        <v>0</v>
      </c>
      <c r="H157" s="465">
        <f>D157*'Calendar Assumptions'!I66*(1+Inputs!$E$165)</f>
        <v>0</v>
      </c>
      <c r="I157" s="465">
        <f>D157*'Calendar Assumptions'!J66*(1+Inputs!$E$165)</f>
        <v>0</v>
      </c>
      <c r="J157" s="465">
        <f>'Revenue Assumptions'!I157*(1+Inputs!$E$165)</f>
        <v>0</v>
      </c>
      <c r="K157" s="465">
        <f>'Revenue Assumptions'!J157*(1+Inputs!$E$165)</f>
        <v>0</v>
      </c>
      <c r="L157" s="465">
        <f>'Revenue Assumptions'!K157*(1+Inputs!$E$165)</f>
        <v>0</v>
      </c>
      <c r="M157" s="465">
        <f>'Revenue Assumptions'!L157*(1+Inputs!$E$165)</f>
        <v>0</v>
      </c>
      <c r="N157" s="465">
        <f>'Revenue Assumptions'!M157*(1+Inputs!$E$165)</f>
        <v>0</v>
      </c>
      <c r="O157" s="465">
        <f>'Revenue Assumptions'!N157*(1+Inputs!$E$165)</f>
        <v>0</v>
      </c>
      <c r="P157" s="111"/>
    </row>
    <row r="158" spans="1:16" x14ac:dyDescent="0.35">
      <c r="A158" s="111"/>
      <c r="B158" s="117">
        <v>11</v>
      </c>
      <c r="C158" s="115" t="s">
        <v>1395</v>
      </c>
      <c r="D158" s="16">
        <v>0</v>
      </c>
      <c r="E158" s="111"/>
      <c r="F158" s="465">
        <f>D158*'Calendar Assumptions'!G67</f>
        <v>0</v>
      </c>
      <c r="G158" s="465">
        <f>D158*'Calendar Assumptions'!H67*(1+Inputs!$E$165)</f>
        <v>0</v>
      </c>
      <c r="H158" s="465">
        <f>D158*'Calendar Assumptions'!I67*(1+Inputs!$E$165)</f>
        <v>0</v>
      </c>
      <c r="I158" s="465">
        <f>D158*'Calendar Assumptions'!J67*(1+Inputs!$E$165)</f>
        <v>0</v>
      </c>
      <c r="J158" s="465">
        <f>'Revenue Assumptions'!I158*(1+Inputs!$E$165)</f>
        <v>0</v>
      </c>
      <c r="K158" s="465">
        <f>'Revenue Assumptions'!J158*(1+Inputs!$E$165)</f>
        <v>0</v>
      </c>
      <c r="L158" s="465">
        <f>'Revenue Assumptions'!K158*(1+Inputs!$E$165)</f>
        <v>0</v>
      </c>
      <c r="M158" s="465">
        <f>'Revenue Assumptions'!L158*(1+Inputs!$E$165)</f>
        <v>0</v>
      </c>
      <c r="N158" s="465">
        <f>'Revenue Assumptions'!M158*(1+Inputs!$E$165)</f>
        <v>0</v>
      </c>
      <c r="O158" s="465">
        <f>'Revenue Assumptions'!N158*(1+Inputs!$E$165)</f>
        <v>0</v>
      </c>
      <c r="P158" s="111"/>
    </row>
    <row r="159" spans="1:16" ht="13" customHeight="1" x14ac:dyDescent="0.35">
      <c r="A159" s="111"/>
      <c r="B159" s="113"/>
      <c r="C159" s="111" t="s">
        <v>416</v>
      </c>
      <c r="D159" s="111"/>
      <c r="E159" s="111"/>
      <c r="F159" s="469">
        <f t="shared" ref="F159:O159" si="23">SUM(F148:F158)</f>
        <v>106115.40000000001</v>
      </c>
      <c r="G159" s="469">
        <f t="shared" si="23"/>
        <v>111570.93900000001</v>
      </c>
      <c r="H159" s="469">
        <f t="shared" si="23"/>
        <v>119583</v>
      </c>
      <c r="I159" s="469">
        <f t="shared" si="23"/>
        <v>119583</v>
      </c>
      <c r="J159" s="469">
        <f t="shared" si="23"/>
        <v>123170.49</v>
      </c>
      <c r="K159" s="469">
        <f t="shared" si="23"/>
        <v>126865.60470000001</v>
      </c>
      <c r="L159" s="469">
        <f t="shared" si="23"/>
        <v>130671.57284100002</v>
      </c>
      <c r="M159" s="469">
        <f t="shared" si="23"/>
        <v>134591.72002623003</v>
      </c>
      <c r="N159" s="469">
        <f t="shared" si="23"/>
        <v>138629.4716270169</v>
      </c>
      <c r="O159" s="469">
        <f t="shared" si="23"/>
        <v>142788.35577582745</v>
      </c>
      <c r="P159" s="104"/>
    </row>
    <row r="160" spans="1:16" x14ac:dyDescent="0.35">
      <c r="A160" s="111"/>
      <c r="B160" s="113"/>
      <c r="C160" s="111"/>
      <c r="D160" s="111"/>
      <c r="E160" s="111"/>
      <c r="F160" s="466"/>
      <c r="G160" s="466"/>
      <c r="H160" s="466"/>
      <c r="I160" s="466"/>
      <c r="J160" s="466"/>
      <c r="K160" s="466"/>
      <c r="L160" s="466"/>
      <c r="M160" s="466"/>
      <c r="N160" s="466"/>
      <c r="O160" s="466"/>
      <c r="P160" s="111"/>
    </row>
    <row r="161" spans="1:16" x14ac:dyDescent="0.35">
      <c r="A161" s="111"/>
      <c r="B161" s="113"/>
      <c r="C161" s="111"/>
      <c r="D161" s="111"/>
      <c r="E161" s="111"/>
      <c r="F161" s="466"/>
      <c r="G161" s="466"/>
      <c r="H161" s="466"/>
      <c r="I161" s="466"/>
      <c r="J161" s="466"/>
      <c r="K161" s="466"/>
      <c r="L161" s="466"/>
      <c r="M161" s="466"/>
      <c r="N161" s="466"/>
      <c r="O161" s="466"/>
      <c r="P161" s="111"/>
    </row>
    <row r="162" spans="1:16" x14ac:dyDescent="0.35">
      <c r="A162" s="111"/>
      <c r="B162" s="113"/>
      <c r="C162" s="111"/>
      <c r="D162" s="111"/>
      <c r="E162" s="111"/>
      <c r="F162" s="466"/>
      <c r="G162" s="466"/>
      <c r="H162" s="466"/>
      <c r="I162" s="466"/>
      <c r="J162" s="466"/>
      <c r="K162" s="466"/>
      <c r="L162" s="466"/>
      <c r="M162" s="466"/>
      <c r="N162" s="466"/>
      <c r="O162" s="466"/>
      <c r="P162" s="111"/>
    </row>
    <row r="163" spans="1:16" x14ac:dyDescent="0.35">
      <c r="A163" s="111"/>
      <c r="B163" s="113"/>
      <c r="C163" s="111"/>
      <c r="D163" s="111"/>
      <c r="E163" s="111"/>
      <c r="F163" s="466"/>
      <c r="G163" s="466"/>
      <c r="H163" s="466"/>
      <c r="I163" s="466"/>
      <c r="J163" s="466"/>
      <c r="K163" s="466"/>
      <c r="L163" s="466"/>
      <c r="M163" s="466"/>
      <c r="N163" s="466"/>
      <c r="O163" s="466"/>
      <c r="P163" s="111"/>
    </row>
    <row r="164" spans="1:16" x14ac:dyDescent="0.35">
      <c r="A164" s="111"/>
      <c r="B164" s="111"/>
      <c r="C164" s="111"/>
      <c r="D164" s="104" t="s">
        <v>15</v>
      </c>
      <c r="E164" s="111"/>
      <c r="F164" s="470" t="str">
        <f>'P&amp;L'!J6</f>
        <v>FY27</v>
      </c>
      <c r="G164" s="470" t="str">
        <f>'P&amp;L'!K6</f>
        <v>FY28</v>
      </c>
      <c r="H164" s="470" t="str">
        <f>'P&amp;L'!L6</f>
        <v>FY29</v>
      </c>
      <c r="I164" s="470" t="str">
        <f>'P&amp;L'!M6</f>
        <v>FY30</v>
      </c>
      <c r="J164" s="470" t="str">
        <f>'P&amp;L'!N6</f>
        <v>FY31</v>
      </c>
      <c r="K164" s="470" t="str">
        <f>'P&amp;L'!O6</f>
        <v>FY32</v>
      </c>
      <c r="L164" s="470" t="str">
        <f>'P&amp;L'!P6</f>
        <v>FY33</v>
      </c>
      <c r="M164" s="470" t="str">
        <f>'P&amp;L'!Q6</f>
        <v>FY34</v>
      </c>
      <c r="N164" s="470" t="str">
        <f>'P&amp;L'!R6</f>
        <v>FY35</v>
      </c>
      <c r="O164" s="470" t="str">
        <f>'P&amp;L'!S6</f>
        <v>FY36</v>
      </c>
      <c r="P164" s="111"/>
    </row>
    <row r="165" spans="1:16" x14ac:dyDescent="0.35">
      <c r="A165" s="111"/>
      <c r="B165" s="115" t="s">
        <v>1404</v>
      </c>
      <c r="C165" s="111"/>
      <c r="D165" s="104" t="s">
        <v>1405</v>
      </c>
      <c r="E165" s="111"/>
      <c r="F165" s="117">
        <f t="shared" ref="F165:O165" si="24">F146</f>
        <v>2027</v>
      </c>
      <c r="G165" s="117">
        <f t="shared" si="24"/>
        <v>2028</v>
      </c>
      <c r="H165" s="117">
        <f t="shared" si="24"/>
        <v>2029</v>
      </c>
      <c r="I165" s="117">
        <f t="shared" si="24"/>
        <v>2030</v>
      </c>
      <c r="J165" s="117">
        <f t="shared" si="24"/>
        <v>2031</v>
      </c>
      <c r="K165" s="117">
        <f t="shared" si="24"/>
        <v>2032</v>
      </c>
      <c r="L165" s="117">
        <f t="shared" si="24"/>
        <v>2033</v>
      </c>
      <c r="M165" s="117">
        <f t="shared" si="24"/>
        <v>2034</v>
      </c>
      <c r="N165" s="117">
        <f t="shared" si="24"/>
        <v>2035</v>
      </c>
      <c r="O165" s="117">
        <f t="shared" si="24"/>
        <v>2036</v>
      </c>
      <c r="P165" s="104" t="s">
        <v>1222</v>
      </c>
    </row>
    <row r="166" spans="1:16" x14ac:dyDescent="0.35">
      <c r="A166" s="111"/>
      <c r="B166" s="111"/>
      <c r="C166" s="111"/>
      <c r="D166" s="111"/>
      <c r="E166" s="111"/>
      <c r="F166" s="111"/>
      <c r="G166" s="111"/>
      <c r="H166" s="111"/>
      <c r="I166" s="111"/>
      <c r="J166" s="111"/>
      <c r="K166" s="111"/>
      <c r="L166" s="111"/>
      <c r="M166" s="111"/>
      <c r="N166" s="111"/>
      <c r="O166" s="111"/>
      <c r="P166" s="111"/>
    </row>
    <row r="167" spans="1:16" x14ac:dyDescent="0.35">
      <c r="A167" s="111"/>
      <c r="B167" s="111"/>
      <c r="C167" s="115" t="s">
        <v>1406</v>
      </c>
      <c r="D167" s="463">
        <f>Inputs!E170</f>
        <v>600000</v>
      </c>
      <c r="E167" s="111"/>
      <c r="F167" s="465">
        <f t="shared" ref="F167:F174" si="25">D167*0.8</f>
        <v>480000</v>
      </c>
      <c r="G167" s="465">
        <f>D167*(1+Inputs!$E$181)</f>
        <v>615000</v>
      </c>
      <c r="H167" s="465">
        <f>G167*(1+Inputs!$E$181)</f>
        <v>630375</v>
      </c>
      <c r="I167" s="465">
        <f>H167*(1+Inputs!$E$181)</f>
        <v>646134.375</v>
      </c>
      <c r="J167" s="465">
        <f>I167*(1+Inputs!$E$181)</f>
        <v>662287.734375</v>
      </c>
      <c r="K167" s="465">
        <f>J167*(1+Inputs!$E$181)</f>
        <v>678844.92773437488</v>
      </c>
      <c r="L167" s="465">
        <f>K167*(1+Inputs!$E$181)</f>
        <v>695816.05092773424</v>
      </c>
      <c r="M167" s="465">
        <f>L167*(1+Inputs!$E$181)</f>
        <v>713211.45220092754</v>
      </c>
      <c r="N167" s="465">
        <f>M167*(1+Inputs!$E$181)</f>
        <v>731041.73850595066</v>
      </c>
      <c r="O167" s="465">
        <f>N167*(1+Inputs!$E$181)</f>
        <v>749317.78196859942</v>
      </c>
      <c r="P167" s="465">
        <f>(F167+G167+H167)*Inputs!$F$95</f>
        <v>0</v>
      </c>
    </row>
    <row r="168" spans="1:16" x14ac:dyDescent="0.35">
      <c r="A168" s="111"/>
      <c r="B168" s="111"/>
      <c r="C168" s="115" t="s">
        <v>641</v>
      </c>
      <c r="D168" s="463">
        <f>Inputs!E171</f>
        <v>150000</v>
      </c>
      <c r="E168" s="111"/>
      <c r="F168" s="465">
        <f t="shared" si="25"/>
        <v>120000</v>
      </c>
      <c r="G168" s="465">
        <f>D168*(1+Inputs!$E$181)</f>
        <v>153750</v>
      </c>
      <c r="H168" s="465">
        <f>G168*(1+Inputs!$E$181)</f>
        <v>157593.75</v>
      </c>
      <c r="I168" s="465">
        <f>H168*(1+Inputs!$E$181)</f>
        <v>161533.59375</v>
      </c>
      <c r="J168" s="465">
        <f>I168*(1+Inputs!$E$181)</f>
        <v>165571.93359375</v>
      </c>
      <c r="K168" s="465">
        <f>J168*(1+Inputs!$E$181)</f>
        <v>169711.23193359372</v>
      </c>
      <c r="L168" s="465">
        <f>K168*(1+Inputs!$E$181)</f>
        <v>173954.01273193356</v>
      </c>
      <c r="M168" s="465">
        <f>L168*(1+Inputs!$E$181)</f>
        <v>178302.86305023188</v>
      </c>
      <c r="N168" s="465">
        <f>M168*(1+Inputs!$E$181)</f>
        <v>182760.43462648767</v>
      </c>
      <c r="O168" s="465">
        <f>N168*(1+Inputs!$E$181)</f>
        <v>187329.44549214985</v>
      </c>
      <c r="P168" s="465">
        <f>(F168+G168+H168)*Inputs!$F$95</f>
        <v>0</v>
      </c>
    </row>
    <row r="169" spans="1:16" x14ac:dyDescent="0.35">
      <c r="A169" s="111"/>
      <c r="B169" s="111"/>
      <c r="C169" s="115" t="s">
        <v>1407</v>
      </c>
      <c r="D169" s="471">
        <f>Inputs!E172</f>
        <v>150000</v>
      </c>
      <c r="E169" s="111"/>
      <c r="F169" s="465">
        <f t="shared" si="25"/>
        <v>120000</v>
      </c>
      <c r="G169" s="465">
        <f>D169*(1+Inputs!$E$181)</f>
        <v>153750</v>
      </c>
      <c r="H169" s="465">
        <f>G169*(1+Inputs!$E$181)</f>
        <v>157593.75</v>
      </c>
      <c r="I169" s="465">
        <f>H169*(1+Inputs!$E$181)</f>
        <v>161533.59375</v>
      </c>
      <c r="J169" s="465">
        <f>I169*(1+Inputs!$E$181)</f>
        <v>165571.93359375</v>
      </c>
      <c r="K169" s="465">
        <f>J169*(1+Inputs!$E$181)</f>
        <v>169711.23193359372</v>
      </c>
      <c r="L169" s="465">
        <f>K169*(1+Inputs!$E$181)</f>
        <v>173954.01273193356</v>
      </c>
      <c r="M169" s="465">
        <f>L169*(1+Inputs!$E$181)</f>
        <v>178302.86305023188</v>
      </c>
      <c r="N169" s="465">
        <f>M169*(1+Inputs!$E$181)</f>
        <v>182760.43462648767</v>
      </c>
      <c r="O169" s="465">
        <f>N169*(1+Inputs!$E$181)</f>
        <v>187329.44549214985</v>
      </c>
      <c r="P169" s="465">
        <f>(F169+G169+H169)*Inputs!$F$95</f>
        <v>0</v>
      </c>
    </row>
    <row r="170" spans="1:16" x14ac:dyDescent="0.35">
      <c r="A170" s="111"/>
      <c r="B170" s="111"/>
      <c r="C170" s="115" t="s">
        <v>1408</v>
      </c>
      <c r="D170" s="471">
        <f>Inputs!$E$173</f>
        <v>100000</v>
      </c>
      <c r="E170" s="111"/>
      <c r="F170" s="465">
        <f t="shared" si="25"/>
        <v>80000</v>
      </c>
      <c r="G170" s="465">
        <f>D170*(1+Inputs!$E$181)</f>
        <v>102499.99999999999</v>
      </c>
      <c r="H170" s="465">
        <f>G170*(1+Inputs!$E$181)</f>
        <v>105062.49999999997</v>
      </c>
      <c r="I170" s="465">
        <f>H170*(1+Inputs!$E$181)</f>
        <v>107689.06249999996</v>
      </c>
      <c r="J170" s="465">
        <f>I170*(1+Inputs!$E$181)</f>
        <v>110381.28906249994</v>
      </c>
      <c r="K170" s="465">
        <f>J170*(1+Inputs!$E$181)</f>
        <v>113140.82128906243</v>
      </c>
      <c r="L170" s="465">
        <f>K170*(1+Inputs!$E$181)</f>
        <v>115969.34182128898</v>
      </c>
      <c r="M170" s="465">
        <f>L170*(1+Inputs!$E$181)</f>
        <v>118868.5753668212</v>
      </c>
      <c r="N170" s="465">
        <f>M170*(1+Inputs!$E$181)</f>
        <v>121840.28975099172</v>
      </c>
      <c r="O170" s="465">
        <f>N170*(1+Inputs!$E$181)</f>
        <v>124886.29699476651</v>
      </c>
      <c r="P170" s="465">
        <f>(F170+G170+H170)*Inputs!$F$95</f>
        <v>0</v>
      </c>
    </row>
    <row r="171" spans="1:16" x14ac:dyDescent="0.35">
      <c r="A171" s="111"/>
      <c r="B171" s="111"/>
      <c r="C171" s="115" t="s">
        <v>1409</v>
      </c>
      <c r="D171" s="471">
        <f>Inputs!E174</f>
        <v>50000</v>
      </c>
      <c r="E171" s="111"/>
      <c r="F171" s="465">
        <f t="shared" si="25"/>
        <v>40000</v>
      </c>
      <c r="G171" s="465">
        <f>D171*(1+Inputs!$E$181)</f>
        <v>51249.999999999993</v>
      </c>
      <c r="H171" s="465">
        <f>G171*(1+Inputs!$E$181)</f>
        <v>52531.249999999985</v>
      </c>
      <c r="I171" s="465">
        <f>H171*(1+Inputs!$E$181)</f>
        <v>53844.531249999978</v>
      </c>
      <c r="J171" s="465">
        <f>I171*(1+Inputs!$E$181)</f>
        <v>55190.644531249971</v>
      </c>
      <c r="K171" s="465">
        <f>J171*(1+Inputs!$E$181)</f>
        <v>56570.410644531214</v>
      </c>
      <c r="L171" s="465">
        <f>K171*(1+Inputs!$E$181)</f>
        <v>57984.670910644491</v>
      </c>
      <c r="M171" s="465">
        <f>L171*(1+Inputs!$E$181)</f>
        <v>59434.287683410599</v>
      </c>
      <c r="N171" s="465">
        <f>M171*(1+Inputs!$E$181)</f>
        <v>60920.144875495862</v>
      </c>
      <c r="O171" s="465">
        <f>N171*(1+Inputs!$E$181)</f>
        <v>62443.148497383256</v>
      </c>
      <c r="P171" s="465">
        <f>(F171+G171+H171)*Inputs!$F$95</f>
        <v>0</v>
      </c>
    </row>
    <row r="172" spans="1:16" x14ac:dyDescent="0.35">
      <c r="A172" s="111"/>
      <c r="B172" s="111"/>
      <c r="C172" s="115" t="s">
        <v>1410</v>
      </c>
      <c r="D172" s="471">
        <f>Inputs!E175</f>
        <v>350000</v>
      </c>
      <c r="E172" s="111"/>
      <c r="F172" s="465">
        <f t="shared" si="25"/>
        <v>280000</v>
      </c>
      <c r="G172" s="465">
        <f>D172*(1+Inputs!$E$181)</f>
        <v>358749.99999999994</v>
      </c>
      <c r="H172" s="465">
        <f>G172*(1+Inputs!$E$181)</f>
        <v>367718.74999999988</v>
      </c>
      <c r="I172" s="465">
        <f>H172*(1+Inputs!$E$181)</f>
        <v>376911.71874999983</v>
      </c>
      <c r="J172" s="465">
        <f>I172*(1+Inputs!$E$181)</f>
        <v>386334.51171874977</v>
      </c>
      <c r="K172" s="465">
        <f>J172*(1+Inputs!$E$181)</f>
        <v>395992.87451171846</v>
      </c>
      <c r="L172" s="465">
        <f>K172*(1+Inputs!$E$181)</f>
        <v>405892.6963745114</v>
      </c>
      <c r="M172" s="465">
        <f>L172*(1+Inputs!$E$181)</f>
        <v>416040.01378387416</v>
      </c>
      <c r="N172" s="465">
        <f>M172*(1+Inputs!$E$181)</f>
        <v>426441.01412847097</v>
      </c>
      <c r="O172" s="465">
        <f>N172*(1+Inputs!$E$181)</f>
        <v>437102.0394816827</v>
      </c>
      <c r="P172" s="465">
        <f>(F172+G172+H172)*Inputs!$F$95</f>
        <v>0</v>
      </c>
    </row>
    <row r="173" spans="1:16" x14ac:dyDescent="0.35">
      <c r="A173" s="111"/>
      <c r="B173" s="111"/>
      <c r="C173" s="115" t="s">
        <v>1411</v>
      </c>
      <c r="D173" s="471">
        <f>Inputs!E176</f>
        <v>250000</v>
      </c>
      <c r="E173" s="111"/>
      <c r="F173" s="465">
        <f t="shared" si="25"/>
        <v>200000</v>
      </c>
      <c r="G173" s="465">
        <f>D173*(1+Inputs!$E$181)</f>
        <v>256249.99999999997</v>
      </c>
      <c r="H173" s="465">
        <f>G173*(1+Inputs!$E$181)</f>
        <v>262656.24999999994</v>
      </c>
      <c r="I173" s="465">
        <f>H173*(1+Inputs!$E$181)</f>
        <v>269222.65624999994</v>
      </c>
      <c r="J173" s="465">
        <f>I173*(1+Inputs!$E$181)</f>
        <v>275953.22265624994</v>
      </c>
      <c r="K173" s="465">
        <f>J173*(1+Inputs!$E$181)</f>
        <v>282852.05322265619</v>
      </c>
      <c r="L173" s="465">
        <f>K173*(1+Inputs!$E$181)</f>
        <v>289923.3545532226</v>
      </c>
      <c r="M173" s="465">
        <f>L173*(1+Inputs!$E$181)</f>
        <v>297171.43841705314</v>
      </c>
      <c r="N173" s="465">
        <f>M173*(1+Inputs!$E$181)</f>
        <v>304600.72437747946</v>
      </c>
      <c r="O173" s="465">
        <f>N173*(1+Inputs!$E$181)</f>
        <v>312215.74248691642</v>
      </c>
      <c r="P173" s="465">
        <f>(F173+G173+H173)*Inputs!$F$95</f>
        <v>0</v>
      </c>
    </row>
    <row r="174" spans="1:16" x14ac:dyDescent="0.35">
      <c r="A174" s="111"/>
      <c r="B174" s="111"/>
      <c r="C174" s="115" t="s">
        <v>1412</v>
      </c>
      <c r="D174" s="471">
        <f>Inputs!E177</f>
        <v>200000</v>
      </c>
      <c r="E174" s="111"/>
      <c r="F174" s="465">
        <f t="shared" si="25"/>
        <v>160000</v>
      </c>
      <c r="G174" s="465">
        <f>D174*(1+Inputs!$E$181)</f>
        <v>204999.99999999997</v>
      </c>
      <c r="H174" s="465">
        <f>G174*(1+Inputs!$E$181)</f>
        <v>210124.99999999994</v>
      </c>
      <c r="I174" s="465">
        <f>H174*(1+Inputs!$E$181)</f>
        <v>215378.12499999991</v>
      </c>
      <c r="J174" s="465">
        <f>I174*(1+Inputs!$E$181)</f>
        <v>220762.57812499988</v>
      </c>
      <c r="K174" s="465">
        <f>J174*(1+Inputs!$E$181)</f>
        <v>226281.64257812485</v>
      </c>
      <c r="L174" s="465">
        <f>K174*(1+Inputs!$E$181)</f>
        <v>231938.68364257796</v>
      </c>
      <c r="M174" s="465">
        <f>L174*(1+Inputs!$E$181)</f>
        <v>237737.1507336424</v>
      </c>
      <c r="N174" s="465">
        <f>M174*(1+Inputs!$E$181)</f>
        <v>243680.57950198345</v>
      </c>
      <c r="O174" s="465">
        <f>N174*(1+Inputs!$E$181)</f>
        <v>249772.59398953302</v>
      </c>
      <c r="P174" s="465">
        <f>(F174+G174+H174)*Inputs!$F$95</f>
        <v>0</v>
      </c>
    </row>
    <row r="175" spans="1:16" x14ac:dyDescent="0.35">
      <c r="A175" s="111"/>
      <c r="B175" s="111"/>
      <c r="C175" s="104" t="s">
        <v>416</v>
      </c>
      <c r="D175" s="471">
        <f>SUM(D167:D174)</f>
        <v>1850000</v>
      </c>
      <c r="E175" s="111"/>
      <c r="F175" s="465">
        <f t="shared" ref="F175:O175" si="26">SUM(F167:F174)</f>
        <v>1480000</v>
      </c>
      <c r="G175" s="465">
        <f t="shared" si="26"/>
        <v>1896250</v>
      </c>
      <c r="H175" s="465">
        <f t="shared" si="26"/>
        <v>1943656.25</v>
      </c>
      <c r="I175" s="465">
        <f t="shared" si="26"/>
        <v>1992247.6562499998</v>
      </c>
      <c r="J175" s="465">
        <f t="shared" si="26"/>
        <v>2042053.8476562495</v>
      </c>
      <c r="K175" s="465">
        <f t="shared" si="26"/>
        <v>2093105.1938476556</v>
      </c>
      <c r="L175" s="465">
        <f t="shared" si="26"/>
        <v>2145432.8236938468</v>
      </c>
      <c r="M175" s="465">
        <f t="shared" si="26"/>
        <v>2199068.644286193</v>
      </c>
      <c r="N175" s="465">
        <f t="shared" si="26"/>
        <v>2254045.3603933472</v>
      </c>
      <c r="O175" s="465">
        <f t="shared" si="26"/>
        <v>2310396.4944031811</v>
      </c>
      <c r="P175" s="465">
        <f>O175</f>
        <v>2310396.4944031811</v>
      </c>
    </row>
    <row r="176" spans="1:16" ht="14.5" customHeight="1" x14ac:dyDescent="0.35">
      <c r="A176" s="111"/>
      <c r="B176" s="111"/>
      <c r="C176" s="104"/>
      <c r="D176" s="111"/>
      <c r="E176" s="466"/>
      <c r="F176" s="466"/>
      <c r="G176" s="466"/>
      <c r="H176" s="466"/>
      <c r="I176" s="466"/>
      <c r="J176" s="466"/>
      <c r="K176" s="466"/>
      <c r="L176" s="466"/>
      <c r="M176" s="466"/>
      <c r="N176" s="466"/>
      <c r="O176" s="466"/>
      <c r="P176" s="111"/>
    </row>
    <row r="177" spans="1:16" ht="14.5" customHeight="1" x14ac:dyDescent="0.35">
      <c r="A177" s="111"/>
      <c r="B177" s="111"/>
      <c r="C177" s="104"/>
      <c r="D177" s="111"/>
      <c r="E177" s="466"/>
      <c r="F177" s="466"/>
      <c r="G177" s="466"/>
      <c r="H177" s="466"/>
      <c r="I177" s="466"/>
      <c r="J177" s="466"/>
      <c r="K177" s="466"/>
      <c r="L177" s="466"/>
      <c r="M177" s="466"/>
      <c r="N177" s="466"/>
      <c r="O177" s="466"/>
      <c r="P177" s="111"/>
    </row>
    <row r="178" spans="1:16" ht="14.5" customHeight="1" x14ac:dyDescent="0.35">
      <c r="A178" s="111"/>
      <c r="B178" s="111"/>
      <c r="C178" s="104"/>
      <c r="D178" s="111"/>
      <c r="E178" s="466"/>
      <c r="F178" s="466"/>
      <c r="G178" s="466"/>
      <c r="H178" s="466"/>
      <c r="I178" s="466"/>
      <c r="J178" s="466"/>
      <c r="K178" s="466"/>
      <c r="L178" s="466"/>
      <c r="M178" s="466"/>
      <c r="N178" s="466"/>
      <c r="O178" s="466"/>
      <c r="P178" s="111"/>
    </row>
    <row r="179" spans="1:16" x14ac:dyDescent="0.35">
      <c r="A179" s="111"/>
      <c r="B179" s="111"/>
      <c r="C179" s="111"/>
      <c r="D179" s="111"/>
      <c r="E179" s="104"/>
      <c r="F179" s="119" t="str">
        <f>'P&amp;L'!J6</f>
        <v>FY27</v>
      </c>
      <c r="G179" s="119" t="str">
        <f>'P&amp;L'!K6</f>
        <v>FY28</v>
      </c>
      <c r="H179" s="119" t="str">
        <f>'P&amp;L'!L6</f>
        <v>FY29</v>
      </c>
      <c r="I179" s="119" t="str">
        <f>'P&amp;L'!M6</f>
        <v>FY30</v>
      </c>
      <c r="J179" s="119" t="str">
        <f>'P&amp;L'!N6</f>
        <v>FY31</v>
      </c>
      <c r="K179" s="119" t="str">
        <f>'P&amp;L'!O6</f>
        <v>FY32</v>
      </c>
      <c r="L179" s="119" t="str">
        <f>'P&amp;L'!P6</f>
        <v>FY33</v>
      </c>
      <c r="M179" s="119" t="str">
        <f>'P&amp;L'!Q6</f>
        <v>FY34</v>
      </c>
      <c r="N179" s="119" t="str">
        <f>'P&amp;L'!R6</f>
        <v>FY35</v>
      </c>
      <c r="O179" s="119" t="str">
        <f>'P&amp;L'!S6</f>
        <v>FY36</v>
      </c>
      <c r="P179" s="111"/>
    </row>
    <row r="180" spans="1:16" x14ac:dyDescent="0.35">
      <c r="A180" s="111"/>
      <c r="B180" s="111"/>
      <c r="C180" s="115" t="s">
        <v>1404</v>
      </c>
      <c r="D180" s="111"/>
      <c r="E180" s="104"/>
      <c r="F180" s="117">
        <v>2027</v>
      </c>
      <c r="G180" s="117">
        <v>2028</v>
      </c>
      <c r="H180" s="117">
        <v>2029</v>
      </c>
      <c r="I180" s="117">
        <v>2030</v>
      </c>
      <c r="J180" s="117">
        <v>2031</v>
      </c>
      <c r="K180" s="117">
        <v>2032</v>
      </c>
      <c r="L180" s="117">
        <v>2033</v>
      </c>
      <c r="M180" s="117">
        <v>2034</v>
      </c>
      <c r="N180" s="117">
        <v>2035</v>
      </c>
      <c r="O180" s="117">
        <v>2036</v>
      </c>
      <c r="P180" s="111"/>
    </row>
    <row r="181" spans="1:16" x14ac:dyDescent="0.35">
      <c r="A181" s="111"/>
      <c r="B181" s="111"/>
      <c r="C181" s="115" t="s">
        <v>1413</v>
      </c>
      <c r="D181" s="471">
        <f>Inputs!$E$178</f>
        <v>375000</v>
      </c>
      <c r="E181" s="111"/>
      <c r="F181" s="465">
        <f>D181*0.8</f>
        <v>300000</v>
      </c>
      <c r="G181" s="465">
        <f>D181*(1+Inputs!$E$181)</f>
        <v>384374.99999999994</v>
      </c>
      <c r="H181" s="465">
        <f>G181*(1+Inputs!$E$181)</f>
        <v>393984.37499999988</v>
      </c>
      <c r="I181" s="465">
        <f>H181*(1+Inputs!$E$181)</f>
        <v>403833.98437499983</v>
      </c>
      <c r="J181" s="465">
        <f>I181*(1+Inputs!$E$181)</f>
        <v>413929.83398437477</v>
      </c>
      <c r="K181" s="465">
        <f>J181*(1+Inputs!$E$181)</f>
        <v>424278.07983398408</v>
      </c>
      <c r="L181" s="465">
        <f>K181*(1+Inputs!$E$181)</f>
        <v>434885.03182983364</v>
      </c>
      <c r="M181" s="465">
        <f>L181*(1+Inputs!$E$181)</f>
        <v>445757.15762557945</v>
      </c>
      <c r="N181" s="465">
        <f>M181*(1+Inputs!$E$181)</f>
        <v>456901.08656621887</v>
      </c>
      <c r="O181" s="465">
        <f>N181*(1+Inputs!$E$181)</f>
        <v>468323.61373037432</v>
      </c>
      <c r="P181" s="465"/>
    </row>
    <row r="182" spans="1:16" x14ac:dyDescent="0.35">
      <c r="A182" s="111"/>
      <c r="B182" s="111"/>
      <c r="C182" s="115" t="s">
        <v>1414</v>
      </c>
      <c r="D182" s="471">
        <f>Inputs!$E$179</f>
        <v>200000</v>
      </c>
      <c r="E182" s="111"/>
      <c r="F182" s="465">
        <f>0</f>
        <v>0</v>
      </c>
      <c r="G182" s="465">
        <f>D182*(1+Inputs!$E$181)</f>
        <v>204999.99999999997</v>
      </c>
      <c r="H182" s="465">
        <f>G182*(1+Inputs!$E$181)</f>
        <v>210124.99999999994</v>
      </c>
      <c r="I182" s="465">
        <f>H182*(1+Inputs!$E$181)</f>
        <v>215378.12499999991</v>
      </c>
      <c r="J182" s="465">
        <f>I182*(1+Inputs!$E$181)</f>
        <v>220762.57812499988</v>
      </c>
      <c r="K182" s="465">
        <f>J182*(1+Inputs!$E$181)</f>
        <v>226281.64257812485</v>
      </c>
      <c r="L182" s="465">
        <f>K182*(1+Inputs!$E$181)</f>
        <v>231938.68364257796</v>
      </c>
      <c r="M182" s="465">
        <f>L182*(1+Inputs!$E$181)</f>
        <v>237737.1507336424</v>
      </c>
      <c r="N182" s="465">
        <f>M182*(1+Inputs!$E$181)</f>
        <v>243680.57950198345</v>
      </c>
      <c r="O182" s="465">
        <f>N182*(1+Inputs!$E$181)</f>
        <v>249772.59398953302</v>
      </c>
      <c r="P182" s="465"/>
    </row>
    <row r="183" spans="1:16" x14ac:dyDescent="0.35">
      <c r="A183" s="111"/>
      <c r="B183" s="111"/>
      <c r="C183" s="111" t="s">
        <v>416</v>
      </c>
      <c r="D183" s="471">
        <f>SUM(D181:D182)</f>
        <v>575000</v>
      </c>
      <c r="E183" s="111"/>
      <c r="F183" s="465">
        <f t="shared" ref="F183:O183" si="27">SUM(F181:F182)</f>
        <v>300000</v>
      </c>
      <c r="G183" s="465">
        <f t="shared" si="27"/>
        <v>589374.99999999988</v>
      </c>
      <c r="H183" s="465">
        <f t="shared" si="27"/>
        <v>604109.37499999977</v>
      </c>
      <c r="I183" s="465">
        <f t="shared" si="27"/>
        <v>619212.10937499977</v>
      </c>
      <c r="J183" s="465">
        <f t="shared" si="27"/>
        <v>634692.41210937465</v>
      </c>
      <c r="K183" s="465">
        <f t="shared" si="27"/>
        <v>650559.72241210891</v>
      </c>
      <c r="L183" s="465">
        <f t="shared" si="27"/>
        <v>666823.7154724116</v>
      </c>
      <c r="M183" s="465">
        <f t="shared" si="27"/>
        <v>683494.30835922179</v>
      </c>
      <c r="N183" s="465">
        <f t="shared" si="27"/>
        <v>700581.66606820235</v>
      </c>
      <c r="O183" s="465">
        <f t="shared" si="27"/>
        <v>718096.2077199074</v>
      </c>
      <c r="P183" s="465">
        <f>O183</f>
        <v>718096.2077199074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FF00"/>
  </sheetPr>
  <dimension ref="A1:U96"/>
  <sheetViews>
    <sheetView showGridLines="0" topLeftCell="A32" workbookViewId="0">
      <selection activeCell="I61" sqref="I61"/>
    </sheetView>
  </sheetViews>
  <sheetFormatPr defaultColWidth="8.81640625" defaultRowHeight="14.5" x14ac:dyDescent="0.35"/>
  <cols>
    <col min="1" max="1" width="34" customWidth="1"/>
    <col min="2" max="2" width="13" customWidth="1"/>
    <col min="3" max="3" width="29" customWidth="1"/>
    <col min="4" max="5" width="13" customWidth="1"/>
    <col min="6" max="6" width="12.453125" bestFit="1" customWidth="1"/>
    <col min="7" max="8" width="14.1796875" bestFit="1" customWidth="1"/>
    <col min="9" max="9" width="13.1796875" customWidth="1"/>
    <col min="10" max="10" width="14.1796875" bestFit="1" customWidth="1"/>
    <col min="11" max="15" width="13" customWidth="1"/>
    <col min="16" max="16" width="14.81640625" customWidth="1"/>
    <col min="17" max="64" width="13" customWidth="1"/>
    <col min="65" max="72" width="8.81640625" customWidth="1"/>
  </cols>
  <sheetData>
    <row r="1" spans="1:21" ht="24" customHeight="1" x14ac:dyDescent="0.5">
      <c r="A1" s="61" t="s">
        <v>1415</v>
      </c>
      <c r="B1" s="61"/>
      <c r="C1" s="61"/>
      <c r="D1" s="61"/>
      <c r="E1" s="61"/>
      <c r="F1" s="61"/>
      <c r="G1" s="61"/>
      <c r="H1" s="61"/>
      <c r="I1" s="61"/>
      <c r="J1" s="61"/>
      <c r="K1" s="61"/>
      <c r="L1" s="61"/>
      <c r="M1" s="61"/>
      <c r="N1" s="61"/>
      <c r="O1" s="61"/>
      <c r="P1" s="61"/>
      <c r="Q1" s="61"/>
      <c r="R1" s="61"/>
      <c r="S1" s="61"/>
      <c r="T1" s="61"/>
      <c r="U1" s="331"/>
    </row>
    <row r="2" spans="1:21" ht="16.5" customHeight="1" x14ac:dyDescent="0.35">
      <c r="A2" s="62" t="s">
        <v>10</v>
      </c>
      <c r="B2" s="62"/>
      <c r="C2" s="62"/>
      <c r="D2" s="62"/>
      <c r="E2" s="62"/>
      <c r="F2" s="62"/>
      <c r="G2" s="62"/>
      <c r="H2" s="62"/>
      <c r="I2" s="62"/>
      <c r="J2" s="62"/>
      <c r="K2" s="62"/>
      <c r="L2" s="62"/>
      <c r="M2" s="62"/>
      <c r="N2" s="62"/>
      <c r="O2" s="62"/>
      <c r="P2" s="62"/>
      <c r="Q2" s="62"/>
      <c r="R2" s="62"/>
      <c r="S2" s="62"/>
      <c r="T2" s="62"/>
      <c r="U2" s="331"/>
    </row>
    <row r="3" spans="1:21" x14ac:dyDescent="0.35">
      <c r="A3" s="102"/>
      <c r="B3" s="102"/>
      <c r="C3" s="102"/>
      <c r="D3" s="102"/>
      <c r="E3" s="102"/>
      <c r="F3" s="102"/>
      <c r="G3" s="102"/>
      <c r="H3" s="102"/>
      <c r="I3" s="102"/>
      <c r="J3" s="102"/>
      <c r="K3" s="102"/>
      <c r="L3" s="102"/>
      <c r="M3" s="102"/>
      <c r="N3" s="102"/>
      <c r="O3" s="102"/>
      <c r="P3" s="102"/>
      <c r="Q3" s="102"/>
      <c r="R3" s="102"/>
      <c r="S3" s="102"/>
      <c r="T3" s="102"/>
      <c r="U3" s="102"/>
    </row>
    <row r="4" spans="1:21" x14ac:dyDescent="0.35">
      <c r="A4" s="102"/>
      <c r="B4" s="121" t="s">
        <v>1416</v>
      </c>
      <c r="C4" s="102" t="s">
        <v>681</v>
      </c>
      <c r="D4" s="102"/>
      <c r="E4" s="102"/>
      <c r="F4" s="121" t="s">
        <v>1417</v>
      </c>
      <c r="G4" s="121" t="s">
        <v>1418</v>
      </c>
      <c r="H4" s="121" t="s">
        <v>1419</v>
      </c>
      <c r="I4" s="121" t="s">
        <v>1420</v>
      </c>
      <c r="J4" s="121" t="s">
        <v>1421</v>
      </c>
      <c r="K4" s="102"/>
      <c r="L4" s="102"/>
      <c r="M4" s="102"/>
      <c r="N4" s="102"/>
      <c r="O4" s="102"/>
      <c r="P4" s="102"/>
      <c r="Q4" s="102"/>
      <c r="R4" s="102"/>
      <c r="S4" s="102"/>
      <c r="T4" s="102"/>
      <c r="U4" s="102"/>
    </row>
    <row r="5" spans="1:21" ht="14.5" customHeight="1" x14ac:dyDescent="0.35">
      <c r="A5" s="102"/>
      <c r="B5" s="122">
        <v>1</v>
      </c>
      <c r="C5" s="121" t="s">
        <v>1422</v>
      </c>
      <c r="D5" s="102"/>
      <c r="E5" s="102"/>
      <c r="F5" s="6">
        <f>Inputs!D206</f>
        <v>1</v>
      </c>
      <c r="G5" s="465">
        <f>Inputs!E206</f>
        <v>220000</v>
      </c>
      <c r="H5" s="163">
        <f>Inputs!F206</f>
        <v>0.25</v>
      </c>
      <c r="I5" s="17">
        <v>0</v>
      </c>
      <c r="J5" s="465">
        <f t="shared" ref="J5:J16" si="0">G5*H5*I5+G5*I5</f>
        <v>0</v>
      </c>
      <c r="K5" s="102"/>
      <c r="L5" s="123"/>
      <c r="M5" s="102"/>
      <c r="N5" s="102"/>
      <c r="O5" s="102"/>
      <c r="P5" s="102"/>
      <c r="Q5" s="102"/>
      <c r="R5" s="102"/>
      <c r="S5" s="102"/>
      <c r="T5" s="102"/>
      <c r="U5" s="102"/>
    </row>
    <row r="6" spans="1:21" ht="14.5" customHeight="1" x14ac:dyDescent="0.35">
      <c r="A6" s="102"/>
      <c r="B6" s="122">
        <v>2</v>
      </c>
      <c r="C6" s="121" t="s">
        <v>687</v>
      </c>
      <c r="D6" s="102"/>
      <c r="E6" s="102"/>
      <c r="F6" s="6">
        <f>Inputs!D207</f>
        <v>1</v>
      </c>
      <c r="G6" s="465">
        <f>Inputs!E207</f>
        <v>75000</v>
      </c>
      <c r="H6" s="163">
        <f>Inputs!F207</f>
        <v>0.12</v>
      </c>
      <c r="I6" s="17">
        <v>0</v>
      </c>
      <c r="J6" s="465">
        <f t="shared" si="0"/>
        <v>0</v>
      </c>
      <c r="K6" s="102"/>
      <c r="L6" s="124"/>
      <c r="M6" s="102"/>
      <c r="N6" s="102"/>
      <c r="O6" s="102"/>
      <c r="P6" s="102"/>
      <c r="Q6" s="102"/>
      <c r="R6" s="102"/>
      <c r="S6" s="102"/>
      <c r="T6" s="102"/>
      <c r="U6" s="102"/>
    </row>
    <row r="7" spans="1:21" ht="14.5" customHeight="1" x14ac:dyDescent="0.35">
      <c r="A7" s="102"/>
      <c r="B7" s="122">
        <v>3</v>
      </c>
      <c r="C7" s="121" t="s">
        <v>688</v>
      </c>
      <c r="D7" s="102"/>
      <c r="E7" s="102"/>
      <c r="F7" s="6">
        <f>Inputs!D208</f>
        <v>1</v>
      </c>
      <c r="G7" s="465">
        <f>Inputs!E208</f>
        <v>150000</v>
      </c>
      <c r="H7" s="163">
        <f>Inputs!F208</f>
        <v>0.2</v>
      </c>
      <c r="I7" s="17">
        <v>0</v>
      </c>
      <c r="J7" s="465">
        <f t="shared" si="0"/>
        <v>0</v>
      </c>
      <c r="K7" s="102"/>
      <c r="L7" s="124"/>
      <c r="M7" s="102"/>
      <c r="N7" s="102"/>
      <c r="O7" s="102"/>
      <c r="P7" s="102"/>
      <c r="Q7" s="102"/>
      <c r="R7" s="102"/>
      <c r="S7" s="102"/>
      <c r="T7" s="102"/>
      <c r="U7" s="102"/>
    </row>
    <row r="8" spans="1:21" ht="14.5" customHeight="1" x14ac:dyDescent="0.35">
      <c r="A8" s="102"/>
      <c r="B8" s="122">
        <v>4</v>
      </c>
      <c r="C8" s="121" t="s">
        <v>1423</v>
      </c>
      <c r="D8" s="102"/>
      <c r="E8" s="102"/>
      <c r="F8" s="6">
        <f>Inputs!D209</f>
        <v>1</v>
      </c>
      <c r="G8" s="465">
        <f>Inputs!E209</f>
        <v>120000</v>
      </c>
      <c r="H8" s="163">
        <f>Inputs!F209</f>
        <v>0.18</v>
      </c>
      <c r="I8" s="17">
        <v>0</v>
      </c>
      <c r="J8" s="465">
        <f t="shared" si="0"/>
        <v>0</v>
      </c>
      <c r="K8" s="102"/>
      <c r="L8" s="124"/>
      <c r="M8" s="102"/>
      <c r="N8" s="102"/>
      <c r="O8" s="102"/>
      <c r="P8" s="102"/>
      <c r="Q8" s="102"/>
      <c r="R8" s="102"/>
      <c r="S8" s="102"/>
      <c r="T8" s="102"/>
      <c r="U8" s="102"/>
    </row>
    <row r="9" spans="1:21" ht="14.5" customHeight="1" x14ac:dyDescent="0.35">
      <c r="A9" s="102"/>
      <c r="B9" s="122">
        <v>5</v>
      </c>
      <c r="C9" s="121" t="s">
        <v>690</v>
      </c>
      <c r="D9" s="102"/>
      <c r="E9" s="102"/>
      <c r="F9" s="6">
        <f>Inputs!D210</f>
        <v>1</v>
      </c>
      <c r="G9" s="465">
        <f>Inputs!E210</f>
        <v>100000</v>
      </c>
      <c r="H9" s="163">
        <f>Inputs!F210</f>
        <v>0.15</v>
      </c>
      <c r="I9" s="17">
        <v>0</v>
      </c>
      <c r="J9" s="465">
        <f t="shared" si="0"/>
        <v>0</v>
      </c>
      <c r="K9" s="102"/>
      <c r="L9" s="124"/>
      <c r="M9" s="102"/>
      <c r="N9" s="102"/>
      <c r="O9" s="102"/>
      <c r="P9" s="102"/>
      <c r="Q9" s="102"/>
      <c r="R9" s="102"/>
      <c r="S9" s="102"/>
      <c r="T9" s="102"/>
      <c r="U9" s="102"/>
    </row>
    <row r="10" spans="1:21" ht="14.5" customHeight="1" x14ac:dyDescent="0.35">
      <c r="A10" s="102"/>
      <c r="B10" s="122">
        <v>6</v>
      </c>
      <c r="C10" s="121" t="s">
        <v>691</v>
      </c>
      <c r="D10" s="102"/>
      <c r="E10" s="102"/>
      <c r="F10" s="6">
        <f>Inputs!D211</f>
        <v>1</v>
      </c>
      <c r="G10" s="465">
        <f>Inputs!E211</f>
        <v>110000</v>
      </c>
      <c r="H10" s="163">
        <f>Inputs!F211</f>
        <v>0.18</v>
      </c>
      <c r="I10" s="17">
        <v>0</v>
      </c>
      <c r="J10" s="465">
        <f t="shared" si="0"/>
        <v>0</v>
      </c>
      <c r="K10" s="102"/>
      <c r="L10" s="124"/>
      <c r="M10" s="102"/>
      <c r="N10" s="102"/>
      <c r="O10" s="102"/>
      <c r="P10" s="102"/>
      <c r="Q10" s="102"/>
      <c r="R10" s="102"/>
      <c r="S10" s="102"/>
      <c r="T10" s="102"/>
      <c r="U10" s="102"/>
    </row>
    <row r="11" spans="1:21" ht="14.5" customHeight="1" x14ac:dyDescent="0.35">
      <c r="A11" s="102"/>
      <c r="B11" s="122">
        <v>7</v>
      </c>
      <c r="C11" s="121" t="s">
        <v>692</v>
      </c>
      <c r="D11" s="102"/>
      <c r="E11" s="102"/>
      <c r="F11" s="6">
        <f>Inputs!D212</f>
        <v>4</v>
      </c>
      <c r="G11" s="465">
        <f>Inputs!E212</f>
        <v>65000</v>
      </c>
      <c r="H11" s="163">
        <f>Inputs!F212</f>
        <v>0.15</v>
      </c>
      <c r="I11" s="17">
        <v>0</v>
      </c>
      <c r="J11" s="465">
        <f t="shared" si="0"/>
        <v>0</v>
      </c>
      <c r="K11" s="102"/>
      <c r="L11" s="124"/>
      <c r="M11" s="102"/>
      <c r="N11" s="102"/>
      <c r="O11" s="102"/>
      <c r="P11" s="102"/>
      <c r="Q11" s="102"/>
      <c r="R11" s="102"/>
      <c r="S11" s="102"/>
      <c r="T11" s="102"/>
      <c r="U11" s="102"/>
    </row>
    <row r="12" spans="1:21" ht="14.5" customHeight="1" x14ac:dyDescent="0.35">
      <c r="A12" s="102"/>
      <c r="B12" s="122">
        <v>8</v>
      </c>
      <c r="C12" s="121" t="s">
        <v>1424</v>
      </c>
      <c r="D12" s="102"/>
      <c r="E12" s="102"/>
      <c r="F12" s="6">
        <f>Inputs!D213</f>
        <v>1</v>
      </c>
      <c r="G12" s="465">
        <f>Inputs!E213</f>
        <v>110000</v>
      </c>
      <c r="H12" s="163">
        <f>Inputs!F213</f>
        <v>0.18</v>
      </c>
      <c r="I12" s="17">
        <v>0</v>
      </c>
      <c r="J12" s="465">
        <f t="shared" si="0"/>
        <v>0</v>
      </c>
      <c r="K12" s="102"/>
      <c r="L12" s="124"/>
      <c r="M12" s="102"/>
      <c r="N12" s="102"/>
      <c r="O12" s="102"/>
      <c r="P12" s="102"/>
      <c r="Q12" s="102"/>
      <c r="R12" s="102"/>
      <c r="S12" s="102"/>
      <c r="T12" s="102"/>
      <c r="U12" s="102"/>
    </row>
    <row r="13" spans="1:21" ht="14.5" customHeight="1" x14ac:dyDescent="0.35">
      <c r="A13" s="102"/>
      <c r="B13" s="122">
        <v>9</v>
      </c>
      <c r="C13" s="121" t="s">
        <v>695</v>
      </c>
      <c r="D13" s="102"/>
      <c r="E13" s="102"/>
      <c r="F13" s="6">
        <f>Inputs!D214</f>
        <v>1</v>
      </c>
      <c r="G13" s="465">
        <f>Inputs!E214</f>
        <v>100000</v>
      </c>
      <c r="H13" s="163">
        <f>Inputs!F214</f>
        <v>0.18</v>
      </c>
      <c r="I13" s="17">
        <v>0</v>
      </c>
      <c r="J13" s="465">
        <f t="shared" si="0"/>
        <v>0</v>
      </c>
      <c r="K13" s="102"/>
      <c r="L13" s="124"/>
      <c r="M13" s="102"/>
      <c r="N13" s="102"/>
      <c r="O13" s="102"/>
      <c r="P13" s="102"/>
      <c r="Q13" s="102"/>
      <c r="R13" s="102"/>
      <c r="S13" s="102"/>
      <c r="T13" s="102"/>
      <c r="U13" s="102"/>
    </row>
    <row r="14" spans="1:21" ht="14.5" customHeight="1" x14ac:dyDescent="0.35">
      <c r="A14" s="102"/>
      <c r="B14" s="122">
        <v>10</v>
      </c>
      <c r="C14" s="121" t="s">
        <v>1425</v>
      </c>
      <c r="D14" s="102"/>
      <c r="E14" s="102"/>
      <c r="F14" s="6">
        <f>Inputs!D215</f>
        <v>1</v>
      </c>
      <c r="G14" s="465">
        <f>Inputs!E215</f>
        <v>130000</v>
      </c>
      <c r="H14" s="163">
        <f>Inputs!F215</f>
        <v>0.2</v>
      </c>
      <c r="I14" s="17">
        <v>0</v>
      </c>
      <c r="J14" s="465">
        <f t="shared" si="0"/>
        <v>0</v>
      </c>
      <c r="K14" s="102"/>
      <c r="L14" s="124"/>
      <c r="M14" s="102"/>
      <c r="N14" s="102"/>
      <c r="O14" s="102"/>
      <c r="P14" s="102"/>
      <c r="Q14" s="102"/>
      <c r="R14" s="102"/>
      <c r="S14" s="102"/>
      <c r="T14" s="102"/>
      <c r="U14" s="102"/>
    </row>
    <row r="15" spans="1:21" ht="14.5" customHeight="1" x14ac:dyDescent="0.35">
      <c r="A15" s="102"/>
      <c r="B15" s="122">
        <v>11</v>
      </c>
      <c r="C15" s="121" t="s">
        <v>697</v>
      </c>
      <c r="D15" s="102"/>
      <c r="E15" s="102"/>
      <c r="F15" s="6">
        <f>Inputs!D216</f>
        <v>1</v>
      </c>
      <c r="G15" s="465">
        <f>Inputs!E216</f>
        <v>70000</v>
      </c>
      <c r="H15" s="163">
        <f>Inputs!F216</f>
        <v>0.12</v>
      </c>
      <c r="I15" s="17">
        <v>0</v>
      </c>
      <c r="J15" s="465">
        <f t="shared" si="0"/>
        <v>0</v>
      </c>
      <c r="K15" s="102"/>
      <c r="L15" s="124"/>
      <c r="M15" s="102"/>
      <c r="N15" s="102"/>
      <c r="O15" s="102"/>
      <c r="P15" s="102"/>
      <c r="Q15" s="102"/>
      <c r="R15" s="102"/>
      <c r="S15" s="102"/>
      <c r="T15" s="102"/>
      <c r="U15" s="102"/>
    </row>
    <row r="16" spans="1:21" ht="14.5" customHeight="1" x14ac:dyDescent="0.35">
      <c r="A16" s="102"/>
      <c r="B16" s="122">
        <v>12</v>
      </c>
      <c r="C16" s="121" t="s">
        <v>698</v>
      </c>
      <c r="D16" s="102"/>
      <c r="E16" s="102"/>
      <c r="F16" s="6">
        <f>Inputs!D217</f>
        <v>1</v>
      </c>
      <c r="G16" s="465">
        <f>Inputs!E217</f>
        <v>85000</v>
      </c>
      <c r="H16" s="163">
        <f>Inputs!F217</f>
        <v>0.15</v>
      </c>
      <c r="I16" s="17">
        <v>0</v>
      </c>
      <c r="J16" s="465">
        <f t="shared" si="0"/>
        <v>0</v>
      </c>
      <c r="K16" s="102"/>
      <c r="L16" s="124"/>
      <c r="M16" s="102"/>
      <c r="N16" s="102"/>
      <c r="O16" s="102"/>
      <c r="P16" s="102"/>
      <c r="Q16" s="102"/>
      <c r="R16" s="102"/>
      <c r="S16" s="102"/>
      <c r="T16" s="102"/>
      <c r="U16" s="102"/>
    </row>
    <row r="17" spans="1:21" x14ac:dyDescent="0.35">
      <c r="A17" s="102"/>
      <c r="B17" s="124"/>
      <c r="C17" s="102"/>
      <c r="D17" s="102"/>
      <c r="E17" s="102"/>
      <c r="F17" s="124"/>
      <c r="G17" s="472"/>
      <c r="H17" s="125"/>
      <c r="I17" s="102"/>
      <c r="J17" s="465">
        <f>SUM(J5:J16)</f>
        <v>0</v>
      </c>
      <c r="K17" s="102"/>
      <c r="L17" s="102"/>
      <c r="M17" s="102"/>
      <c r="N17" s="102"/>
      <c r="O17" s="102"/>
      <c r="P17" s="102"/>
      <c r="Q17" s="102"/>
      <c r="R17" s="102"/>
      <c r="S17" s="102"/>
      <c r="T17" s="102"/>
      <c r="U17" s="102"/>
    </row>
    <row r="18" spans="1:21" x14ac:dyDescent="0.35">
      <c r="A18" s="102"/>
      <c r="B18" s="124"/>
      <c r="C18" s="102"/>
      <c r="D18" s="102"/>
      <c r="E18" s="102"/>
      <c r="F18" s="124"/>
      <c r="G18" s="472"/>
      <c r="H18" s="125"/>
      <c r="I18" s="102"/>
      <c r="J18" s="102"/>
      <c r="K18" s="102"/>
      <c r="L18" s="102"/>
      <c r="M18" s="102"/>
      <c r="N18" s="102"/>
      <c r="O18" s="102"/>
      <c r="P18" s="102"/>
      <c r="Q18" s="102"/>
      <c r="R18" s="102"/>
      <c r="S18" s="102"/>
      <c r="T18" s="102"/>
      <c r="U18" s="102"/>
    </row>
    <row r="19" spans="1:21" x14ac:dyDescent="0.35">
      <c r="A19" s="102"/>
      <c r="B19" s="124"/>
      <c r="C19" s="102"/>
      <c r="D19" s="102"/>
      <c r="E19" s="102"/>
      <c r="F19" s="124"/>
      <c r="G19" s="472"/>
      <c r="H19" s="125"/>
      <c r="I19" s="102"/>
      <c r="J19" s="102"/>
      <c r="K19" s="102"/>
      <c r="L19" s="102"/>
      <c r="M19" s="102"/>
      <c r="N19" s="102"/>
      <c r="O19" s="102"/>
      <c r="P19" s="102"/>
      <c r="Q19" s="102"/>
      <c r="R19" s="102"/>
      <c r="S19" s="102"/>
      <c r="T19" s="102"/>
      <c r="U19" s="102"/>
    </row>
    <row r="20" spans="1:21" ht="13" customHeight="1" x14ac:dyDescent="0.35">
      <c r="A20" s="102"/>
      <c r="B20" s="126" t="s">
        <v>1248</v>
      </c>
      <c r="C20" s="102"/>
      <c r="D20" s="102"/>
      <c r="E20" s="122" t="s">
        <v>15</v>
      </c>
      <c r="F20" s="122" t="s">
        <v>26</v>
      </c>
      <c r="G20" s="473" t="s">
        <v>27</v>
      </c>
      <c r="H20" s="127" t="s">
        <v>28</v>
      </c>
      <c r="I20" s="122" t="s">
        <v>29</v>
      </c>
      <c r="J20" s="122" t="s">
        <v>30</v>
      </c>
      <c r="K20" s="122" t="s">
        <v>31</v>
      </c>
      <c r="L20" s="122" t="s">
        <v>32</v>
      </c>
      <c r="M20" s="122" t="s">
        <v>33</v>
      </c>
      <c r="N20" s="122" t="s">
        <v>34</v>
      </c>
      <c r="O20" s="122" t="s">
        <v>35</v>
      </c>
      <c r="P20" s="122" t="s">
        <v>1397</v>
      </c>
      <c r="Q20" s="122" t="s">
        <v>1426</v>
      </c>
      <c r="R20" s="102"/>
      <c r="S20" s="102"/>
      <c r="T20" s="102"/>
      <c r="U20" s="102"/>
    </row>
    <row r="21" spans="1:21" x14ac:dyDescent="0.35">
      <c r="A21" s="102"/>
      <c r="B21" s="121" t="s">
        <v>682</v>
      </c>
      <c r="C21" s="102"/>
      <c r="D21" s="102"/>
      <c r="E21" s="99" t="s">
        <v>1427</v>
      </c>
      <c r="F21" s="122">
        <v>2026</v>
      </c>
      <c r="G21" s="122">
        <v>2027</v>
      </c>
      <c r="H21" s="122">
        <v>2028</v>
      </c>
      <c r="I21" s="122">
        <v>2029</v>
      </c>
      <c r="J21" s="122">
        <v>2030</v>
      </c>
      <c r="K21" s="122">
        <v>2031</v>
      </c>
      <c r="L21" s="122">
        <v>2032</v>
      </c>
      <c r="M21" s="122">
        <v>2033</v>
      </c>
      <c r="N21" s="122">
        <v>2034</v>
      </c>
      <c r="O21" s="122">
        <v>2035</v>
      </c>
      <c r="P21" s="122">
        <v>2036</v>
      </c>
      <c r="Q21" s="122">
        <v>2037</v>
      </c>
      <c r="R21" s="102"/>
      <c r="S21" s="102"/>
      <c r="T21" s="102"/>
      <c r="U21" s="102"/>
    </row>
    <row r="22" spans="1:21" x14ac:dyDescent="0.35">
      <c r="A22" s="102"/>
      <c r="B22" s="121" t="s">
        <v>1428</v>
      </c>
      <c r="C22" s="102"/>
      <c r="D22" s="102"/>
      <c r="E22" s="102"/>
      <c r="F22" s="124"/>
      <c r="G22" s="124"/>
      <c r="H22" s="124"/>
      <c r="I22" s="124"/>
      <c r="J22" s="124"/>
      <c r="K22" s="124"/>
      <c r="L22" s="124"/>
      <c r="M22" s="124"/>
      <c r="N22" s="124"/>
      <c r="O22" s="124"/>
      <c r="P22" s="124"/>
      <c r="Q22" s="102"/>
      <c r="R22" s="102"/>
      <c r="S22" s="102"/>
      <c r="T22" s="102"/>
      <c r="U22" s="102"/>
    </row>
    <row r="23" spans="1:21" x14ac:dyDescent="0.35">
      <c r="A23" s="102"/>
      <c r="B23" s="122">
        <v>1</v>
      </c>
      <c r="C23" s="121" t="s">
        <v>1422</v>
      </c>
      <c r="D23" s="102"/>
      <c r="E23" s="102"/>
      <c r="F23" s="465"/>
      <c r="G23" s="465">
        <f t="shared" ref="G23:G34" si="1">F5*G5*(1+H5)</f>
        <v>275000</v>
      </c>
      <c r="H23" s="465">
        <f>G23*(1+Inputs!$E$219)</f>
        <v>283525</v>
      </c>
      <c r="I23" s="465">
        <f>H23*(1+Inputs!$E$219)</f>
        <v>292314.27499999997</v>
      </c>
      <c r="J23" s="465">
        <f>I23*(1+Inputs!$E$219)</f>
        <v>301376.01752499992</v>
      </c>
      <c r="K23" s="465">
        <f>J23*(1+Inputs!$E$219)</f>
        <v>310718.67406827491</v>
      </c>
      <c r="L23" s="465">
        <f>K23*(1+Inputs!$E$219)</f>
        <v>320350.95296439138</v>
      </c>
      <c r="M23" s="465">
        <f>L23*(1+Inputs!$E$219)</f>
        <v>330281.83250628749</v>
      </c>
      <c r="N23" s="465">
        <f>M23*(1+Inputs!$E$219)</f>
        <v>340520.56931398239</v>
      </c>
      <c r="O23" s="465">
        <f>N23*(1+Inputs!$E$219)</f>
        <v>351076.70696271583</v>
      </c>
      <c r="P23" s="465">
        <f>O23*(1+Inputs!$E$219)</f>
        <v>361960.08487855998</v>
      </c>
      <c r="Q23" s="465">
        <f>P23*(1+Inputs!$E$219)</f>
        <v>373180.84750979533</v>
      </c>
      <c r="R23" s="102"/>
      <c r="S23" s="102"/>
      <c r="T23" s="102"/>
      <c r="U23" s="102"/>
    </row>
    <row r="24" spans="1:21" x14ac:dyDescent="0.35">
      <c r="A24" s="102"/>
      <c r="B24" s="122">
        <v>2</v>
      </c>
      <c r="C24" s="121" t="s">
        <v>687</v>
      </c>
      <c r="D24" s="102"/>
      <c r="E24" s="102"/>
      <c r="F24" s="465"/>
      <c r="G24" s="465">
        <f t="shared" si="1"/>
        <v>84000.000000000015</v>
      </c>
      <c r="H24" s="465">
        <f>G24*(1+Inputs!$E$219)</f>
        <v>86604.000000000015</v>
      </c>
      <c r="I24" s="465">
        <f>H24*(1+Inputs!$E$219)</f>
        <v>89288.724000000002</v>
      </c>
      <c r="J24" s="465">
        <f>I24*(1+Inputs!$E$219)</f>
        <v>92056.674443999989</v>
      </c>
      <c r="K24" s="465">
        <f>J24*(1+Inputs!$E$219)</f>
        <v>94910.431351763982</v>
      </c>
      <c r="L24" s="465">
        <f>K24*(1+Inputs!$E$219)</f>
        <v>97852.65472366866</v>
      </c>
      <c r="M24" s="465">
        <f>L24*(1+Inputs!$E$219)</f>
        <v>100886.08702010238</v>
      </c>
      <c r="N24" s="465">
        <f>M24*(1+Inputs!$E$219)</f>
        <v>104013.55571772554</v>
      </c>
      <c r="O24" s="465">
        <f>N24*(1+Inputs!$E$219)</f>
        <v>107237.97594497503</v>
      </c>
      <c r="P24" s="465">
        <f>O24*(1+Inputs!$E$219)</f>
        <v>110562.35319926924</v>
      </c>
      <c r="Q24" s="465">
        <f>P24*(1+Inputs!$E$219)</f>
        <v>113989.78614844658</v>
      </c>
      <c r="R24" s="102"/>
      <c r="S24" s="102"/>
      <c r="T24" s="102"/>
      <c r="U24" s="102"/>
    </row>
    <row r="25" spans="1:21" x14ac:dyDescent="0.35">
      <c r="A25" s="102"/>
      <c r="B25" s="122">
        <v>3</v>
      </c>
      <c r="C25" s="121" t="s">
        <v>688</v>
      </c>
      <c r="D25" s="102"/>
      <c r="E25" s="102"/>
      <c r="F25" s="465"/>
      <c r="G25" s="465">
        <f t="shared" si="1"/>
        <v>180000</v>
      </c>
      <c r="H25" s="465">
        <f>G25*(1+Inputs!$E$219)</f>
        <v>185579.99999999997</v>
      </c>
      <c r="I25" s="465">
        <f>H25*(1+Inputs!$E$219)</f>
        <v>191332.97999999995</v>
      </c>
      <c r="J25" s="465">
        <f>I25*(1+Inputs!$E$219)</f>
        <v>197264.30237999992</v>
      </c>
      <c r="K25" s="465">
        <f>J25*(1+Inputs!$E$219)</f>
        <v>203379.49575377989</v>
      </c>
      <c r="L25" s="465">
        <f>K25*(1+Inputs!$E$219)</f>
        <v>209684.26012214704</v>
      </c>
      <c r="M25" s="465">
        <f>L25*(1+Inputs!$E$219)</f>
        <v>216184.47218593358</v>
      </c>
      <c r="N25" s="465">
        <f>M25*(1+Inputs!$E$219)</f>
        <v>222886.19082369751</v>
      </c>
      <c r="O25" s="465">
        <f>N25*(1+Inputs!$E$219)</f>
        <v>229795.66273923212</v>
      </c>
      <c r="P25" s="465">
        <f>O25*(1+Inputs!$E$219)</f>
        <v>236919.3282841483</v>
      </c>
      <c r="Q25" s="465">
        <f>P25*(1+Inputs!$E$219)</f>
        <v>244263.82746095688</v>
      </c>
      <c r="R25" s="102"/>
      <c r="S25" s="102"/>
      <c r="T25" s="102"/>
      <c r="U25" s="102"/>
    </row>
    <row r="26" spans="1:21" x14ac:dyDescent="0.35">
      <c r="A26" s="102"/>
      <c r="B26" s="122">
        <v>4</v>
      </c>
      <c r="C26" s="121" t="s">
        <v>1423</v>
      </c>
      <c r="D26" s="102"/>
      <c r="E26" s="102"/>
      <c r="F26" s="465"/>
      <c r="G26" s="465">
        <f t="shared" si="1"/>
        <v>141600</v>
      </c>
      <c r="H26" s="465">
        <f>G26*(1+Inputs!$E$219)</f>
        <v>145989.59999999998</v>
      </c>
      <c r="I26" s="465">
        <f>H26*(1+Inputs!$E$219)</f>
        <v>150515.27759999997</v>
      </c>
      <c r="J26" s="465">
        <f>I26*(1+Inputs!$E$219)</f>
        <v>155181.25120559995</v>
      </c>
      <c r="K26" s="465">
        <f>J26*(1+Inputs!$E$219)</f>
        <v>159991.86999297354</v>
      </c>
      <c r="L26" s="465">
        <f>K26*(1+Inputs!$E$219)</f>
        <v>164951.6179627557</v>
      </c>
      <c r="M26" s="465">
        <f>L26*(1+Inputs!$E$219)</f>
        <v>170065.1181196011</v>
      </c>
      <c r="N26" s="465">
        <f>M26*(1+Inputs!$E$219)</f>
        <v>175337.13678130871</v>
      </c>
      <c r="O26" s="465">
        <f>N26*(1+Inputs!$E$219)</f>
        <v>180772.58802152926</v>
      </c>
      <c r="P26" s="465">
        <f>O26*(1+Inputs!$E$219)</f>
        <v>186376.53825019664</v>
      </c>
      <c r="Q26" s="465">
        <f>P26*(1+Inputs!$E$219)</f>
        <v>192154.21093595272</v>
      </c>
      <c r="R26" s="102"/>
      <c r="S26" s="102"/>
      <c r="T26" s="102"/>
      <c r="U26" s="102"/>
    </row>
    <row r="27" spans="1:21" x14ac:dyDescent="0.35">
      <c r="A27" s="102"/>
      <c r="B27" s="122">
        <v>5</v>
      </c>
      <c r="C27" s="121" t="s">
        <v>690</v>
      </c>
      <c r="D27" s="102"/>
      <c r="E27" s="102"/>
      <c r="F27" s="465"/>
      <c r="G27" s="465">
        <f t="shared" si="1"/>
        <v>114999.99999999999</v>
      </c>
      <c r="H27" s="465">
        <f>G27*(1+Inputs!$E$219)</f>
        <v>118564.99999999997</v>
      </c>
      <c r="I27" s="465">
        <f>H27*(1+Inputs!$E$219)</f>
        <v>122240.51499999996</v>
      </c>
      <c r="J27" s="465">
        <f>I27*(1+Inputs!$E$219)</f>
        <v>126029.97096499994</v>
      </c>
      <c r="K27" s="465">
        <f>J27*(1+Inputs!$E$219)</f>
        <v>129936.90006491492</v>
      </c>
      <c r="L27" s="465">
        <f>K27*(1+Inputs!$E$219)</f>
        <v>133964.94396692727</v>
      </c>
      <c r="M27" s="465">
        <f>L27*(1+Inputs!$E$219)</f>
        <v>138117.857229902</v>
      </c>
      <c r="N27" s="465">
        <f>M27*(1+Inputs!$E$219)</f>
        <v>142399.51080402895</v>
      </c>
      <c r="O27" s="465">
        <f>N27*(1+Inputs!$E$219)</f>
        <v>146813.89563895384</v>
      </c>
      <c r="P27" s="465">
        <f>O27*(1+Inputs!$E$219)</f>
        <v>151365.12640376139</v>
      </c>
      <c r="Q27" s="465">
        <f>P27*(1+Inputs!$E$219)</f>
        <v>156057.44532227798</v>
      </c>
      <c r="R27" s="102"/>
      <c r="S27" s="102"/>
      <c r="T27" s="102"/>
      <c r="U27" s="102"/>
    </row>
    <row r="28" spans="1:21" x14ac:dyDescent="0.35">
      <c r="A28" s="102"/>
      <c r="B28" s="122">
        <v>6</v>
      </c>
      <c r="C28" s="121" t="s">
        <v>691</v>
      </c>
      <c r="D28" s="102"/>
      <c r="E28" s="102"/>
      <c r="F28" s="465"/>
      <c r="G28" s="465">
        <f t="shared" si="1"/>
        <v>129800</v>
      </c>
      <c r="H28" s="465">
        <f>G28*(1+Inputs!$E$219)</f>
        <v>133823.79999999999</v>
      </c>
      <c r="I28" s="465">
        <f>H28*(1+Inputs!$E$219)</f>
        <v>137972.33779999998</v>
      </c>
      <c r="J28" s="465">
        <f>I28*(1+Inputs!$E$219)</f>
        <v>142249.48027179996</v>
      </c>
      <c r="K28" s="465">
        <f>J28*(1+Inputs!$E$219)</f>
        <v>146659.21416022573</v>
      </c>
      <c r="L28" s="465">
        <f>K28*(1+Inputs!$E$219)</f>
        <v>151205.64979919273</v>
      </c>
      <c r="M28" s="465">
        <f>L28*(1+Inputs!$E$219)</f>
        <v>155893.02494296769</v>
      </c>
      <c r="N28" s="465">
        <f>M28*(1+Inputs!$E$219)</f>
        <v>160725.70871619968</v>
      </c>
      <c r="O28" s="465">
        <f>N28*(1+Inputs!$E$219)</f>
        <v>165708.20568640184</v>
      </c>
      <c r="P28" s="465">
        <f>O28*(1+Inputs!$E$219)</f>
        <v>170845.16006268028</v>
      </c>
      <c r="Q28" s="465">
        <f>P28*(1+Inputs!$E$219)</f>
        <v>176141.36002462337</v>
      </c>
      <c r="R28" s="102"/>
      <c r="S28" s="102"/>
      <c r="T28" s="102"/>
      <c r="U28" s="102"/>
    </row>
    <row r="29" spans="1:21" x14ac:dyDescent="0.35">
      <c r="A29" s="102"/>
      <c r="B29" s="122">
        <v>7</v>
      </c>
      <c r="C29" s="121" t="s">
        <v>692</v>
      </c>
      <c r="D29" s="102"/>
      <c r="E29" s="102"/>
      <c r="F29" s="465"/>
      <c r="G29" s="465">
        <f t="shared" si="1"/>
        <v>299000</v>
      </c>
      <c r="H29" s="465">
        <f>G29*(1+Inputs!$E$219)</f>
        <v>308269</v>
      </c>
      <c r="I29" s="465">
        <f>H29*(1+Inputs!$E$219)</f>
        <v>317825.33899999998</v>
      </c>
      <c r="J29" s="465">
        <f>I29*(1+Inputs!$E$219)</f>
        <v>327677.92450899997</v>
      </c>
      <c r="K29" s="465">
        <f>J29*(1+Inputs!$E$219)</f>
        <v>337835.94016877894</v>
      </c>
      <c r="L29" s="465">
        <f>K29*(1+Inputs!$E$219)</f>
        <v>348308.85431401106</v>
      </c>
      <c r="M29" s="465">
        <f>L29*(1+Inputs!$E$219)</f>
        <v>359106.42879774538</v>
      </c>
      <c r="N29" s="465">
        <f>M29*(1+Inputs!$E$219)</f>
        <v>370238.72809047543</v>
      </c>
      <c r="O29" s="465">
        <f>N29*(1+Inputs!$E$219)</f>
        <v>381716.12866128015</v>
      </c>
      <c r="P29" s="465">
        <f>O29*(1+Inputs!$E$219)</f>
        <v>393549.32864977978</v>
      </c>
      <c r="Q29" s="465">
        <f>P29*(1+Inputs!$E$219)</f>
        <v>405749.35783792293</v>
      </c>
      <c r="R29" s="102"/>
      <c r="S29" s="102"/>
      <c r="T29" s="102"/>
      <c r="U29" s="102"/>
    </row>
    <row r="30" spans="1:21" x14ac:dyDescent="0.35">
      <c r="A30" s="102"/>
      <c r="B30" s="122">
        <v>8</v>
      </c>
      <c r="C30" s="121" t="s">
        <v>1424</v>
      </c>
      <c r="D30" s="102"/>
      <c r="E30" s="102"/>
      <c r="F30" s="465"/>
      <c r="G30" s="465">
        <f t="shared" si="1"/>
        <v>129800</v>
      </c>
      <c r="H30" s="465">
        <f>G30*(1+Inputs!$E$219)</f>
        <v>133823.79999999999</v>
      </c>
      <c r="I30" s="465">
        <f>H30*(1+Inputs!$E$219)</f>
        <v>137972.33779999998</v>
      </c>
      <c r="J30" s="465">
        <f>I30*(1+Inputs!$E$219)</f>
        <v>142249.48027179996</v>
      </c>
      <c r="K30" s="465">
        <f>J30*(1+Inputs!$E$219)</f>
        <v>146659.21416022573</v>
      </c>
      <c r="L30" s="465">
        <f>K30*(1+Inputs!$E$219)</f>
        <v>151205.64979919273</v>
      </c>
      <c r="M30" s="465">
        <f>L30*(1+Inputs!$E$219)</f>
        <v>155893.02494296769</v>
      </c>
      <c r="N30" s="465">
        <f>M30*(1+Inputs!$E$219)</f>
        <v>160725.70871619968</v>
      </c>
      <c r="O30" s="465">
        <f>N30*(1+Inputs!$E$219)</f>
        <v>165708.20568640184</v>
      </c>
      <c r="P30" s="465">
        <f>O30*(1+Inputs!$E$219)</f>
        <v>170845.16006268028</v>
      </c>
      <c r="Q30" s="465">
        <f>P30*(1+Inputs!$E$219)</f>
        <v>176141.36002462337</v>
      </c>
      <c r="R30" s="102"/>
      <c r="S30" s="102"/>
      <c r="T30" s="102"/>
      <c r="U30" s="102"/>
    </row>
    <row r="31" spans="1:21" x14ac:dyDescent="0.35">
      <c r="A31" s="102"/>
      <c r="B31" s="122">
        <v>9</v>
      </c>
      <c r="C31" s="121" t="s">
        <v>695</v>
      </c>
      <c r="D31" s="102"/>
      <c r="E31" s="102"/>
      <c r="F31" s="465"/>
      <c r="G31" s="465">
        <f t="shared" si="1"/>
        <v>118000</v>
      </c>
      <c r="H31" s="465">
        <f>G31*(1+Inputs!$E$219)</f>
        <v>121657.99999999999</v>
      </c>
      <c r="I31" s="465">
        <f>H31*(1+Inputs!$E$219)</f>
        <v>125429.39799999997</v>
      </c>
      <c r="J31" s="465">
        <f>I31*(1+Inputs!$E$219)</f>
        <v>129317.70933799996</v>
      </c>
      <c r="K31" s="465">
        <f>J31*(1+Inputs!$E$219)</f>
        <v>133326.55832747795</v>
      </c>
      <c r="L31" s="465">
        <f>K31*(1+Inputs!$E$219)</f>
        <v>137459.68163562976</v>
      </c>
      <c r="M31" s="465">
        <f>L31*(1+Inputs!$E$219)</f>
        <v>141720.93176633428</v>
      </c>
      <c r="N31" s="465">
        <f>M31*(1+Inputs!$E$219)</f>
        <v>146114.28065109064</v>
      </c>
      <c r="O31" s="465">
        <f>N31*(1+Inputs!$E$219)</f>
        <v>150643.82335127445</v>
      </c>
      <c r="P31" s="465">
        <f>O31*(1+Inputs!$E$219)</f>
        <v>155313.78187516396</v>
      </c>
      <c r="Q31" s="465">
        <f>P31*(1+Inputs!$E$219)</f>
        <v>160128.50911329401</v>
      </c>
      <c r="R31" s="102"/>
      <c r="S31" s="102"/>
      <c r="T31" s="102"/>
      <c r="U31" s="102"/>
    </row>
    <row r="32" spans="1:21" x14ac:dyDescent="0.35">
      <c r="A32" s="102"/>
      <c r="B32" s="122">
        <v>10</v>
      </c>
      <c r="C32" s="121" t="s">
        <v>1425</v>
      </c>
      <c r="D32" s="102"/>
      <c r="E32" s="102"/>
      <c r="F32" s="465"/>
      <c r="G32" s="465">
        <f t="shared" si="1"/>
        <v>156000</v>
      </c>
      <c r="H32" s="465">
        <f>G32*(1+Inputs!$E$219)</f>
        <v>160836</v>
      </c>
      <c r="I32" s="465">
        <f>H32*(1+Inputs!$E$219)</f>
        <v>165821.916</v>
      </c>
      <c r="J32" s="465">
        <f>I32*(1+Inputs!$E$219)</f>
        <v>170962.39539599998</v>
      </c>
      <c r="K32" s="465">
        <f>J32*(1+Inputs!$E$219)</f>
        <v>176262.22965327595</v>
      </c>
      <c r="L32" s="465">
        <f>K32*(1+Inputs!$E$219)</f>
        <v>181726.35877252748</v>
      </c>
      <c r="M32" s="465">
        <f>L32*(1+Inputs!$E$219)</f>
        <v>187359.87589447582</v>
      </c>
      <c r="N32" s="465">
        <f>M32*(1+Inputs!$E$219)</f>
        <v>193168.03204720456</v>
      </c>
      <c r="O32" s="465">
        <f>N32*(1+Inputs!$E$219)</f>
        <v>199156.24104066787</v>
      </c>
      <c r="P32" s="465">
        <f>O32*(1+Inputs!$E$219)</f>
        <v>205330.08451292856</v>
      </c>
      <c r="Q32" s="465">
        <f>P32*(1+Inputs!$E$219)</f>
        <v>211695.31713282934</v>
      </c>
      <c r="R32" s="102"/>
      <c r="S32" s="102"/>
      <c r="T32" s="102"/>
      <c r="U32" s="102"/>
    </row>
    <row r="33" spans="1:21" x14ac:dyDescent="0.35">
      <c r="A33" s="102"/>
      <c r="B33" s="122">
        <v>11</v>
      </c>
      <c r="C33" s="121" t="s">
        <v>697</v>
      </c>
      <c r="D33" s="102"/>
      <c r="E33" s="102"/>
      <c r="F33" s="465"/>
      <c r="G33" s="465">
        <f t="shared" si="1"/>
        <v>78400.000000000015</v>
      </c>
      <c r="H33" s="465">
        <f>G33*(1+Inputs!$E$219)</f>
        <v>80830.400000000009</v>
      </c>
      <c r="I33" s="465">
        <f>H33*(1+Inputs!$E$219)</f>
        <v>83336.142399999997</v>
      </c>
      <c r="J33" s="465">
        <f>I33*(1+Inputs!$E$219)</f>
        <v>85919.562814399993</v>
      </c>
      <c r="K33" s="465">
        <f>J33*(1+Inputs!$E$219)</f>
        <v>88583.069261646378</v>
      </c>
      <c r="L33" s="465">
        <f>K33*(1+Inputs!$E$219)</f>
        <v>91329.144408757405</v>
      </c>
      <c r="M33" s="465">
        <f>L33*(1+Inputs!$E$219)</f>
        <v>94160.347885428884</v>
      </c>
      <c r="N33" s="465">
        <f>M33*(1+Inputs!$E$219)</f>
        <v>97079.318669877175</v>
      </c>
      <c r="O33" s="465">
        <f>N33*(1+Inputs!$E$219)</f>
        <v>100088.77754864335</v>
      </c>
      <c r="P33" s="465">
        <f>O33*(1+Inputs!$E$219)</f>
        <v>103191.52965265128</v>
      </c>
      <c r="Q33" s="465">
        <f>P33*(1+Inputs!$E$219)</f>
        <v>106390.46707188347</v>
      </c>
      <c r="R33" s="102"/>
      <c r="S33" s="102"/>
      <c r="T33" s="102"/>
      <c r="U33" s="102"/>
    </row>
    <row r="34" spans="1:21" x14ac:dyDescent="0.35">
      <c r="A34" s="102"/>
      <c r="B34" s="122">
        <v>12</v>
      </c>
      <c r="C34" s="121" t="s">
        <v>698</v>
      </c>
      <c r="D34" s="102"/>
      <c r="E34" s="102"/>
      <c r="F34" s="465"/>
      <c r="G34" s="465">
        <f t="shared" si="1"/>
        <v>97749.999999999985</v>
      </c>
      <c r="H34" s="465">
        <f>G34*(1+Inputs!$E$219)</f>
        <v>100780.24999999997</v>
      </c>
      <c r="I34" s="465">
        <f>H34*(1+Inputs!$E$219)</f>
        <v>103904.43774999997</v>
      </c>
      <c r="J34" s="465">
        <f>I34*(1+Inputs!$E$219)</f>
        <v>107125.47532024996</v>
      </c>
      <c r="K34" s="465">
        <f>J34*(1+Inputs!$E$219)</f>
        <v>110446.3650551777</v>
      </c>
      <c r="L34" s="465">
        <f>K34*(1+Inputs!$E$219)</f>
        <v>113870.2023718882</v>
      </c>
      <c r="M34" s="465">
        <f>L34*(1+Inputs!$E$219)</f>
        <v>117400.17864541672</v>
      </c>
      <c r="N34" s="465">
        <f>M34*(1+Inputs!$E$219)</f>
        <v>121039.58418342462</v>
      </c>
      <c r="O34" s="465">
        <f>N34*(1+Inputs!$E$219)</f>
        <v>124791.81129311078</v>
      </c>
      <c r="P34" s="465">
        <f>O34*(1+Inputs!$E$219)</f>
        <v>128660.35744319719</v>
      </c>
      <c r="Q34" s="465">
        <f>P34*(1+Inputs!$E$219)</f>
        <v>132648.8285239363</v>
      </c>
      <c r="R34" s="102"/>
      <c r="S34" s="102"/>
      <c r="T34" s="102"/>
      <c r="U34" s="102"/>
    </row>
    <row r="35" spans="1:21" x14ac:dyDescent="0.35">
      <c r="A35" s="102"/>
      <c r="B35" s="124"/>
      <c r="C35" s="102"/>
      <c r="D35" s="102"/>
      <c r="E35" s="102"/>
      <c r="F35" s="465"/>
      <c r="G35" s="465">
        <f t="shared" ref="G35:Q35" si="2">SUM(G23:G34)</f>
        <v>1804350</v>
      </c>
      <c r="H35" s="465">
        <f t="shared" si="2"/>
        <v>1860284.8499999999</v>
      </c>
      <c r="I35" s="465">
        <f t="shared" si="2"/>
        <v>1917953.68035</v>
      </c>
      <c r="J35" s="465">
        <f t="shared" si="2"/>
        <v>1977410.2444408499</v>
      </c>
      <c r="K35" s="465">
        <f t="shared" si="2"/>
        <v>2038709.9620185157</v>
      </c>
      <c r="L35" s="465">
        <f t="shared" si="2"/>
        <v>2101909.9708410893</v>
      </c>
      <c r="M35" s="465">
        <f t="shared" si="2"/>
        <v>2167069.1799371629</v>
      </c>
      <c r="N35" s="465">
        <f t="shared" si="2"/>
        <v>2234248.3245152151</v>
      </c>
      <c r="O35" s="465">
        <f t="shared" si="2"/>
        <v>2303510.0225751861</v>
      </c>
      <c r="P35" s="465">
        <f t="shared" si="2"/>
        <v>2374918.8332750169</v>
      </c>
      <c r="Q35" s="465">
        <f t="shared" si="2"/>
        <v>2448541.3171065422</v>
      </c>
      <c r="R35" s="102"/>
      <c r="S35" s="102"/>
      <c r="T35" s="102"/>
      <c r="U35" s="102"/>
    </row>
    <row r="36" spans="1:21" x14ac:dyDescent="0.35">
      <c r="A36" s="102"/>
      <c r="B36" s="124"/>
      <c r="C36" s="102"/>
      <c r="D36" s="102"/>
      <c r="E36" s="102"/>
      <c r="F36" s="474"/>
      <c r="G36" s="475"/>
      <c r="H36" s="476"/>
      <c r="I36" s="476"/>
      <c r="J36" s="476"/>
      <c r="K36" s="476"/>
      <c r="L36" s="476"/>
      <c r="M36" s="476"/>
      <c r="N36" s="476"/>
      <c r="O36" s="476"/>
      <c r="P36" s="476"/>
      <c r="Q36" s="102"/>
      <c r="R36" s="102"/>
      <c r="S36" s="102"/>
      <c r="T36" s="102"/>
      <c r="U36" s="102"/>
    </row>
    <row r="37" spans="1:21" x14ac:dyDescent="0.35">
      <c r="A37" s="102"/>
      <c r="B37" s="124"/>
      <c r="C37" s="102"/>
      <c r="D37" s="102"/>
      <c r="E37" s="102"/>
      <c r="F37" s="474"/>
      <c r="G37" s="475"/>
      <c r="H37" s="476"/>
      <c r="I37" s="476"/>
      <c r="J37" s="476"/>
      <c r="K37" s="476"/>
      <c r="L37" s="476"/>
      <c r="M37" s="476"/>
      <c r="N37" s="476"/>
      <c r="O37" s="476"/>
      <c r="P37" s="476"/>
      <c r="Q37" s="102"/>
      <c r="R37" s="102"/>
      <c r="S37" s="102"/>
      <c r="T37" s="102"/>
      <c r="U37" s="102"/>
    </row>
    <row r="38" spans="1:21" x14ac:dyDescent="0.35">
      <c r="A38" s="128"/>
      <c r="B38" s="121" t="s">
        <v>1429</v>
      </c>
      <c r="C38" s="102"/>
      <c r="D38" s="102"/>
      <c r="E38" s="102"/>
      <c r="F38" s="124"/>
      <c r="G38" s="472"/>
      <c r="H38" s="125"/>
      <c r="I38" s="102"/>
      <c r="J38" s="102"/>
      <c r="K38" s="102"/>
      <c r="L38" s="102"/>
      <c r="M38" s="102"/>
      <c r="N38" s="102"/>
      <c r="O38" s="102"/>
      <c r="P38" s="102"/>
      <c r="Q38" s="102"/>
      <c r="R38" s="102"/>
      <c r="S38" s="102"/>
      <c r="T38" s="102"/>
      <c r="U38" s="102"/>
    </row>
    <row r="39" spans="1:21" x14ac:dyDescent="0.35">
      <c r="A39" s="102"/>
      <c r="B39" s="122">
        <v>1</v>
      </c>
      <c r="C39" s="121" t="s">
        <v>1422</v>
      </c>
      <c r="D39" s="102"/>
      <c r="E39" s="102"/>
      <c r="F39" s="465">
        <f>F23*H5</f>
        <v>0</v>
      </c>
      <c r="G39" s="465">
        <f t="shared" ref="G39:Q39" si="3">G23*$H$5</f>
        <v>68750</v>
      </c>
      <c r="H39" s="465">
        <f t="shared" si="3"/>
        <v>70881.25</v>
      </c>
      <c r="I39" s="465">
        <f t="shared" si="3"/>
        <v>73078.568749999991</v>
      </c>
      <c r="J39" s="465">
        <f t="shared" si="3"/>
        <v>75344.004381249979</v>
      </c>
      <c r="K39" s="465">
        <f t="shared" si="3"/>
        <v>77679.668517068727</v>
      </c>
      <c r="L39" s="465">
        <f t="shared" si="3"/>
        <v>80087.738241097846</v>
      </c>
      <c r="M39" s="465">
        <f t="shared" si="3"/>
        <v>82570.458126571873</v>
      </c>
      <c r="N39" s="465">
        <f t="shared" si="3"/>
        <v>85130.142328495596</v>
      </c>
      <c r="O39" s="465">
        <f t="shared" si="3"/>
        <v>87769.176740678959</v>
      </c>
      <c r="P39" s="465">
        <f t="shared" si="3"/>
        <v>90490.021219639995</v>
      </c>
      <c r="Q39" s="465">
        <f t="shared" si="3"/>
        <v>93295.211877448834</v>
      </c>
      <c r="R39" s="102"/>
      <c r="S39" s="102"/>
      <c r="T39" s="102"/>
      <c r="U39" s="102"/>
    </row>
    <row r="40" spans="1:21" x14ac:dyDescent="0.35">
      <c r="A40" s="102"/>
      <c r="B40" s="122">
        <v>2</v>
      </c>
      <c r="C40" s="121" t="s">
        <v>687</v>
      </c>
      <c r="D40" s="102"/>
      <c r="E40" s="102"/>
      <c r="F40" s="465">
        <f t="shared" ref="F40:Q40" si="4">F24*$H$6</f>
        <v>0</v>
      </c>
      <c r="G40" s="465">
        <f t="shared" si="4"/>
        <v>10080.000000000002</v>
      </c>
      <c r="H40" s="465">
        <f t="shared" si="4"/>
        <v>10392.480000000001</v>
      </c>
      <c r="I40" s="465">
        <f t="shared" si="4"/>
        <v>10714.64688</v>
      </c>
      <c r="J40" s="465">
        <f t="shared" si="4"/>
        <v>11046.800933279997</v>
      </c>
      <c r="K40" s="465">
        <f t="shared" si="4"/>
        <v>11389.251762211677</v>
      </c>
      <c r="L40" s="465">
        <f t="shared" si="4"/>
        <v>11742.318566840238</v>
      </c>
      <c r="M40" s="465">
        <f t="shared" si="4"/>
        <v>12106.330442412285</v>
      </c>
      <c r="N40" s="465">
        <f t="shared" si="4"/>
        <v>12481.626686127065</v>
      </c>
      <c r="O40" s="465">
        <f t="shared" si="4"/>
        <v>12868.557113397002</v>
      </c>
      <c r="P40" s="465">
        <f t="shared" si="4"/>
        <v>13267.482383912309</v>
      </c>
      <c r="Q40" s="465">
        <f t="shared" si="4"/>
        <v>13678.774337813589</v>
      </c>
      <c r="R40" s="102"/>
      <c r="S40" s="102"/>
      <c r="T40" s="102"/>
      <c r="U40" s="102"/>
    </row>
    <row r="41" spans="1:21" x14ac:dyDescent="0.35">
      <c r="A41" s="102"/>
      <c r="B41" s="122">
        <v>3</v>
      </c>
      <c r="C41" s="121" t="s">
        <v>688</v>
      </c>
      <c r="D41" s="102"/>
      <c r="E41" s="102"/>
      <c r="F41" s="465">
        <f t="shared" ref="F41:Q41" si="5">F25*$H$7</f>
        <v>0</v>
      </c>
      <c r="G41" s="465">
        <f t="shared" si="5"/>
        <v>36000</v>
      </c>
      <c r="H41" s="465">
        <f t="shared" si="5"/>
        <v>37115.999999999993</v>
      </c>
      <c r="I41" s="465">
        <f t="shared" si="5"/>
        <v>38266.59599999999</v>
      </c>
      <c r="J41" s="465">
        <f t="shared" si="5"/>
        <v>39452.860475999987</v>
      </c>
      <c r="K41" s="465">
        <f t="shared" si="5"/>
        <v>40675.899150755984</v>
      </c>
      <c r="L41" s="465">
        <f t="shared" si="5"/>
        <v>41936.852024429412</v>
      </c>
      <c r="M41" s="465">
        <f t="shared" si="5"/>
        <v>43236.894437186718</v>
      </c>
      <c r="N41" s="465">
        <f t="shared" si="5"/>
        <v>44577.238164739509</v>
      </c>
      <c r="O41" s="465">
        <f t="shared" si="5"/>
        <v>45959.132547846428</v>
      </c>
      <c r="P41" s="465">
        <f t="shared" si="5"/>
        <v>47383.865656829665</v>
      </c>
      <c r="Q41" s="465">
        <f t="shared" si="5"/>
        <v>48852.765492191378</v>
      </c>
      <c r="R41" s="102"/>
      <c r="S41" s="102"/>
      <c r="T41" s="102"/>
      <c r="U41" s="102"/>
    </row>
    <row r="42" spans="1:21" x14ac:dyDescent="0.35">
      <c r="A42" s="102"/>
      <c r="B42" s="122">
        <v>4</v>
      </c>
      <c r="C42" s="121" t="s">
        <v>1423</v>
      </c>
      <c r="D42" s="102"/>
      <c r="E42" s="102"/>
      <c r="F42" s="465">
        <f t="shared" ref="F42:Q42" si="6">F26*$H$8</f>
        <v>0</v>
      </c>
      <c r="G42" s="465">
        <f t="shared" si="6"/>
        <v>25488</v>
      </c>
      <c r="H42" s="465">
        <f t="shared" si="6"/>
        <v>26278.127999999993</v>
      </c>
      <c r="I42" s="465">
        <f t="shared" si="6"/>
        <v>27092.749967999993</v>
      </c>
      <c r="J42" s="465">
        <f t="shared" si="6"/>
        <v>27932.62521700799</v>
      </c>
      <c r="K42" s="465">
        <f t="shared" si="6"/>
        <v>28798.536598735238</v>
      </c>
      <c r="L42" s="465">
        <f t="shared" si="6"/>
        <v>29691.291233296026</v>
      </c>
      <c r="M42" s="465">
        <f t="shared" si="6"/>
        <v>30611.721261528197</v>
      </c>
      <c r="N42" s="465">
        <f t="shared" si="6"/>
        <v>31560.684620635566</v>
      </c>
      <c r="O42" s="465">
        <f t="shared" si="6"/>
        <v>32539.065843875265</v>
      </c>
      <c r="P42" s="465">
        <f t="shared" si="6"/>
        <v>33547.776885035397</v>
      </c>
      <c r="Q42" s="465">
        <f t="shared" si="6"/>
        <v>34587.757968471487</v>
      </c>
      <c r="R42" s="102"/>
      <c r="S42" s="102"/>
      <c r="T42" s="102"/>
      <c r="U42" s="102"/>
    </row>
    <row r="43" spans="1:21" x14ac:dyDescent="0.35">
      <c r="A43" s="102"/>
      <c r="B43" s="122">
        <v>5</v>
      </c>
      <c r="C43" s="121" t="s">
        <v>690</v>
      </c>
      <c r="D43" s="102"/>
      <c r="E43" s="102"/>
      <c r="F43" s="465">
        <f t="shared" ref="F43:Q43" si="7">F27*$H$9</f>
        <v>0</v>
      </c>
      <c r="G43" s="465">
        <f t="shared" si="7"/>
        <v>17249.999999999996</v>
      </c>
      <c r="H43" s="465">
        <f t="shared" si="7"/>
        <v>17784.749999999996</v>
      </c>
      <c r="I43" s="465">
        <f t="shared" si="7"/>
        <v>18336.077249999991</v>
      </c>
      <c r="J43" s="465">
        <f t="shared" si="7"/>
        <v>18904.49564474999</v>
      </c>
      <c r="K43" s="465">
        <f t="shared" si="7"/>
        <v>19490.535009737239</v>
      </c>
      <c r="L43" s="465">
        <f t="shared" si="7"/>
        <v>20094.74159503909</v>
      </c>
      <c r="M43" s="465">
        <f t="shared" si="7"/>
        <v>20717.6785844853</v>
      </c>
      <c r="N43" s="465">
        <f t="shared" si="7"/>
        <v>21359.926620604343</v>
      </c>
      <c r="O43" s="465">
        <f t="shared" si="7"/>
        <v>22022.084345843075</v>
      </c>
      <c r="P43" s="465">
        <f t="shared" si="7"/>
        <v>22704.768960564208</v>
      </c>
      <c r="Q43" s="465">
        <f t="shared" si="7"/>
        <v>23408.616798341696</v>
      </c>
      <c r="R43" s="102"/>
      <c r="S43" s="102"/>
      <c r="T43" s="102"/>
      <c r="U43" s="102"/>
    </row>
    <row r="44" spans="1:21" x14ac:dyDescent="0.35">
      <c r="A44" s="102"/>
      <c r="B44" s="122">
        <v>6</v>
      </c>
      <c r="C44" s="121" t="s">
        <v>691</v>
      </c>
      <c r="D44" s="102"/>
      <c r="E44" s="102"/>
      <c r="F44" s="465">
        <f t="shared" ref="F44:Q44" si="8">F28*$H$10</f>
        <v>0</v>
      </c>
      <c r="G44" s="465">
        <f t="shared" si="8"/>
        <v>23364</v>
      </c>
      <c r="H44" s="465">
        <f t="shared" si="8"/>
        <v>24088.283999999996</v>
      </c>
      <c r="I44" s="465">
        <f t="shared" si="8"/>
        <v>24835.020803999996</v>
      </c>
      <c r="J44" s="465">
        <f t="shared" si="8"/>
        <v>25604.90644892399</v>
      </c>
      <c r="K44" s="465">
        <f t="shared" si="8"/>
        <v>26398.658548840631</v>
      </c>
      <c r="L44" s="465">
        <f t="shared" si="8"/>
        <v>27217.01696385469</v>
      </c>
      <c r="M44" s="465">
        <f t="shared" si="8"/>
        <v>28060.744489734185</v>
      </c>
      <c r="N44" s="465">
        <f t="shared" si="8"/>
        <v>28930.627568915941</v>
      </c>
      <c r="O44" s="465">
        <f t="shared" si="8"/>
        <v>29827.477023552328</v>
      </c>
      <c r="P44" s="465">
        <f t="shared" si="8"/>
        <v>30752.128811282451</v>
      </c>
      <c r="Q44" s="465">
        <f t="shared" si="8"/>
        <v>31705.444804432205</v>
      </c>
      <c r="R44" s="102"/>
      <c r="S44" s="102"/>
      <c r="T44" s="102"/>
      <c r="U44" s="102"/>
    </row>
    <row r="45" spans="1:21" x14ac:dyDescent="0.35">
      <c r="A45" s="102"/>
      <c r="B45" s="122">
        <v>7</v>
      </c>
      <c r="C45" s="121" t="s">
        <v>692</v>
      </c>
      <c r="D45" s="102"/>
      <c r="E45" s="102"/>
      <c r="F45" s="465">
        <f t="shared" ref="F45:Q45" si="9">F29*$H$11</f>
        <v>0</v>
      </c>
      <c r="G45" s="465">
        <f t="shared" si="9"/>
        <v>44850</v>
      </c>
      <c r="H45" s="465">
        <f t="shared" si="9"/>
        <v>46240.35</v>
      </c>
      <c r="I45" s="465">
        <f t="shared" si="9"/>
        <v>47673.800849999992</v>
      </c>
      <c r="J45" s="465">
        <f t="shared" si="9"/>
        <v>49151.688676349993</v>
      </c>
      <c r="K45" s="465">
        <f t="shared" si="9"/>
        <v>50675.391025316836</v>
      </c>
      <c r="L45" s="465">
        <f t="shared" si="9"/>
        <v>52246.32814710166</v>
      </c>
      <c r="M45" s="465">
        <f t="shared" si="9"/>
        <v>53865.964319661805</v>
      </c>
      <c r="N45" s="465">
        <f t="shared" si="9"/>
        <v>55535.809213571316</v>
      </c>
      <c r="O45" s="465">
        <f t="shared" si="9"/>
        <v>57257.419299192021</v>
      </c>
      <c r="P45" s="465">
        <f t="shared" si="9"/>
        <v>59032.399297466967</v>
      </c>
      <c r="Q45" s="465">
        <f t="shared" si="9"/>
        <v>60862.403675688438</v>
      </c>
      <c r="R45" s="102"/>
      <c r="S45" s="102"/>
      <c r="T45" s="102"/>
      <c r="U45" s="102"/>
    </row>
    <row r="46" spans="1:21" x14ac:dyDescent="0.35">
      <c r="A46" s="102"/>
      <c r="B46" s="122">
        <v>8</v>
      </c>
      <c r="C46" s="121" t="s">
        <v>1424</v>
      </c>
      <c r="D46" s="102"/>
      <c r="E46" s="102"/>
      <c r="F46" s="465">
        <f t="shared" ref="F46:Q46" si="10">F30*$H$12</f>
        <v>0</v>
      </c>
      <c r="G46" s="465">
        <f t="shared" si="10"/>
        <v>23364</v>
      </c>
      <c r="H46" s="465">
        <f t="shared" si="10"/>
        <v>24088.283999999996</v>
      </c>
      <c r="I46" s="465">
        <f t="shared" si="10"/>
        <v>24835.020803999996</v>
      </c>
      <c r="J46" s="465">
        <f t="shared" si="10"/>
        <v>25604.90644892399</v>
      </c>
      <c r="K46" s="465">
        <f t="shared" si="10"/>
        <v>26398.658548840631</v>
      </c>
      <c r="L46" s="465">
        <f t="shared" si="10"/>
        <v>27217.01696385469</v>
      </c>
      <c r="M46" s="465">
        <f t="shared" si="10"/>
        <v>28060.744489734185</v>
      </c>
      <c r="N46" s="465">
        <f t="shared" si="10"/>
        <v>28930.627568915941</v>
      </c>
      <c r="O46" s="465">
        <f t="shared" si="10"/>
        <v>29827.477023552328</v>
      </c>
      <c r="P46" s="465">
        <f t="shared" si="10"/>
        <v>30752.128811282451</v>
      </c>
      <c r="Q46" s="465">
        <f t="shared" si="10"/>
        <v>31705.444804432205</v>
      </c>
      <c r="R46" s="102"/>
      <c r="S46" s="102"/>
      <c r="T46" s="102"/>
      <c r="U46" s="102"/>
    </row>
    <row r="47" spans="1:21" x14ac:dyDescent="0.35">
      <c r="A47" s="102"/>
      <c r="B47" s="122">
        <v>9</v>
      </c>
      <c r="C47" s="121" t="s">
        <v>695</v>
      </c>
      <c r="D47" s="102"/>
      <c r="E47" s="102"/>
      <c r="F47" s="465">
        <f t="shared" ref="F47:Q47" si="11">F31*$H$13</f>
        <v>0</v>
      </c>
      <c r="G47" s="465">
        <f t="shared" si="11"/>
        <v>21240</v>
      </c>
      <c r="H47" s="465">
        <f t="shared" si="11"/>
        <v>21898.439999999995</v>
      </c>
      <c r="I47" s="465">
        <f t="shared" si="11"/>
        <v>22577.291639999996</v>
      </c>
      <c r="J47" s="465">
        <f t="shared" si="11"/>
        <v>23277.18768083999</v>
      </c>
      <c r="K47" s="465">
        <f t="shared" si="11"/>
        <v>23998.780498946031</v>
      </c>
      <c r="L47" s="465">
        <f t="shared" si="11"/>
        <v>24742.742694413355</v>
      </c>
      <c r="M47" s="465">
        <f t="shared" si="11"/>
        <v>25509.767717940169</v>
      </c>
      <c r="N47" s="465">
        <f t="shared" si="11"/>
        <v>26300.570517196313</v>
      </c>
      <c r="O47" s="465">
        <f t="shared" si="11"/>
        <v>27115.888203229399</v>
      </c>
      <c r="P47" s="465">
        <f t="shared" si="11"/>
        <v>27956.480737529509</v>
      </c>
      <c r="Q47" s="465">
        <f t="shared" si="11"/>
        <v>28823.131640392923</v>
      </c>
      <c r="R47" s="102"/>
      <c r="S47" s="102"/>
      <c r="T47" s="102"/>
      <c r="U47" s="102"/>
    </row>
    <row r="48" spans="1:21" x14ac:dyDescent="0.35">
      <c r="A48" s="102"/>
      <c r="B48" s="122">
        <v>10</v>
      </c>
      <c r="C48" s="121" t="s">
        <v>1425</v>
      </c>
      <c r="D48" s="102"/>
      <c r="E48" s="102"/>
      <c r="F48" s="465">
        <f t="shared" ref="F48:Q48" si="12">F32*$H$14</f>
        <v>0</v>
      </c>
      <c r="G48" s="465">
        <f t="shared" si="12"/>
        <v>31200</v>
      </c>
      <c r="H48" s="465">
        <f t="shared" si="12"/>
        <v>32167.200000000001</v>
      </c>
      <c r="I48" s="465">
        <f t="shared" si="12"/>
        <v>33164.383200000004</v>
      </c>
      <c r="J48" s="465">
        <f t="shared" si="12"/>
        <v>34192.479079199999</v>
      </c>
      <c r="K48" s="465">
        <f t="shared" si="12"/>
        <v>35252.445930655194</v>
      </c>
      <c r="L48" s="465">
        <f t="shared" si="12"/>
        <v>36345.271754505498</v>
      </c>
      <c r="M48" s="465">
        <f t="shared" si="12"/>
        <v>37471.975178895162</v>
      </c>
      <c r="N48" s="465">
        <f t="shared" si="12"/>
        <v>38633.606409440916</v>
      </c>
      <c r="O48" s="465">
        <f t="shared" si="12"/>
        <v>39831.248208133577</v>
      </c>
      <c r="P48" s="465">
        <f t="shared" si="12"/>
        <v>41066.016902585718</v>
      </c>
      <c r="Q48" s="465">
        <f t="shared" si="12"/>
        <v>42339.063426565874</v>
      </c>
      <c r="R48" s="102"/>
      <c r="S48" s="102"/>
      <c r="T48" s="102"/>
      <c r="U48" s="102"/>
    </row>
    <row r="49" spans="1:21" x14ac:dyDescent="0.35">
      <c r="A49" s="102"/>
      <c r="B49" s="122">
        <v>11</v>
      </c>
      <c r="C49" s="121" t="s">
        <v>697</v>
      </c>
      <c r="D49" s="102"/>
      <c r="E49" s="102"/>
      <c r="F49" s="465">
        <f t="shared" ref="F49:Q49" si="13">F33*$H$15</f>
        <v>0</v>
      </c>
      <c r="G49" s="465">
        <f t="shared" si="13"/>
        <v>9408.0000000000018</v>
      </c>
      <c r="H49" s="465">
        <f t="shared" si="13"/>
        <v>9699.648000000001</v>
      </c>
      <c r="I49" s="465">
        <f t="shared" si="13"/>
        <v>10000.337087999998</v>
      </c>
      <c r="J49" s="465">
        <f t="shared" si="13"/>
        <v>10310.347537727999</v>
      </c>
      <c r="K49" s="465">
        <f t="shared" si="13"/>
        <v>10629.968311397564</v>
      </c>
      <c r="L49" s="465">
        <f t="shared" si="13"/>
        <v>10959.497329050888</v>
      </c>
      <c r="M49" s="465">
        <f t="shared" si="13"/>
        <v>11299.241746251466</v>
      </c>
      <c r="N49" s="465">
        <f t="shared" si="13"/>
        <v>11649.518240385261</v>
      </c>
      <c r="O49" s="465">
        <f t="shared" si="13"/>
        <v>12010.653305837202</v>
      </c>
      <c r="P49" s="465">
        <f t="shared" si="13"/>
        <v>12382.983558318154</v>
      </c>
      <c r="Q49" s="465">
        <f t="shared" si="13"/>
        <v>12766.856048626016</v>
      </c>
      <c r="R49" s="102"/>
      <c r="S49" s="102"/>
      <c r="T49" s="102"/>
      <c r="U49" s="102"/>
    </row>
    <row r="50" spans="1:21" x14ac:dyDescent="0.35">
      <c r="A50" s="102"/>
      <c r="B50" s="122">
        <v>12</v>
      </c>
      <c r="C50" s="121" t="s">
        <v>698</v>
      </c>
      <c r="D50" s="102"/>
      <c r="E50" s="102"/>
      <c r="F50" s="465">
        <f t="shared" ref="F50:Q50" si="14">F34*$H$16</f>
        <v>0</v>
      </c>
      <c r="G50" s="465">
        <f t="shared" si="14"/>
        <v>14662.499999999998</v>
      </c>
      <c r="H50" s="465">
        <f t="shared" si="14"/>
        <v>15117.037499999995</v>
      </c>
      <c r="I50" s="465">
        <f t="shared" si="14"/>
        <v>15585.665662499994</v>
      </c>
      <c r="J50" s="465">
        <f t="shared" si="14"/>
        <v>16068.821298037492</v>
      </c>
      <c r="K50" s="465">
        <f t="shared" si="14"/>
        <v>16566.954758276654</v>
      </c>
      <c r="L50" s="465">
        <f t="shared" si="14"/>
        <v>17080.53035578323</v>
      </c>
      <c r="M50" s="465">
        <f t="shared" si="14"/>
        <v>17610.026796812508</v>
      </c>
      <c r="N50" s="465">
        <f t="shared" si="14"/>
        <v>18155.937627513693</v>
      </c>
      <c r="O50" s="465">
        <f t="shared" si="14"/>
        <v>18718.771693966617</v>
      </c>
      <c r="P50" s="465">
        <f t="shared" si="14"/>
        <v>19299.053616479578</v>
      </c>
      <c r="Q50" s="465">
        <f t="shared" si="14"/>
        <v>19897.324278590444</v>
      </c>
      <c r="R50" s="102"/>
      <c r="S50" s="102"/>
      <c r="T50" s="102"/>
      <c r="U50" s="102"/>
    </row>
    <row r="51" spans="1:21" x14ac:dyDescent="0.35">
      <c r="A51" s="102"/>
      <c r="B51" s="124"/>
      <c r="C51" s="102"/>
      <c r="D51" s="102"/>
      <c r="E51" s="102"/>
      <c r="F51" s="465">
        <f t="shared" ref="F51:Q51" si="15">SUM(F39:F50)</f>
        <v>0</v>
      </c>
      <c r="G51" s="465">
        <f t="shared" si="15"/>
        <v>325656.5</v>
      </c>
      <c r="H51" s="465">
        <f t="shared" si="15"/>
        <v>335751.85149999993</v>
      </c>
      <c r="I51" s="465">
        <f t="shared" si="15"/>
        <v>346160.15889649995</v>
      </c>
      <c r="J51" s="465">
        <f t="shared" si="15"/>
        <v>356891.12382229138</v>
      </c>
      <c r="K51" s="465">
        <f t="shared" si="15"/>
        <v>367954.74866078241</v>
      </c>
      <c r="L51" s="465">
        <f t="shared" si="15"/>
        <v>379361.34586926666</v>
      </c>
      <c r="M51" s="465">
        <f t="shared" si="15"/>
        <v>391121.54759121378</v>
      </c>
      <c r="N51" s="465">
        <f t="shared" si="15"/>
        <v>403246.31556654157</v>
      </c>
      <c r="O51" s="465">
        <f t="shared" si="15"/>
        <v>415746.95134910417</v>
      </c>
      <c r="P51" s="465">
        <f t="shared" si="15"/>
        <v>428635.10684092646</v>
      </c>
      <c r="Q51" s="465">
        <f t="shared" si="15"/>
        <v>441922.7951529951</v>
      </c>
      <c r="R51" s="102"/>
      <c r="S51" s="102"/>
      <c r="T51" s="102"/>
      <c r="U51" s="102"/>
    </row>
    <row r="52" spans="1:21" x14ac:dyDescent="0.35">
      <c r="A52" s="102"/>
      <c r="B52" s="124"/>
      <c r="C52" s="102"/>
      <c r="D52" s="102"/>
      <c r="E52" s="102"/>
      <c r="F52" s="124"/>
      <c r="G52" s="472"/>
      <c r="H52" s="125"/>
      <c r="I52" s="102"/>
      <c r="J52" s="102"/>
      <c r="K52" s="102"/>
      <c r="L52" s="102"/>
      <c r="M52" s="102"/>
      <c r="N52" s="102"/>
      <c r="O52" s="102"/>
      <c r="P52" s="102"/>
      <c r="Q52" s="477"/>
      <c r="R52" s="102"/>
      <c r="S52" s="102"/>
      <c r="T52" s="102"/>
      <c r="U52" s="102"/>
    </row>
    <row r="53" spans="1:21" x14ac:dyDescent="0.35">
      <c r="A53" s="102"/>
      <c r="B53" s="124"/>
      <c r="C53" s="102"/>
      <c r="D53" s="102"/>
      <c r="E53" s="102"/>
      <c r="F53" s="124"/>
      <c r="G53" s="472"/>
      <c r="H53" s="125"/>
      <c r="I53" s="102"/>
      <c r="J53" s="102"/>
      <c r="K53" s="102"/>
      <c r="L53" s="102"/>
      <c r="M53" s="102"/>
      <c r="N53" s="102"/>
      <c r="O53" s="102"/>
      <c r="P53" s="102"/>
      <c r="Q53" s="102"/>
      <c r="R53" s="102"/>
      <c r="S53" s="102"/>
      <c r="T53" s="102"/>
      <c r="U53" s="102"/>
    </row>
    <row r="54" spans="1:21" x14ac:dyDescent="0.35">
      <c r="A54" s="102"/>
      <c r="B54" s="121" t="s">
        <v>712</v>
      </c>
      <c r="C54" s="102"/>
      <c r="D54" s="102"/>
      <c r="E54" s="102"/>
      <c r="F54" s="124"/>
      <c r="G54" s="472"/>
      <c r="H54" s="125"/>
      <c r="I54" s="102"/>
      <c r="J54" s="102"/>
      <c r="K54" s="102"/>
      <c r="L54" s="102"/>
      <c r="M54" s="102"/>
      <c r="N54" s="102"/>
      <c r="O54" s="102"/>
      <c r="P54" s="102"/>
      <c r="Q54" s="102"/>
      <c r="R54" s="102"/>
      <c r="S54" s="102"/>
      <c r="T54" s="102"/>
      <c r="U54" s="102"/>
    </row>
    <row r="55" spans="1:21" x14ac:dyDescent="0.35">
      <c r="A55" s="102"/>
      <c r="B55" s="122">
        <v>1</v>
      </c>
      <c r="C55" s="121" t="s">
        <v>1430</v>
      </c>
      <c r="D55" s="102"/>
      <c r="E55" s="102"/>
      <c r="F55" s="124"/>
      <c r="G55" s="472"/>
      <c r="H55" s="125"/>
      <c r="I55" s="102"/>
      <c r="J55" s="102"/>
      <c r="K55" s="102"/>
      <c r="L55" s="102"/>
      <c r="M55" s="102"/>
      <c r="N55" s="102"/>
      <c r="O55" s="102"/>
      <c r="P55" s="102"/>
      <c r="Q55" s="102"/>
      <c r="R55" s="102"/>
      <c r="S55" s="102"/>
      <c r="T55" s="102"/>
      <c r="U55" s="102"/>
    </row>
    <row r="56" spans="1:21" x14ac:dyDescent="0.35">
      <c r="A56" s="102"/>
      <c r="B56" s="122">
        <v>2</v>
      </c>
      <c r="C56" s="121" t="s">
        <v>1431</v>
      </c>
      <c r="D56" s="102"/>
      <c r="E56" s="102"/>
      <c r="F56" s="124"/>
      <c r="G56" s="472"/>
      <c r="H56" s="125"/>
      <c r="I56" s="102"/>
      <c r="J56" s="102"/>
      <c r="K56" s="102"/>
      <c r="L56" s="102"/>
      <c r="M56" s="102"/>
      <c r="N56" s="102"/>
      <c r="O56" s="102"/>
      <c r="P56" s="102"/>
      <c r="Q56" s="102"/>
      <c r="R56" s="102"/>
      <c r="S56" s="102"/>
      <c r="T56" s="102"/>
      <c r="U56" s="102"/>
    </row>
    <row r="57" spans="1:21" x14ac:dyDescent="0.35">
      <c r="A57" s="102"/>
      <c r="B57" s="122">
        <v>3</v>
      </c>
      <c r="C57" s="121" t="s">
        <v>1432</v>
      </c>
      <c r="D57" s="102"/>
      <c r="E57" s="102"/>
      <c r="F57" s="124"/>
      <c r="G57" s="472"/>
      <c r="H57" s="125"/>
      <c r="I57" s="102"/>
      <c r="J57" s="102"/>
      <c r="K57" s="102"/>
      <c r="L57" s="102"/>
      <c r="M57" s="102"/>
      <c r="N57" s="102"/>
      <c r="O57" s="102"/>
      <c r="P57" s="102"/>
      <c r="Q57" s="102"/>
      <c r="R57" s="102"/>
      <c r="S57" s="102"/>
      <c r="T57" s="102"/>
      <c r="U57" s="102"/>
    </row>
    <row r="58" spans="1:21" x14ac:dyDescent="0.35">
      <c r="A58" s="102"/>
      <c r="B58" s="122">
        <v>4</v>
      </c>
      <c r="C58" s="121" t="s">
        <v>1433</v>
      </c>
      <c r="D58" s="102"/>
      <c r="E58" s="102"/>
      <c r="F58" s="124"/>
      <c r="G58" s="472"/>
      <c r="H58" s="125"/>
      <c r="I58" s="102"/>
      <c r="J58" s="102"/>
      <c r="K58" s="102"/>
      <c r="L58" s="102"/>
      <c r="M58" s="102"/>
      <c r="N58" s="102"/>
      <c r="O58" s="102"/>
      <c r="P58" s="102"/>
      <c r="Q58" s="102"/>
      <c r="R58" s="102"/>
      <c r="S58" s="102"/>
      <c r="T58" s="102"/>
      <c r="U58" s="102"/>
    </row>
    <row r="59" spans="1:21" ht="13" customHeight="1" x14ac:dyDescent="0.35">
      <c r="A59" s="102"/>
      <c r="B59" s="126" t="s">
        <v>1434</v>
      </c>
      <c r="C59" s="102"/>
      <c r="D59" s="102"/>
      <c r="E59" s="122" t="s">
        <v>15</v>
      </c>
      <c r="F59" s="122" t="s">
        <v>26</v>
      </c>
      <c r="G59" s="473" t="s">
        <v>27</v>
      </c>
      <c r="H59" s="127" t="s">
        <v>28</v>
      </c>
      <c r="I59" s="122" t="s">
        <v>29</v>
      </c>
      <c r="J59" s="122" t="s">
        <v>30</v>
      </c>
      <c r="K59" s="122" t="s">
        <v>31</v>
      </c>
      <c r="L59" s="122" t="s">
        <v>32</v>
      </c>
      <c r="M59" s="122" t="s">
        <v>33</v>
      </c>
      <c r="N59" s="122" t="s">
        <v>34</v>
      </c>
      <c r="O59" s="122" t="s">
        <v>35</v>
      </c>
      <c r="P59" s="122" t="s">
        <v>1397</v>
      </c>
      <c r="Q59" s="122" t="s">
        <v>1397</v>
      </c>
      <c r="R59" s="102"/>
      <c r="S59" s="102"/>
      <c r="T59" s="102"/>
      <c r="U59" s="102"/>
    </row>
    <row r="60" spans="1:21" x14ac:dyDescent="0.35">
      <c r="A60" s="102"/>
      <c r="B60" s="102"/>
      <c r="C60" s="121" t="s">
        <v>1435</v>
      </c>
      <c r="D60" s="102"/>
      <c r="E60" s="99" t="s">
        <v>1427</v>
      </c>
      <c r="F60" s="122">
        <v>2026</v>
      </c>
      <c r="G60" s="122">
        <v>2027</v>
      </c>
      <c r="H60" s="122">
        <v>2028</v>
      </c>
      <c r="I60" s="122">
        <v>2029</v>
      </c>
      <c r="J60" s="122">
        <v>2030</v>
      </c>
      <c r="K60" s="122">
        <v>2031</v>
      </c>
      <c r="L60" s="122">
        <v>2032</v>
      </c>
      <c r="M60" s="122">
        <v>2033</v>
      </c>
      <c r="N60" s="122">
        <v>2034</v>
      </c>
      <c r="O60" s="122">
        <v>2035</v>
      </c>
      <c r="P60" s="122">
        <v>2036</v>
      </c>
      <c r="Q60" s="122">
        <v>2036</v>
      </c>
      <c r="R60" s="102"/>
      <c r="S60" s="102"/>
      <c r="T60" s="102"/>
      <c r="U60" s="102"/>
    </row>
    <row r="61" spans="1:21" x14ac:dyDescent="0.35">
      <c r="A61" s="102"/>
      <c r="B61" s="102"/>
      <c r="C61" s="121" t="s">
        <v>1436</v>
      </c>
      <c r="D61" s="102"/>
      <c r="E61" s="99"/>
      <c r="F61" s="465">
        <f>SUMIF(Timing!$C$7:$EN$7,F$21,Timing!$C$17:$EN$17)</f>
        <v>0</v>
      </c>
      <c r="G61" s="465">
        <f>SUMIF(Timing!$C$7:$EN$7,G$21,Timing!$C$17:$EN$17)</f>
        <v>0</v>
      </c>
      <c r="H61" s="465">
        <f>SUMIF(Timing!$C$7:$EN$7,H$21,Timing!$C$17:$EN$17)</f>
        <v>0</v>
      </c>
      <c r="I61" s="695">
        <f>SUMIF(Timing!$C$7:$EN$7,I$21,Timing!$C$17:$EN$17)</f>
        <v>357500</v>
      </c>
      <c r="J61" s="465">
        <f>SUMIF(Timing!$C$7:$EN$7,J$21,Timing!$C$17:$EN$17)</f>
        <v>402512.5</v>
      </c>
      <c r="K61" s="465">
        <f>SUMIF(Timing!$C$7:$EN$7,K$21,Timing!$C$17:$EN$17)</f>
        <v>416600.43749999994</v>
      </c>
      <c r="L61" s="465">
        <f>SUMIF(Timing!$C$7:$EN$7,L$21,Timing!$C$17:$EN$17)</f>
        <v>431181.45281249989</v>
      </c>
      <c r="M61" s="465">
        <f>SUMIF(Timing!$C$7:$EN$7,M$21,Timing!$C$17:$EN$17)</f>
        <v>856512.27638437471</v>
      </c>
      <c r="N61" s="465">
        <f>SUMIF(Timing!$C$7:$EN$7,N$21,Timing!$C$17:$EN$17)</f>
        <v>923784.70357814</v>
      </c>
      <c r="O61" s="465">
        <f>SUMIF(Timing!$C$7:$EN$7,O$21,Timing!$C$17:$EN$17)</f>
        <v>956117.16820337519</v>
      </c>
      <c r="P61" s="465">
        <f>SUMIF(Timing!$C$7:$EN$7,P$21,Timing!$C$17:$EN$17)</f>
        <v>989581.26909049344</v>
      </c>
      <c r="Q61" s="465">
        <f>SUMIF(Timing!$C$7:$EN$7,Q$21,Timing!$C$17:$EN$17)</f>
        <v>425068.50169031194</v>
      </c>
      <c r="R61" s="102"/>
      <c r="S61" s="102"/>
      <c r="T61" s="102"/>
      <c r="U61" s="102"/>
    </row>
    <row r="62" spans="1:21" x14ac:dyDescent="0.35">
      <c r="A62" s="102"/>
      <c r="B62" s="102"/>
      <c r="C62" s="121" t="s">
        <v>458</v>
      </c>
      <c r="D62" s="102"/>
      <c r="E62" s="99"/>
      <c r="F62" s="465">
        <f>SUMIF(Timing!$C$7:$EN$7,F$21,Timing!$C$18:$EN$18)</f>
        <v>0</v>
      </c>
      <c r="G62" s="465">
        <f>SUMIF(Timing!$C$7:$EN$7,G$21,Timing!$C$18:$EN$18)</f>
        <v>0</v>
      </c>
      <c r="H62" s="465">
        <f>SUMIF(Timing!$C$7:$EN$7,H$21,Timing!$C$18:$EN$18)</f>
        <v>0</v>
      </c>
      <c r="I62" s="465">
        <f>SUMIF(Timing!$C$7:$EN$7,I$21,Timing!$C$18:$EN$18)</f>
        <v>0</v>
      </c>
      <c r="J62" s="465">
        <f>SUMIF(Timing!$C$7:$EN$7,J$21,Timing!$C$18:$EN$18)</f>
        <v>0</v>
      </c>
      <c r="K62" s="465">
        <f>SUMIF(Timing!$C$7:$EN$7,K$21,Timing!$C$18:$EN$18)</f>
        <v>0</v>
      </c>
      <c r="L62" s="465">
        <f>SUMIF(Timing!$C$7:$EN$7,L$21,Timing!$C$18:$EN$18)</f>
        <v>0</v>
      </c>
      <c r="M62" s="465">
        <f>SUMIF(Timing!$C$7:$EN$7,M$21,Timing!$C$18:$EN$18)</f>
        <v>0</v>
      </c>
      <c r="N62" s="465">
        <f>SUMIF(Timing!$C$7:$EN$7,N$21,Timing!$C$18:$EN$18)</f>
        <v>0</v>
      </c>
      <c r="O62" s="465">
        <f>SUMIF(Timing!$C$7:$EN$7,O$21,Timing!$C$18:$EN$18)</f>
        <v>0</v>
      </c>
      <c r="P62" s="465">
        <f>SUMIF(Timing!$C$7:$EN$7,P$21,Timing!$C$18:$EN$18)</f>
        <v>0</v>
      </c>
      <c r="Q62" s="465">
        <f>SUMIF(Timing!$C$7:$EN$7,Q$21,Timing!$C$18:$EN$18)</f>
        <v>0</v>
      </c>
      <c r="R62" s="102"/>
      <c r="S62" s="102"/>
      <c r="T62" s="102"/>
      <c r="U62" s="102"/>
    </row>
    <row r="63" spans="1:21" x14ac:dyDescent="0.35">
      <c r="A63" s="102"/>
      <c r="B63" s="102"/>
      <c r="C63" s="121" t="s">
        <v>1437</v>
      </c>
      <c r="D63" s="102"/>
      <c r="E63" s="99"/>
      <c r="F63" s="465"/>
      <c r="G63" s="465"/>
      <c r="H63" s="465"/>
      <c r="I63" s="465"/>
      <c r="J63" s="465"/>
      <c r="K63" s="465"/>
      <c r="L63" s="465"/>
      <c r="M63" s="465"/>
      <c r="N63" s="465"/>
      <c r="O63" s="465"/>
      <c r="P63" s="465"/>
      <c r="Q63" s="465"/>
      <c r="R63" s="102"/>
      <c r="S63" s="102"/>
      <c r="T63" s="102"/>
      <c r="U63" s="102"/>
    </row>
    <row r="64" spans="1:21" x14ac:dyDescent="0.35">
      <c r="A64" s="102"/>
      <c r="B64" s="102"/>
      <c r="C64" s="121" t="s">
        <v>1438</v>
      </c>
      <c r="D64" s="102"/>
      <c r="E64" s="99"/>
      <c r="F64" s="465">
        <f>IF(F$59=Inputs!$F$31,Inputs!F43,0)</f>
        <v>0</v>
      </c>
      <c r="G64" s="465">
        <f>IF(G$59=Inputs!$F$31,Inputs!G43,0)</f>
        <v>0</v>
      </c>
      <c r="H64" s="465">
        <f>IF(H$59=Inputs!$F$31,Inputs!H43,0)</f>
        <v>0</v>
      </c>
      <c r="I64" s="465">
        <f>IF(I$59=Inputs!$F$31,Inputs!I43,0)</f>
        <v>0</v>
      </c>
      <c r="J64" s="465">
        <f>IF(J$59=Inputs!$F$31,Inputs!J43,0)</f>
        <v>0</v>
      </c>
      <c r="K64" s="465">
        <f>IF(K$59=Inputs!$F$31,Inputs!K43,0)</f>
        <v>0</v>
      </c>
      <c r="L64" s="465">
        <f>IF(L$59=Inputs!$F$31,Inputs!L43,0)</f>
        <v>0</v>
      </c>
      <c r="M64" s="465">
        <f>IF(M$59=Inputs!$F$31,Inputs!M43,0)</f>
        <v>0</v>
      </c>
      <c r="N64" s="465">
        <f>IF(N$59=Inputs!$F$31,Inputs!N43,0)</f>
        <v>0</v>
      </c>
      <c r="O64" s="465">
        <f>IF(O$59=Inputs!$F$31,Inputs!O43,0)</f>
        <v>0</v>
      </c>
      <c r="P64" s="465">
        <f>IF(P$59=Inputs!$F$31,Inputs!P43,0)</f>
        <v>0</v>
      </c>
      <c r="Q64" s="465">
        <f>IF(Q$59=Inputs!$F$31,Inputs!Q43,0)</f>
        <v>0</v>
      </c>
      <c r="R64" s="102"/>
      <c r="S64" s="102"/>
      <c r="T64" s="102"/>
      <c r="U64" s="102"/>
    </row>
    <row r="65" spans="1:21" x14ac:dyDescent="0.35">
      <c r="A65" s="102"/>
      <c r="B65" s="102"/>
      <c r="C65" s="121" t="s">
        <v>416</v>
      </c>
      <c r="D65" s="102"/>
      <c r="E65" s="99"/>
      <c r="F65" s="465">
        <v>0</v>
      </c>
      <c r="G65" s="465">
        <f t="shared" ref="G65:Q65" si="16">SUM(G61:G64)</f>
        <v>0</v>
      </c>
      <c r="H65" s="465">
        <f t="shared" si="16"/>
        <v>0</v>
      </c>
      <c r="I65" s="465">
        <f t="shared" si="16"/>
        <v>357500</v>
      </c>
      <c r="J65" s="465">
        <f t="shared" si="16"/>
        <v>402512.5</v>
      </c>
      <c r="K65" s="465">
        <f t="shared" si="16"/>
        <v>416600.43749999994</v>
      </c>
      <c r="L65" s="465">
        <f t="shared" si="16"/>
        <v>431181.45281249989</v>
      </c>
      <c r="M65" s="465">
        <f t="shared" si="16"/>
        <v>856512.27638437471</v>
      </c>
      <c r="N65" s="465">
        <f t="shared" si="16"/>
        <v>923784.70357814</v>
      </c>
      <c r="O65" s="465">
        <f t="shared" si="16"/>
        <v>956117.16820337519</v>
      </c>
      <c r="P65" s="465">
        <f t="shared" si="16"/>
        <v>989581.26909049344</v>
      </c>
      <c r="Q65" s="465">
        <f t="shared" si="16"/>
        <v>425068.50169031194</v>
      </c>
      <c r="R65" s="102"/>
      <c r="S65" s="102"/>
      <c r="T65" s="102"/>
      <c r="U65" s="102"/>
    </row>
    <row r="66" spans="1:21" x14ac:dyDescent="0.35">
      <c r="A66" s="102"/>
      <c r="B66" s="102"/>
      <c r="C66" s="102"/>
      <c r="D66" s="102"/>
      <c r="E66" s="99"/>
      <c r="F66" s="99"/>
      <c r="G66" s="99"/>
      <c r="H66" s="99"/>
      <c r="I66" s="99"/>
      <c r="J66" s="99"/>
      <c r="K66" s="99"/>
      <c r="L66" s="99"/>
      <c r="M66" s="99"/>
      <c r="N66" s="99"/>
      <c r="O66" s="99"/>
      <c r="P66" s="99"/>
      <c r="Q66" s="99"/>
      <c r="R66" s="102"/>
      <c r="S66" s="102"/>
      <c r="T66" s="102"/>
      <c r="U66" s="102"/>
    </row>
    <row r="67" spans="1:21" x14ac:dyDescent="0.35">
      <c r="A67" s="102"/>
      <c r="B67" s="102"/>
      <c r="C67" s="102"/>
      <c r="D67" s="102"/>
      <c r="E67" s="99"/>
      <c r="F67" s="99"/>
      <c r="G67" s="99"/>
      <c r="H67" s="99"/>
      <c r="I67" s="99"/>
      <c r="J67" s="99"/>
      <c r="K67" s="99"/>
      <c r="L67" s="99"/>
      <c r="M67" s="99"/>
      <c r="N67" s="99"/>
      <c r="O67" s="99"/>
      <c r="P67" s="99"/>
      <c r="Q67" s="99"/>
      <c r="R67" s="102"/>
      <c r="S67" s="102"/>
      <c r="T67" s="102"/>
      <c r="U67" s="102"/>
    </row>
    <row r="68" spans="1:21" ht="13" customHeight="1" x14ac:dyDescent="0.35">
      <c r="A68" s="102"/>
      <c r="B68" s="126" t="s">
        <v>117</v>
      </c>
      <c r="C68" s="102"/>
      <c r="D68" s="102"/>
      <c r="E68" s="122" t="s">
        <v>15</v>
      </c>
      <c r="F68" s="122" t="s">
        <v>26</v>
      </c>
      <c r="G68" s="473" t="s">
        <v>27</v>
      </c>
      <c r="H68" s="127" t="s">
        <v>28</v>
      </c>
      <c r="I68" s="122" t="s">
        <v>29</v>
      </c>
      <c r="J68" s="122" t="s">
        <v>30</v>
      </c>
      <c r="K68" s="122" t="s">
        <v>31</v>
      </c>
      <c r="L68" s="122" t="s">
        <v>32</v>
      </c>
      <c r="M68" s="122" t="s">
        <v>33</v>
      </c>
      <c r="N68" s="122" t="s">
        <v>34</v>
      </c>
      <c r="O68" s="122" t="s">
        <v>35</v>
      </c>
      <c r="P68" s="122" t="s">
        <v>1397</v>
      </c>
      <c r="Q68" s="122" t="s">
        <v>1397</v>
      </c>
      <c r="R68" s="102"/>
      <c r="S68" s="102"/>
      <c r="T68" s="102"/>
      <c r="U68" s="102"/>
    </row>
    <row r="69" spans="1:21" x14ac:dyDescent="0.35">
      <c r="A69" s="102"/>
      <c r="B69" s="121"/>
      <c r="C69" s="102"/>
      <c r="D69" s="102"/>
      <c r="E69" s="99" t="s">
        <v>1427</v>
      </c>
      <c r="F69" s="122">
        <v>2026</v>
      </c>
      <c r="G69" s="122">
        <v>2027</v>
      </c>
      <c r="H69" s="122">
        <v>2028</v>
      </c>
      <c r="I69" s="122">
        <v>2029</v>
      </c>
      <c r="J69" s="122">
        <v>2030</v>
      </c>
      <c r="K69" s="122">
        <v>2031</v>
      </c>
      <c r="L69" s="122">
        <v>2032</v>
      </c>
      <c r="M69" s="122">
        <v>2033</v>
      </c>
      <c r="N69" s="122">
        <v>2034</v>
      </c>
      <c r="O69" s="122">
        <v>2035</v>
      </c>
      <c r="P69" s="122">
        <v>2036</v>
      </c>
      <c r="Q69" s="122">
        <v>2036</v>
      </c>
      <c r="R69" s="102"/>
      <c r="S69" s="102"/>
      <c r="T69" s="102"/>
      <c r="U69" s="102"/>
    </row>
    <row r="70" spans="1:21" x14ac:dyDescent="0.35">
      <c r="A70" s="102"/>
      <c r="B70" s="122">
        <v>1</v>
      </c>
      <c r="C70" s="121" t="s">
        <v>1227</v>
      </c>
      <c r="D70" s="102"/>
      <c r="E70" s="99"/>
      <c r="F70" s="465">
        <f>Inputs!$E$232</f>
        <v>50000</v>
      </c>
      <c r="G70" s="465">
        <f>Inputs!$E$250*'Revenue Assumptions'!F141</f>
        <v>1602724.11</v>
      </c>
      <c r="H70" s="465">
        <f>Inputs!$E$250*'Revenue Assumptions'!G141</f>
        <v>1690588.0228500001</v>
      </c>
      <c r="I70" s="465">
        <f>Inputs!$E$250*'Revenue Assumptions'!H141</f>
        <v>1811991.45</v>
      </c>
      <c r="J70" s="465">
        <f>Inputs!$E$250*'Revenue Assumptions'!I141</f>
        <v>1850838.7755</v>
      </c>
      <c r="K70" s="465">
        <f>Inputs!$E$250*'Revenue Assumptions'!J141</f>
        <v>1906363.9387650001</v>
      </c>
      <c r="L70" s="465">
        <f>Inputs!$E$250*'Revenue Assumptions'!K141</f>
        <v>1963554.8569279499</v>
      </c>
      <c r="M70" s="465">
        <f>Inputs!$E$250*'Revenue Assumptions'!L141</f>
        <v>2022461.5026357886</v>
      </c>
      <c r="N70" s="465">
        <f>Inputs!$E$250*'Revenue Assumptions'!M141</f>
        <v>2083135.3477148621</v>
      </c>
      <c r="O70" s="465">
        <f>Inputs!$E$250*'Revenue Assumptions'!N141</f>
        <v>2145629.4081463078</v>
      </c>
      <c r="P70" s="465">
        <f>Inputs!$E$250*'Revenue Assumptions'!O141</f>
        <v>2209998.2903906973</v>
      </c>
      <c r="Q70" s="465">
        <f>Inputs!$E$250*'Revenue Assumptions'!P141</f>
        <v>0</v>
      </c>
      <c r="R70" s="102"/>
      <c r="S70" s="102"/>
      <c r="T70" s="102"/>
      <c r="U70" s="102"/>
    </row>
    <row r="71" spans="1:21" x14ac:dyDescent="0.35">
      <c r="A71" s="102"/>
      <c r="B71" s="122">
        <v>2</v>
      </c>
      <c r="C71" s="121" t="s">
        <v>1228</v>
      </c>
      <c r="D71" s="102"/>
      <c r="E71" s="99"/>
      <c r="F71" s="465">
        <f>Inputs!$F$225*'Revenue Assumptions'!E159</f>
        <v>0</v>
      </c>
      <c r="G71" s="465">
        <f>Inputs!$E$250*'Revenue Assumptions'!F159</f>
        <v>31834.620000000003</v>
      </c>
      <c r="H71" s="465">
        <f>Inputs!$E$250*'Revenue Assumptions'!G159</f>
        <v>33471.2817</v>
      </c>
      <c r="I71" s="465">
        <f>Inputs!$E$250*'Revenue Assumptions'!H159</f>
        <v>35874.9</v>
      </c>
      <c r="J71" s="465">
        <f>Inputs!$E$250*'Revenue Assumptions'!I159</f>
        <v>35874.9</v>
      </c>
      <c r="K71" s="465">
        <f>Inputs!$E$250*'Revenue Assumptions'!J159</f>
        <v>36951.146999999997</v>
      </c>
      <c r="L71" s="465">
        <f>Inputs!$E$250*'Revenue Assumptions'!K159</f>
        <v>38059.681410000005</v>
      </c>
      <c r="M71" s="465">
        <f>Inputs!$E$250*'Revenue Assumptions'!L159</f>
        <v>39201.471852300005</v>
      </c>
      <c r="N71" s="465">
        <f>Inputs!$E$250*'Revenue Assumptions'!M159</f>
        <v>40377.51600786901</v>
      </c>
      <c r="O71" s="465">
        <f>Inputs!$E$250*'Revenue Assumptions'!N159</f>
        <v>41588.84148810507</v>
      </c>
      <c r="P71" s="465">
        <f>Inputs!$E$250*'Revenue Assumptions'!O159</f>
        <v>42836.506732748232</v>
      </c>
      <c r="Q71" s="465">
        <f>Inputs!$E$250*'Revenue Assumptions'!P159</f>
        <v>0</v>
      </c>
      <c r="R71" s="102"/>
      <c r="S71" s="102"/>
      <c r="T71" s="102"/>
      <c r="U71" s="102"/>
    </row>
    <row r="72" spans="1:21" x14ac:dyDescent="0.35">
      <c r="A72" s="102"/>
      <c r="B72" s="122">
        <v>3</v>
      </c>
      <c r="C72" s="121" t="s">
        <v>1229</v>
      </c>
      <c r="D72" s="102"/>
      <c r="E72" s="99"/>
      <c r="F72" s="465">
        <f>Inputs!$E$233</f>
        <v>50000</v>
      </c>
      <c r="G72" s="465">
        <f>Inputs!$E$251*('Revenue Assumptions'!F141+'Revenue Assumptions'!F159)</f>
        <v>272426.45500000002</v>
      </c>
      <c r="H72" s="465">
        <f>Inputs!$E$251*('Revenue Assumptions'!G141+'Revenue Assumptions'!G159)</f>
        <v>287343.21742500004</v>
      </c>
      <c r="I72" s="465">
        <f>Inputs!$E$251*('Revenue Assumptions'!H141+'Revenue Assumptions'!H159)</f>
        <v>307977.72500000003</v>
      </c>
      <c r="J72" s="465">
        <f>Inputs!$E$251*('Revenue Assumptions'!I141+'Revenue Assumptions'!I159)</f>
        <v>314452.27925000002</v>
      </c>
      <c r="K72" s="465">
        <f>Inputs!$E$251*('Revenue Assumptions'!J141+'Revenue Assumptions'!J159)</f>
        <v>323885.84762750007</v>
      </c>
      <c r="L72" s="465">
        <f>Inputs!$E$251*('Revenue Assumptions'!K141+'Revenue Assumptions'!K159)</f>
        <v>333602.423056325</v>
      </c>
      <c r="M72" s="465">
        <f>Inputs!$E$251*('Revenue Assumptions'!L141+'Revenue Assumptions'!L159)</f>
        <v>343610.49574801483</v>
      </c>
      <c r="N72" s="465">
        <f>Inputs!$E$251*('Revenue Assumptions'!M141+'Revenue Assumptions'!M159)</f>
        <v>353918.81062045525</v>
      </c>
      <c r="O72" s="465">
        <f>Inputs!$E$251*('Revenue Assumptions'!N141+'Revenue Assumptions'!N159)</f>
        <v>364536.37493906886</v>
      </c>
      <c r="P72" s="465">
        <f>Inputs!$E$251*('Revenue Assumptions'!O141+'Revenue Assumptions'!O159)</f>
        <v>375472.46618724096</v>
      </c>
      <c r="Q72" s="465">
        <f>Inputs!$E$251*('Revenue Assumptions'!P141+'Revenue Assumptions'!P159)</f>
        <v>0</v>
      </c>
      <c r="R72" s="102"/>
      <c r="S72" s="102"/>
      <c r="T72" s="102"/>
      <c r="U72" s="102"/>
    </row>
    <row r="73" spans="1:21" x14ac:dyDescent="0.35">
      <c r="A73" s="102"/>
      <c r="B73" s="122">
        <v>4</v>
      </c>
      <c r="C73" s="121" t="s">
        <v>1230</v>
      </c>
      <c r="D73" s="102"/>
      <c r="E73" s="99"/>
      <c r="F73" s="465">
        <f>Inputs!$E$234</f>
        <v>25000</v>
      </c>
      <c r="G73" s="465">
        <v>150000</v>
      </c>
      <c r="H73" s="465">
        <f>G73*(1+Inputs!$E$308)</f>
        <v>154500</v>
      </c>
      <c r="I73" s="465">
        <f>H73*(1+Inputs!$E$308)</f>
        <v>159135</v>
      </c>
      <c r="J73" s="465">
        <f>I73*(1+Inputs!$E$308)</f>
        <v>163909.05000000002</v>
      </c>
      <c r="K73" s="465">
        <f>J73*(1+Inputs!$E$308)</f>
        <v>168826.32150000002</v>
      </c>
      <c r="L73" s="465">
        <f>K73*(1+Inputs!$E$308)</f>
        <v>173891.11114500003</v>
      </c>
      <c r="M73" s="465">
        <f>L73*(1+Inputs!$E$308)</f>
        <v>179107.84447935002</v>
      </c>
      <c r="N73" s="465">
        <f>M73*(1+Inputs!$E$308)</f>
        <v>184481.07981373052</v>
      </c>
      <c r="O73" s="465">
        <f>N73*(1+Inputs!$E$308)</f>
        <v>190015.51220814243</v>
      </c>
      <c r="P73" s="465">
        <f>O73*(1+Inputs!$E$308)</f>
        <v>195715.97757438672</v>
      </c>
      <c r="Q73" s="465">
        <f>P73*(1+Inputs!$E$308)</f>
        <v>201587.45690161834</v>
      </c>
      <c r="R73" s="102"/>
      <c r="S73" s="102"/>
      <c r="T73" s="102"/>
      <c r="U73" s="102"/>
    </row>
    <row r="74" spans="1:21" x14ac:dyDescent="0.35">
      <c r="A74" s="102"/>
      <c r="B74" s="129"/>
      <c r="C74" s="102"/>
      <c r="D74" s="102"/>
      <c r="E74" s="99"/>
      <c r="F74" s="478"/>
      <c r="G74" s="478"/>
      <c r="H74" s="478"/>
      <c r="I74" s="478"/>
      <c r="J74" s="478"/>
      <c r="K74" s="478"/>
      <c r="L74" s="478"/>
      <c r="M74" s="478"/>
      <c r="N74" s="478"/>
      <c r="O74" s="478"/>
      <c r="P74" s="478"/>
      <c r="Q74" s="478"/>
      <c r="R74" s="102"/>
      <c r="S74" s="102"/>
      <c r="T74" s="102"/>
      <c r="U74" s="102"/>
    </row>
    <row r="75" spans="1:21" ht="13" customHeight="1" x14ac:dyDescent="0.35">
      <c r="A75" s="102"/>
      <c r="B75" s="126" t="s">
        <v>1439</v>
      </c>
      <c r="C75" s="102"/>
      <c r="D75" s="102"/>
      <c r="E75" s="122" t="s">
        <v>15</v>
      </c>
      <c r="F75" s="122" t="s">
        <v>26</v>
      </c>
      <c r="G75" s="473" t="s">
        <v>27</v>
      </c>
      <c r="H75" s="127" t="s">
        <v>28</v>
      </c>
      <c r="I75" s="122" t="s">
        <v>29</v>
      </c>
      <c r="J75" s="122" t="s">
        <v>30</v>
      </c>
      <c r="K75" s="122" t="s">
        <v>31</v>
      </c>
      <c r="L75" s="122" t="s">
        <v>32</v>
      </c>
      <c r="M75" s="122" t="s">
        <v>33</v>
      </c>
      <c r="N75" s="122" t="s">
        <v>34</v>
      </c>
      <c r="O75" s="122" t="s">
        <v>35</v>
      </c>
      <c r="P75" s="122" t="s">
        <v>1397</v>
      </c>
      <c r="Q75" s="122" t="s">
        <v>1397</v>
      </c>
      <c r="R75" s="102"/>
      <c r="S75" s="102"/>
      <c r="T75" s="102"/>
      <c r="U75" s="102"/>
    </row>
    <row r="76" spans="1:21" x14ac:dyDescent="0.35">
      <c r="A76" s="102"/>
      <c r="B76" s="102"/>
      <c r="C76" s="121" t="s">
        <v>1439</v>
      </c>
      <c r="D76" s="102"/>
      <c r="E76" s="99" t="s">
        <v>1427</v>
      </c>
      <c r="F76" s="122">
        <v>2026</v>
      </c>
      <c r="G76" s="122">
        <v>2027</v>
      </c>
      <c r="H76" s="122">
        <v>2028</v>
      </c>
      <c r="I76" s="122">
        <v>2029</v>
      </c>
      <c r="J76" s="122">
        <v>2030</v>
      </c>
      <c r="K76" s="122">
        <v>2031</v>
      </c>
      <c r="L76" s="122">
        <v>2032</v>
      </c>
      <c r="M76" s="122">
        <v>2033</v>
      </c>
      <c r="N76" s="122">
        <v>2034</v>
      </c>
      <c r="O76" s="122">
        <v>2035</v>
      </c>
      <c r="P76" s="122">
        <v>2036</v>
      </c>
      <c r="Q76" s="122">
        <v>2036</v>
      </c>
      <c r="R76" s="102"/>
      <c r="S76" s="102"/>
      <c r="T76" s="102"/>
      <c r="U76" s="102"/>
    </row>
    <row r="77" spans="1:21" x14ac:dyDescent="0.35">
      <c r="A77" s="102"/>
      <c r="B77" s="102"/>
      <c r="C77" s="121" t="s">
        <v>1440</v>
      </c>
      <c r="D77" s="102"/>
      <c r="E77" s="99"/>
      <c r="F77" s="465">
        <v>0</v>
      </c>
      <c r="G77" s="479">
        <v>15000</v>
      </c>
      <c r="H77" s="465">
        <f>G77*(1+Inputs!$E$308)</f>
        <v>15450</v>
      </c>
      <c r="I77" s="465">
        <f>H77*(1+Inputs!$E$308)</f>
        <v>15913.5</v>
      </c>
      <c r="J77" s="465">
        <f>I77*(1+Inputs!$E$308)</f>
        <v>16390.904999999999</v>
      </c>
      <c r="K77" s="465">
        <f>J77*(1+Inputs!$E$308)</f>
        <v>16882.632149999998</v>
      </c>
      <c r="L77" s="465">
        <f>K77*(1+Inputs!$E$308)</f>
        <v>17389.1111145</v>
      </c>
      <c r="M77" s="465">
        <f>L77*(1+Inputs!$E$308)</f>
        <v>17910.784447934999</v>
      </c>
      <c r="N77" s="465">
        <f>M77*(1+Inputs!$E$308)</f>
        <v>18448.10798137305</v>
      </c>
      <c r="O77" s="465">
        <f>N77*(1+Inputs!$E$308)</f>
        <v>19001.551220814243</v>
      </c>
      <c r="P77" s="465">
        <f>O77*(1+Inputs!$E$308)</f>
        <v>19571.597757438671</v>
      </c>
      <c r="Q77" s="465">
        <f>P77*(1+Inputs!$E$308)</f>
        <v>20158.745690161832</v>
      </c>
      <c r="R77" s="102"/>
      <c r="S77" s="102"/>
      <c r="T77" s="102"/>
      <c r="U77" s="102"/>
    </row>
    <row r="78" spans="1:21" x14ac:dyDescent="0.35">
      <c r="A78" s="102"/>
      <c r="B78" s="102"/>
      <c r="C78" s="121" t="s">
        <v>1086</v>
      </c>
      <c r="D78" s="102"/>
      <c r="E78" s="99"/>
      <c r="F78" s="465">
        <v>0</v>
      </c>
      <c r="G78" s="479">
        <v>12000</v>
      </c>
      <c r="H78" s="465">
        <f>G78*(1+Inputs!$E$308)</f>
        <v>12360</v>
      </c>
      <c r="I78" s="465">
        <f>H78*(1+Inputs!$E$308)</f>
        <v>12730.800000000001</v>
      </c>
      <c r="J78" s="465">
        <f>I78*(1+Inputs!$E$308)</f>
        <v>13112.724000000002</v>
      </c>
      <c r="K78" s="465">
        <f>J78*(1+Inputs!$E$308)</f>
        <v>13506.105720000003</v>
      </c>
      <c r="L78" s="465">
        <f>K78*(1+Inputs!$E$308)</f>
        <v>13911.288891600003</v>
      </c>
      <c r="M78" s="465">
        <f>L78*(1+Inputs!$E$308)</f>
        <v>14328.627558348004</v>
      </c>
      <c r="N78" s="465">
        <f>M78*(1+Inputs!$E$308)</f>
        <v>14758.486385098444</v>
      </c>
      <c r="O78" s="465">
        <f>N78*(1+Inputs!$E$308)</f>
        <v>15201.240976651397</v>
      </c>
      <c r="P78" s="465">
        <f>O78*(1+Inputs!$E$308)</f>
        <v>15657.278205950939</v>
      </c>
      <c r="Q78" s="465">
        <f>P78*(1+Inputs!$E$308)</f>
        <v>16126.996552129467</v>
      </c>
      <c r="R78" s="102"/>
      <c r="S78" s="102"/>
      <c r="T78" s="102"/>
      <c r="U78" s="102"/>
    </row>
    <row r="79" spans="1:21" x14ac:dyDescent="0.35">
      <c r="A79" s="102"/>
      <c r="B79" s="102"/>
      <c r="C79" s="121" t="s">
        <v>1441</v>
      </c>
      <c r="D79" s="102"/>
      <c r="E79" s="99"/>
      <c r="F79" s="465">
        <v>0</v>
      </c>
      <c r="G79" s="479">
        <v>10000</v>
      </c>
      <c r="H79" s="465">
        <f>G79*(1+Inputs!$E$308)</f>
        <v>10300</v>
      </c>
      <c r="I79" s="465">
        <f>H79*(1+Inputs!$E$308)</f>
        <v>10609</v>
      </c>
      <c r="J79" s="465">
        <f>I79*(1+Inputs!$E$308)</f>
        <v>10927.27</v>
      </c>
      <c r="K79" s="465">
        <f>J79*(1+Inputs!$E$308)</f>
        <v>11255.088100000001</v>
      </c>
      <c r="L79" s="465">
        <f>K79*(1+Inputs!$E$308)</f>
        <v>11592.740743</v>
      </c>
      <c r="M79" s="465">
        <f>L79*(1+Inputs!$E$308)</f>
        <v>11940.52296529</v>
      </c>
      <c r="N79" s="465">
        <f>M79*(1+Inputs!$E$308)</f>
        <v>12298.7386542487</v>
      </c>
      <c r="O79" s="465">
        <f>N79*(1+Inputs!$E$308)</f>
        <v>12667.700813876161</v>
      </c>
      <c r="P79" s="465">
        <f>O79*(1+Inputs!$E$308)</f>
        <v>13047.731838292446</v>
      </c>
      <c r="Q79" s="465">
        <f>P79*(1+Inputs!$E$308)</f>
        <v>13439.163793441219</v>
      </c>
      <c r="R79" s="102"/>
      <c r="S79" s="102"/>
      <c r="T79" s="102"/>
      <c r="U79" s="102"/>
    </row>
    <row r="80" spans="1:21" x14ac:dyDescent="0.35">
      <c r="A80" s="102"/>
      <c r="B80" s="102"/>
      <c r="C80" s="121" t="s">
        <v>1442</v>
      </c>
      <c r="D80" s="102"/>
      <c r="E80" s="99"/>
      <c r="F80" s="465">
        <v>0</v>
      </c>
      <c r="G80" s="479">
        <v>25000</v>
      </c>
      <c r="H80" s="465">
        <f>G80*(1+Inputs!$E$308)</f>
        <v>25750</v>
      </c>
      <c r="I80" s="465">
        <f>H80*(1+Inputs!$E$308)</f>
        <v>26522.5</v>
      </c>
      <c r="J80" s="465">
        <f>I80*(1+Inputs!$E$308)</f>
        <v>27318.174999999999</v>
      </c>
      <c r="K80" s="465">
        <f>J80*(1+Inputs!$E$308)</f>
        <v>28137.720249999998</v>
      </c>
      <c r="L80" s="465">
        <f>K80*(1+Inputs!$E$308)</f>
        <v>28981.851857499998</v>
      </c>
      <c r="M80" s="465">
        <f>L80*(1+Inputs!$E$308)</f>
        <v>29851.307413225</v>
      </c>
      <c r="N80" s="465">
        <f>M80*(1+Inputs!$E$308)</f>
        <v>30746.84663562175</v>
      </c>
      <c r="O80" s="465">
        <f>N80*(1+Inputs!$E$308)</f>
        <v>31669.252034690402</v>
      </c>
      <c r="P80" s="465">
        <f>O80*(1+Inputs!$E$308)</f>
        <v>32619.329595731117</v>
      </c>
      <c r="Q80" s="465">
        <f>P80*(1+Inputs!$E$308)</f>
        <v>33597.909483603049</v>
      </c>
      <c r="R80" s="102"/>
      <c r="S80" s="102"/>
      <c r="T80" s="102"/>
      <c r="U80" s="102"/>
    </row>
    <row r="81" spans="1:21" x14ac:dyDescent="0.35">
      <c r="A81" s="102"/>
      <c r="B81" s="102"/>
      <c r="C81" s="121" t="s">
        <v>554</v>
      </c>
      <c r="D81" s="102"/>
      <c r="E81" s="99"/>
      <c r="F81" s="465">
        <v>0</v>
      </c>
      <c r="G81" s="479">
        <v>8000</v>
      </c>
      <c r="H81" s="465">
        <f>G81*(1+Inputs!$E$308)</f>
        <v>8240</v>
      </c>
      <c r="I81" s="465">
        <f>H81*(1+Inputs!$E$308)</f>
        <v>8487.2000000000007</v>
      </c>
      <c r="J81" s="465">
        <f>I81*(1+Inputs!$E$308)</f>
        <v>8741.8160000000007</v>
      </c>
      <c r="K81" s="465">
        <f>J81*(1+Inputs!$E$308)</f>
        <v>9004.0704800000003</v>
      </c>
      <c r="L81" s="465">
        <f>K81*(1+Inputs!$E$308)</f>
        <v>9274.1925944000013</v>
      </c>
      <c r="M81" s="465">
        <f>L81*(1+Inputs!$E$308)</f>
        <v>9552.4183722320013</v>
      </c>
      <c r="N81" s="465">
        <f>M81*(1+Inputs!$E$308)</f>
        <v>9838.990923398962</v>
      </c>
      <c r="O81" s="465">
        <f>N81*(1+Inputs!$E$308)</f>
        <v>10134.16065110093</v>
      </c>
      <c r="P81" s="465">
        <f>O81*(1+Inputs!$E$308)</f>
        <v>10438.185470633958</v>
      </c>
      <c r="Q81" s="465">
        <f>P81*(1+Inputs!$E$308)</f>
        <v>10751.331034752977</v>
      </c>
      <c r="R81" s="102"/>
      <c r="S81" s="102"/>
      <c r="T81" s="102"/>
      <c r="U81" s="102"/>
    </row>
    <row r="82" spans="1:21" x14ac:dyDescent="0.35">
      <c r="A82" s="102"/>
      <c r="B82" s="102"/>
      <c r="C82" s="121" t="s">
        <v>1443</v>
      </c>
      <c r="D82" s="102"/>
      <c r="E82" s="99"/>
      <c r="F82" s="465">
        <v>0</v>
      </c>
      <c r="G82" s="479">
        <v>35000</v>
      </c>
      <c r="H82" s="465">
        <f>G82*(1+Inputs!$E$308)</f>
        <v>36050</v>
      </c>
      <c r="I82" s="465">
        <f>H82*(1+Inputs!$E$308)</f>
        <v>37131.5</v>
      </c>
      <c r="J82" s="465">
        <f>I82*(1+Inputs!$E$308)</f>
        <v>38245.445</v>
      </c>
      <c r="K82" s="465">
        <f>J82*(1+Inputs!$E$308)</f>
        <v>39392.808349999999</v>
      </c>
      <c r="L82" s="465">
        <f>K82*(1+Inputs!$E$308)</f>
        <v>40574.5926005</v>
      </c>
      <c r="M82" s="465">
        <f>L82*(1+Inputs!$E$308)</f>
        <v>41791.830378514998</v>
      </c>
      <c r="N82" s="465">
        <f>M82*(1+Inputs!$E$308)</f>
        <v>43045.585289870447</v>
      </c>
      <c r="O82" s="465">
        <f>N82*(1+Inputs!$E$308)</f>
        <v>44336.952848566565</v>
      </c>
      <c r="P82" s="465">
        <f>O82*(1+Inputs!$E$308)</f>
        <v>45667.061434023562</v>
      </c>
      <c r="Q82" s="465">
        <f>P82*(1+Inputs!$E$308)</f>
        <v>47037.07327704427</v>
      </c>
      <c r="R82" s="102"/>
      <c r="S82" s="102"/>
      <c r="T82" s="102"/>
      <c r="U82" s="102"/>
    </row>
    <row r="83" spans="1:21" x14ac:dyDescent="0.35">
      <c r="A83" s="102"/>
      <c r="B83" s="102"/>
      <c r="C83" s="121" t="s">
        <v>1444</v>
      </c>
      <c r="D83" s="102"/>
      <c r="E83" s="99"/>
      <c r="F83" s="465">
        <v>0</v>
      </c>
      <c r="G83" s="479">
        <v>20000</v>
      </c>
      <c r="H83" s="465">
        <f>G83*(1+Inputs!$E$308)</f>
        <v>20600</v>
      </c>
      <c r="I83" s="465">
        <f>H83*(1+Inputs!$E$308)</f>
        <v>21218</v>
      </c>
      <c r="J83" s="465">
        <f>I83*(1+Inputs!$E$308)</f>
        <v>21854.54</v>
      </c>
      <c r="K83" s="465">
        <f>J83*(1+Inputs!$E$308)</f>
        <v>22510.176200000002</v>
      </c>
      <c r="L83" s="465">
        <f>K83*(1+Inputs!$E$308)</f>
        <v>23185.481486000001</v>
      </c>
      <c r="M83" s="465">
        <f>L83*(1+Inputs!$E$308)</f>
        <v>23881.04593058</v>
      </c>
      <c r="N83" s="465">
        <f>M83*(1+Inputs!$E$308)</f>
        <v>24597.4773084974</v>
      </c>
      <c r="O83" s="465">
        <f>N83*(1+Inputs!$E$308)</f>
        <v>25335.401627752322</v>
      </c>
      <c r="P83" s="465">
        <f>O83*(1+Inputs!$E$308)</f>
        <v>26095.463676584892</v>
      </c>
      <c r="Q83" s="465">
        <f>P83*(1+Inputs!$E$308)</f>
        <v>26878.327586882438</v>
      </c>
      <c r="R83" s="102"/>
      <c r="S83" s="102"/>
      <c r="T83" s="102"/>
      <c r="U83" s="102"/>
    </row>
    <row r="84" spans="1:21" x14ac:dyDescent="0.35">
      <c r="A84" s="102"/>
      <c r="B84" s="102"/>
      <c r="C84" s="121" t="s">
        <v>1445</v>
      </c>
      <c r="D84" s="102"/>
      <c r="E84" s="99"/>
      <c r="F84" s="465">
        <v>0</v>
      </c>
      <c r="G84" s="479">
        <v>5000</v>
      </c>
      <c r="H84" s="465">
        <f>G84*(1+Inputs!$E$308)</f>
        <v>5150</v>
      </c>
      <c r="I84" s="465">
        <f>H84*(1+Inputs!$E$308)</f>
        <v>5304.5</v>
      </c>
      <c r="J84" s="465">
        <f>I84*(1+Inputs!$E$308)</f>
        <v>5463.6350000000002</v>
      </c>
      <c r="K84" s="465">
        <f>J84*(1+Inputs!$E$308)</f>
        <v>5627.5440500000004</v>
      </c>
      <c r="L84" s="465">
        <f>K84*(1+Inputs!$E$308)</f>
        <v>5796.3703715000001</v>
      </c>
      <c r="M84" s="465">
        <f>L84*(1+Inputs!$E$308)</f>
        <v>5970.2614826449999</v>
      </c>
      <c r="N84" s="465">
        <f>M84*(1+Inputs!$E$308)</f>
        <v>6149.3693271243501</v>
      </c>
      <c r="O84" s="465">
        <f>N84*(1+Inputs!$E$308)</f>
        <v>6333.8504069380806</v>
      </c>
      <c r="P84" s="465">
        <f>O84*(1+Inputs!$E$308)</f>
        <v>6523.865919146223</v>
      </c>
      <c r="Q84" s="465">
        <f>P84*(1+Inputs!$E$308)</f>
        <v>6719.5818967206096</v>
      </c>
      <c r="R84" s="102"/>
      <c r="S84" s="102"/>
      <c r="T84" s="102"/>
      <c r="U84" s="102"/>
    </row>
    <row r="85" spans="1:21" x14ac:dyDescent="0.35">
      <c r="A85" s="102"/>
      <c r="B85" s="102"/>
      <c r="C85" s="121" t="s">
        <v>1446</v>
      </c>
      <c r="D85" s="102"/>
      <c r="E85" s="99"/>
      <c r="F85" s="465">
        <v>0</v>
      </c>
      <c r="G85" s="479">
        <v>15000</v>
      </c>
      <c r="H85" s="465">
        <f>G85*(1+Inputs!$E$308)</f>
        <v>15450</v>
      </c>
      <c r="I85" s="465">
        <f>H85*(1+Inputs!$E$308)</f>
        <v>15913.5</v>
      </c>
      <c r="J85" s="465">
        <f>I85*(1+Inputs!$E$308)</f>
        <v>16390.904999999999</v>
      </c>
      <c r="K85" s="465">
        <f>J85*(1+Inputs!$E$308)</f>
        <v>16882.632149999998</v>
      </c>
      <c r="L85" s="465">
        <f>K85*(1+Inputs!$E$308)</f>
        <v>17389.1111145</v>
      </c>
      <c r="M85" s="465">
        <f>L85*(1+Inputs!$E$308)</f>
        <v>17910.784447934999</v>
      </c>
      <c r="N85" s="465">
        <f>M85*(1+Inputs!$E$308)</f>
        <v>18448.10798137305</v>
      </c>
      <c r="O85" s="465">
        <f>N85*(1+Inputs!$E$308)</f>
        <v>19001.551220814243</v>
      </c>
      <c r="P85" s="465">
        <f>O85*(1+Inputs!$E$308)</f>
        <v>19571.597757438671</v>
      </c>
      <c r="Q85" s="465">
        <f>P85*(1+Inputs!$E$308)</f>
        <v>20158.745690161832</v>
      </c>
      <c r="R85" s="102"/>
      <c r="S85" s="102"/>
      <c r="T85" s="102"/>
      <c r="U85" s="102"/>
    </row>
    <row r="86" spans="1:21" x14ac:dyDescent="0.35">
      <c r="A86" s="102"/>
      <c r="B86" s="102"/>
      <c r="C86" s="102" t="s">
        <v>416</v>
      </c>
      <c r="D86" s="102"/>
      <c r="E86" s="99"/>
      <c r="F86" s="465">
        <v>0</v>
      </c>
      <c r="G86" s="465">
        <f t="shared" ref="G86:Q86" si="17">SUM(G77:G85)</f>
        <v>145000</v>
      </c>
      <c r="H86" s="465">
        <f t="shared" si="17"/>
        <v>149350</v>
      </c>
      <c r="I86" s="465">
        <f t="shared" si="17"/>
        <v>153830.5</v>
      </c>
      <c r="J86" s="465">
        <f t="shared" si="17"/>
        <v>158445.41500000004</v>
      </c>
      <c r="K86" s="465">
        <f t="shared" si="17"/>
        <v>163198.77744999999</v>
      </c>
      <c r="L86" s="465">
        <f t="shared" si="17"/>
        <v>168094.7407735</v>
      </c>
      <c r="M86" s="465">
        <f t="shared" si="17"/>
        <v>173137.58299670502</v>
      </c>
      <c r="N86" s="465">
        <f t="shared" si="17"/>
        <v>178331.71048660617</v>
      </c>
      <c r="O86" s="465">
        <f t="shared" si="17"/>
        <v>183681.66180120432</v>
      </c>
      <c r="P86" s="465">
        <f t="shared" si="17"/>
        <v>189192.11165524047</v>
      </c>
      <c r="Q86" s="465">
        <f t="shared" si="17"/>
        <v>194867.87500489765</v>
      </c>
      <c r="R86" s="102"/>
      <c r="S86" s="102"/>
      <c r="T86" s="102"/>
      <c r="U86" s="102"/>
    </row>
    <row r="87" spans="1:21" x14ac:dyDescent="0.35">
      <c r="A87" s="102"/>
      <c r="B87" s="102"/>
      <c r="C87" s="102"/>
      <c r="D87" s="102"/>
      <c r="E87" s="102"/>
      <c r="F87" s="102"/>
      <c r="G87" s="102"/>
      <c r="H87" s="102"/>
      <c r="I87" s="102"/>
      <c r="J87" s="102"/>
      <c r="K87" s="102"/>
      <c r="L87" s="102"/>
      <c r="M87" s="102"/>
      <c r="N87" s="102"/>
      <c r="O87" s="102"/>
      <c r="P87" s="102"/>
      <c r="Q87" s="102"/>
      <c r="R87" s="102"/>
      <c r="S87" s="102"/>
      <c r="T87" s="102"/>
      <c r="U87" s="102"/>
    </row>
    <row r="88" spans="1:21" x14ac:dyDescent="0.35">
      <c r="A88" s="102"/>
      <c r="B88" s="102"/>
      <c r="C88" s="102"/>
      <c r="D88" s="102"/>
      <c r="E88" s="102"/>
      <c r="F88" s="102"/>
      <c r="G88" s="102"/>
      <c r="H88" s="102"/>
      <c r="I88" s="102"/>
      <c r="J88" s="102"/>
      <c r="K88" s="102"/>
      <c r="L88" s="102"/>
      <c r="M88" s="102"/>
      <c r="N88" s="102"/>
      <c r="O88" s="102"/>
      <c r="P88" s="102"/>
      <c r="Q88" s="102"/>
      <c r="R88" s="102"/>
      <c r="S88" s="102"/>
      <c r="T88" s="102"/>
      <c r="U88" s="102"/>
    </row>
    <row r="89" spans="1:21" x14ac:dyDescent="0.35">
      <c r="A89" s="102"/>
      <c r="B89" s="102"/>
      <c r="C89" s="102"/>
      <c r="D89" s="102"/>
      <c r="E89" s="102"/>
      <c r="F89" s="102"/>
      <c r="G89" s="102"/>
      <c r="H89" s="102"/>
      <c r="I89" s="102"/>
      <c r="J89" s="102"/>
      <c r="K89" s="102"/>
      <c r="L89" s="102"/>
      <c r="M89" s="102"/>
      <c r="N89" s="102"/>
      <c r="O89" s="102"/>
      <c r="P89" s="102"/>
      <c r="Q89" s="102"/>
      <c r="R89" s="102"/>
      <c r="S89" s="102"/>
      <c r="T89" s="102"/>
      <c r="U89" s="102"/>
    </row>
    <row r="90" spans="1:21" ht="13" customHeight="1" x14ac:dyDescent="0.35">
      <c r="A90" s="102"/>
      <c r="B90" s="64"/>
      <c r="C90" s="102"/>
      <c r="D90" s="102"/>
      <c r="E90" s="130"/>
      <c r="F90" s="130"/>
      <c r="G90" s="102"/>
      <c r="H90" s="102"/>
      <c r="I90" s="102"/>
      <c r="J90" s="102"/>
      <c r="K90" s="102"/>
      <c r="L90" s="102"/>
      <c r="M90" s="102"/>
      <c r="N90" s="102"/>
      <c r="O90" s="102"/>
      <c r="P90" s="102"/>
      <c r="Q90" s="102"/>
      <c r="R90" s="102"/>
      <c r="S90" s="102"/>
      <c r="T90" s="102"/>
      <c r="U90" s="102"/>
    </row>
    <row r="91" spans="1:21" x14ac:dyDescent="0.35">
      <c r="A91" s="102"/>
      <c r="B91" s="121"/>
      <c r="C91" s="102"/>
      <c r="D91" s="102"/>
      <c r="E91" s="130"/>
      <c r="F91" s="130"/>
      <c r="G91" s="130"/>
      <c r="H91" s="130"/>
      <c r="I91" s="102"/>
      <c r="J91" s="102"/>
      <c r="K91" s="102"/>
      <c r="L91" s="102"/>
      <c r="M91" s="102"/>
      <c r="N91" s="102"/>
      <c r="O91" s="102"/>
      <c r="P91" s="102"/>
      <c r="Q91" s="102"/>
      <c r="R91" s="102"/>
      <c r="S91" s="102"/>
      <c r="T91" s="102"/>
      <c r="U91" s="102"/>
    </row>
    <row r="92" spans="1:21" x14ac:dyDescent="0.35">
      <c r="A92" s="102"/>
      <c r="B92" s="121"/>
      <c r="C92" s="102"/>
      <c r="D92" s="102"/>
      <c r="E92" s="130"/>
      <c r="F92" s="130"/>
      <c r="G92" s="130"/>
      <c r="H92" s="130"/>
      <c r="I92" s="102"/>
      <c r="J92" s="102"/>
      <c r="K92" s="102"/>
      <c r="L92" s="102"/>
      <c r="M92" s="102"/>
      <c r="N92" s="102"/>
      <c r="O92" s="102"/>
      <c r="P92" s="102"/>
      <c r="Q92" s="102"/>
      <c r="R92" s="102"/>
      <c r="S92" s="102"/>
      <c r="T92" s="102"/>
      <c r="U92" s="102"/>
    </row>
    <row r="93" spans="1:21" x14ac:dyDescent="0.35">
      <c r="A93" s="102"/>
      <c r="B93" s="121"/>
      <c r="C93" s="102"/>
      <c r="D93" s="102"/>
      <c r="E93" s="130"/>
      <c r="F93" s="130"/>
      <c r="G93" s="130"/>
      <c r="H93" s="130"/>
      <c r="I93" s="102"/>
      <c r="J93" s="102"/>
      <c r="K93" s="102"/>
      <c r="L93" s="102"/>
      <c r="M93" s="102"/>
      <c r="N93" s="102"/>
      <c r="O93" s="102"/>
      <c r="P93" s="102"/>
      <c r="Q93" s="102"/>
      <c r="R93" s="102"/>
      <c r="S93" s="102"/>
      <c r="T93" s="102"/>
      <c r="U93" s="102"/>
    </row>
    <row r="94" spans="1:21" x14ac:dyDescent="0.35">
      <c r="A94" s="102"/>
      <c r="B94" s="121"/>
      <c r="C94" s="102"/>
      <c r="D94" s="102"/>
      <c r="E94" s="130"/>
      <c r="F94" s="130"/>
      <c r="G94" s="102"/>
      <c r="H94" s="130"/>
      <c r="I94" s="102"/>
      <c r="J94" s="102"/>
      <c r="K94" s="102"/>
      <c r="L94" s="102"/>
      <c r="M94" s="102"/>
      <c r="N94" s="102"/>
      <c r="O94" s="102"/>
      <c r="P94" s="102"/>
      <c r="Q94" s="102"/>
      <c r="R94" s="102"/>
      <c r="S94" s="102"/>
      <c r="T94" s="102"/>
      <c r="U94" s="102"/>
    </row>
    <row r="95" spans="1:21" x14ac:dyDescent="0.35">
      <c r="A95" s="102"/>
      <c r="B95" s="121"/>
      <c r="C95" s="102"/>
      <c r="D95" s="102"/>
      <c r="E95" s="130"/>
      <c r="F95" s="130"/>
      <c r="G95" s="102"/>
      <c r="H95" s="102"/>
      <c r="I95" s="102"/>
      <c r="J95" s="102"/>
      <c r="K95" s="102"/>
      <c r="L95" s="102"/>
      <c r="M95" s="102"/>
      <c r="N95" s="102"/>
      <c r="O95" s="102"/>
      <c r="P95" s="102"/>
      <c r="Q95" s="102"/>
      <c r="R95" s="102"/>
      <c r="S95" s="102"/>
      <c r="T95" s="102"/>
      <c r="U95" s="102"/>
    </row>
    <row r="96" spans="1:21" x14ac:dyDescent="0.35">
      <c r="A96" s="102"/>
      <c r="B96" s="102"/>
      <c r="C96" s="102"/>
      <c r="D96" s="102"/>
      <c r="E96" s="102"/>
      <c r="F96" s="130"/>
      <c r="G96" s="102"/>
      <c r="H96" s="102"/>
      <c r="I96" s="102"/>
      <c r="J96" s="102"/>
      <c r="K96" s="102"/>
      <c r="L96" s="102"/>
      <c r="M96" s="102"/>
      <c r="N96" s="102"/>
      <c r="O96" s="102"/>
      <c r="P96" s="102"/>
      <c r="Q96" s="102"/>
      <c r="R96" s="102"/>
      <c r="S96" s="102"/>
      <c r="T96" s="102"/>
      <c r="U96" s="10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9" tint="-0.249977111117893"/>
  </sheetPr>
  <dimension ref="A1:R85"/>
  <sheetViews>
    <sheetView showGridLines="0" topLeftCell="A21" zoomScale="90" zoomScaleNormal="90" workbookViewId="0">
      <selection activeCell="B40" sqref="B40"/>
    </sheetView>
  </sheetViews>
  <sheetFormatPr defaultRowHeight="14.5" x14ac:dyDescent="0.35"/>
  <cols>
    <col min="1" max="1" width="12.453125" bestFit="1" customWidth="1"/>
    <col min="2" max="2" width="33.54296875" customWidth="1"/>
    <col min="3" max="3" width="27.81640625" customWidth="1"/>
    <col min="4" max="4" width="14" customWidth="1"/>
    <col min="5" max="6" width="13" customWidth="1"/>
    <col min="7" max="7" width="12.81640625" bestFit="1" customWidth="1"/>
    <col min="8" max="8" width="14.1796875" bestFit="1" customWidth="1"/>
    <col min="9" max="16" width="13" customWidth="1"/>
    <col min="17" max="17" width="14" bestFit="1" customWidth="1"/>
    <col min="18" max="18" width="13" customWidth="1"/>
  </cols>
  <sheetData>
    <row r="1" spans="1:18" ht="24" customHeight="1" x14ac:dyDescent="0.35">
      <c r="A1" s="71" t="s">
        <v>354</v>
      </c>
      <c r="B1" s="75"/>
      <c r="C1" s="75"/>
      <c r="D1" s="105"/>
      <c r="E1" s="105"/>
      <c r="F1" s="105"/>
      <c r="G1" s="105"/>
      <c r="H1" s="105"/>
      <c r="I1" s="105"/>
      <c r="J1" s="105"/>
      <c r="K1" s="105"/>
      <c r="L1" s="105"/>
      <c r="M1" s="105"/>
      <c r="N1" s="105"/>
      <c r="O1" s="105"/>
      <c r="P1" s="105"/>
      <c r="Q1" s="75"/>
      <c r="R1" s="75"/>
    </row>
    <row r="2" spans="1:18" x14ac:dyDescent="0.35">
      <c r="A2" s="331"/>
      <c r="B2" s="331"/>
      <c r="C2" s="331"/>
      <c r="D2" s="331"/>
      <c r="E2" s="105"/>
      <c r="F2" s="81"/>
      <c r="G2" s="81"/>
      <c r="H2" s="81"/>
      <c r="I2" s="81"/>
      <c r="J2" s="81"/>
      <c r="K2" s="81"/>
      <c r="L2" s="81"/>
      <c r="M2" s="81"/>
      <c r="N2" s="81"/>
      <c r="O2" s="81"/>
      <c r="P2" s="81"/>
      <c r="Q2" s="331"/>
      <c r="R2" s="331"/>
    </row>
    <row r="3" spans="1:18" x14ac:dyDescent="0.35">
      <c r="A3" s="331"/>
      <c r="B3" s="331"/>
      <c r="C3" s="331"/>
      <c r="D3" s="331"/>
      <c r="E3" s="105"/>
      <c r="F3" s="81"/>
      <c r="G3" s="81"/>
      <c r="H3" s="81"/>
      <c r="I3" s="81"/>
      <c r="J3" s="81"/>
      <c r="K3" s="81"/>
      <c r="L3" s="81"/>
      <c r="M3" s="81"/>
      <c r="N3" s="81"/>
      <c r="O3" s="81"/>
      <c r="P3" s="81"/>
      <c r="Q3" s="331"/>
      <c r="R3" s="331"/>
    </row>
    <row r="4" spans="1:18" ht="15.65" customHeight="1" x14ac:dyDescent="0.35">
      <c r="A4" s="331"/>
      <c r="B4" s="72" t="s">
        <v>1447</v>
      </c>
      <c r="C4" s="331"/>
      <c r="D4" s="72" t="s">
        <v>1391</v>
      </c>
      <c r="E4" s="101" t="s">
        <v>1448</v>
      </c>
      <c r="F4" s="323" t="s">
        <v>27</v>
      </c>
      <c r="G4" s="323" t="s">
        <v>28</v>
      </c>
      <c r="H4" s="323" t="s">
        <v>29</v>
      </c>
      <c r="I4" s="323" t="s">
        <v>30</v>
      </c>
      <c r="J4" s="323" t="s">
        <v>31</v>
      </c>
      <c r="K4" s="323" t="s">
        <v>32</v>
      </c>
      <c r="L4" s="323" t="s">
        <v>33</v>
      </c>
      <c r="M4" s="323" t="s">
        <v>34</v>
      </c>
      <c r="N4" s="323" t="s">
        <v>35</v>
      </c>
      <c r="O4" s="323" t="s">
        <v>1397</v>
      </c>
      <c r="P4" s="323" t="s">
        <v>1426</v>
      </c>
      <c r="Q4" s="331"/>
      <c r="R4" s="331"/>
    </row>
    <row r="5" spans="1:18" x14ac:dyDescent="0.35">
      <c r="A5" s="331"/>
      <c r="B5" s="81">
        <v>1</v>
      </c>
      <c r="C5" s="72" t="s">
        <v>1392</v>
      </c>
      <c r="D5" s="12">
        <f>Inputs!$E$127</f>
        <v>5000</v>
      </c>
      <c r="E5" s="480">
        <f t="shared" ref="E5:E15" si="0">SUM(G5:P5)/SUM($G$16:$P$16)</f>
        <v>0.10555555555555557</v>
      </c>
      <c r="F5" s="740">
        <f>Inputs!$E$387*Inputs!$E$526*Scenarios!$B$12</f>
        <v>17.004999999999999</v>
      </c>
      <c r="G5" s="740">
        <f>Inputs!$E$387*Inputs!$F$526*Scenarios!$B$12</f>
        <v>17.366</v>
      </c>
      <c r="H5" s="740">
        <f>Inputs!$E$387*Inputs!$G$526*Scenarios!$B$12</f>
        <v>17.727</v>
      </c>
      <c r="I5" s="13">
        <f>Inputs!$E$387*Inputs!$H$526*Scenarios!$B$12</f>
        <v>19</v>
      </c>
      <c r="J5" s="13">
        <f>Inputs!$E$387*Inputs!$I$526*Scenarios!$B$12</f>
        <v>19</v>
      </c>
      <c r="K5" s="13">
        <f>Inputs!$E$387*Inputs!$J$526*Scenarios!$B$12</f>
        <v>19</v>
      </c>
      <c r="L5" s="13">
        <f>Inputs!$E$387*Inputs!$K$526*Scenarios!$B$12</f>
        <v>19</v>
      </c>
      <c r="M5" s="13">
        <f>Inputs!$E$387*Inputs!$L$526*Scenarios!$B$12</f>
        <v>19</v>
      </c>
      <c r="N5" s="13">
        <f>Inputs!$E$387*Inputs!$M$526*Scenarios!$B$12</f>
        <v>19</v>
      </c>
      <c r="O5" s="13">
        <f>Inputs!$E$387*Scenarios!$B$12</f>
        <v>19</v>
      </c>
      <c r="P5" s="13">
        <f>Inputs!$E$387*Scenarios!$B$12</f>
        <v>19</v>
      </c>
      <c r="Q5" s="331"/>
      <c r="R5" s="331"/>
    </row>
    <row r="6" spans="1:18" x14ac:dyDescent="0.35">
      <c r="A6" s="331"/>
      <c r="B6" s="81">
        <v>2</v>
      </c>
      <c r="C6" s="72" t="s">
        <v>1392</v>
      </c>
      <c r="D6" s="12">
        <f>Inputs!$E$128</f>
        <v>3000</v>
      </c>
      <c r="E6" s="480">
        <f t="shared" si="0"/>
        <v>0.1</v>
      </c>
      <c r="F6" s="740">
        <f>Inputs!$E$388*Inputs!$E$526*Scenarios!$B$12</f>
        <v>16.11</v>
      </c>
      <c r="G6" s="740">
        <f>Inputs!$E$388*Inputs!$F$526*Scenarios!$B$12</f>
        <v>16.452000000000002</v>
      </c>
      <c r="H6" s="740">
        <f>Inputs!$E$388*Inputs!$G$526*Scenarios!$B$12</f>
        <v>16.794</v>
      </c>
      <c r="I6" s="13">
        <f>Inputs!$E$388*Inputs!$H$526*Scenarios!$B$12</f>
        <v>18</v>
      </c>
      <c r="J6" s="13">
        <f>Inputs!$E$388*Inputs!$I$526*Scenarios!$B$12</f>
        <v>18</v>
      </c>
      <c r="K6" s="13">
        <f>Inputs!$E$388*Inputs!$J$526*Scenarios!$B$12</f>
        <v>18</v>
      </c>
      <c r="L6" s="13">
        <f>Inputs!$E$388*Inputs!$K$526*Scenarios!$B$12</f>
        <v>18</v>
      </c>
      <c r="M6" s="13">
        <f>Inputs!$E$388*Inputs!$L$526*Scenarios!$B$12</f>
        <v>18</v>
      </c>
      <c r="N6" s="13">
        <f>Inputs!$E$388*Inputs!$M$526*Scenarios!$B$12</f>
        <v>18</v>
      </c>
      <c r="O6" s="13">
        <f>Inputs!$E$388*Scenarios!$B$12</f>
        <v>18</v>
      </c>
      <c r="P6" s="13">
        <f>Inputs!$E$388*Scenarios!$B$12</f>
        <v>18</v>
      </c>
      <c r="Q6" s="331"/>
      <c r="R6" s="331"/>
    </row>
    <row r="7" spans="1:18" x14ac:dyDescent="0.35">
      <c r="A7" s="331"/>
      <c r="B7" s="81">
        <v>3</v>
      </c>
      <c r="C7" s="72" t="s">
        <v>1392</v>
      </c>
      <c r="D7" s="12">
        <f>Inputs!$E$129</f>
        <v>1500</v>
      </c>
      <c r="E7" s="480">
        <f t="shared" si="0"/>
        <v>8.3333333333333329E-2</v>
      </c>
      <c r="F7" s="740">
        <f>Inputs!$E$389*Inputs!$E$526*Scenarios!$B$12</f>
        <v>13.425000000000001</v>
      </c>
      <c r="G7" s="740">
        <f>Inputs!$E$389*Inputs!$F$526*Scenarios!$B$12</f>
        <v>13.71</v>
      </c>
      <c r="H7" s="740">
        <f>Inputs!$E$389*Inputs!$G$526*Scenarios!$B$12</f>
        <v>13.995000000000001</v>
      </c>
      <c r="I7" s="13">
        <f>Inputs!$E$389*Inputs!$H$526*Scenarios!$B$12</f>
        <v>15</v>
      </c>
      <c r="J7" s="13">
        <f>Inputs!$E$389*Inputs!$I$526*Scenarios!$B$12</f>
        <v>15</v>
      </c>
      <c r="K7" s="13">
        <f>Inputs!$E$389*Inputs!$J$526*Scenarios!$B$12</f>
        <v>15</v>
      </c>
      <c r="L7" s="13">
        <f>Inputs!$E$389*Inputs!$K$526*Scenarios!$B$12</f>
        <v>15</v>
      </c>
      <c r="M7" s="13">
        <f>Inputs!$E$389*Inputs!$L$526*Scenarios!$B$12</f>
        <v>15</v>
      </c>
      <c r="N7" s="13">
        <f>Inputs!$E$389*Inputs!$M$526*Scenarios!$B$12</f>
        <v>15</v>
      </c>
      <c r="O7" s="13">
        <f>Inputs!$E$389*Scenarios!$B$12</f>
        <v>15</v>
      </c>
      <c r="P7" s="13">
        <f>Inputs!$E$389*Scenarios!$B$12</f>
        <v>15</v>
      </c>
      <c r="Q7" s="331"/>
      <c r="R7" s="331"/>
    </row>
    <row r="8" spans="1:18" x14ac:dyDescent="0.35">
      <c r="A8" s="331"/>
      <c r="B8" s="81">
        <v>4</v>
      </c>
      <c r="C8" s="72" t="s">
        <v>1393</v>
      </c>
      <c r="D8" s="12">
        <f>Inputs!$E$130</f>
        <v>3500</v>
      </c>
      <c r="E8" s="480">
        <f t="shared" si="0"/>
        <v>0.1</v>
      </c>
      <c r="F8" s="740">
        <f>Inputs!$E$390*Inputs!$E$526*Scenarios!$B$12</f>
        <v>16.11</v>
      </c>
      <c r="G8" s="740">
        <f>Inputs!$E$390*Inputs!$F$526*Scenarios!$B$12</f>
        <v>16.452000000000002</v>
      </c>
      <c r="H8" s="740">
        <f>Inputs!$E$390*Inputs!$G$526*Scenarios!$B$12</f>
        <v>16.794</v>
      </c>
      <c r="I8" s="13">
        <f>Inputs!$E$390*Inputs!$H$526*Scenarios!$B$12</f>
        <v>18</v>
      </c>
      <c r="J8" s="13">
        <f>Inputs!$E$390*Inputs!$I$526*Scenarios!$B$12</f>
        <v>18</v>
      </c>
      <c r="K8" s="13">
        <f>Inputs!$E$390*Inputs!$J$526*Scenarios!$B$12</f>
        <v>18</v>
      </c>
      <c r="L8" s="13">
        <f>Inputs!$E$390*Inputs!$K$526*Scenarios!$B$12</f>
        <v>18</v>
      </c>
      <c r="M8" s="13">
        <f>Inputs!$E$390*Inputs!$L$526*Scenarios!$B$12</f>
        <v>18</v>
      </c>
      <c r="N8" s="13">
        <f>Inputs!$E$390*Inputs!$M$526*Scenarios!$B$12</f>
        <v>18</v>
      </c>
      <c r="O8" s="13">
        <f>Inputs!$E$390*Scenarios!$B$12</f>
        <v>18</v>
      </c>
      <c r="P8" s="13">
        <f>Inputs!$E$390*Scenarios!$B$12</f>
        <v>18</v>
      </c>
      <c r="Q8" s="331"/>
      <c r="R8" s="331"/>
    </row>
    <row r="9" spans="1:18" x14ac:dyDescent="0.35">
      <c r="A9" s="331"/>
      <c r="B9" s="81">
        <v>5</v>
      </c>
      <c r="C9" s="72" t="s">
        <v>585</v>
      </c>
      <c r="D9" s="12">
        <f>Inputs!$E$131</f>
        <v>3500</v>
      </c>
      <c r="E9" s="480">
        <f t="shared" si="0"/>
        <v>8.3333333333333329E-2</v>
      </c>
      <c r="F9" s="740">
        <f>Inputs!$E$391*Inputs!$E$526*Scenarios!$B$12</f>
        <v>13.425000000000001</v>
      </c>
      <c r="G9" s="740">
        <f>Inputs!$E$391*Inputs!$F$526*Scenarios!$B$12</f>
        <v>13.71</v>
      </c>
      <c r="H9" s="740">
        <f>Inputs!$E$391*Inputs!$G$526*Scenarios!$B$12</f>
        <v>13.995000000000001</v>
      </c>
      <c r="I9" s="13">
        <f>Inputs!$E$391*Inputs!$H$526*Scenarios!$B$12</f>
        <v>15</v>
      </c>
      <c r="J9" s="13">
        <f>Inputs!$E$391*Inputs!$I$526*Scenarios!$B$12</f>
        <v>15</v>
      </c>
      <c r="K9" s="13">
        <f>Inputs!$E$391*Inputs!$J$526*Scenarios!$B$12</f>
        <v>15</v>
      </c>
      <c r="L9" s="13">
        <f>Inputs!$E$391*Inputs!$K$526*Scenarios!$B$12</f>
        <v>15</v>
      </c>
      <c r="M9" s="13">
        <f>Inputs!$E$391*Inputs!$L$526*Scenarios!$B$12</f>
        <v>15</v>
      </c>
      <c r="N9" s="13">
        <f>Inputs!$E$391*Inputs!$M$526*Scenarios!$B$12</f>
        <v>15</v>
      </c>
      <c r="O9" s="13">
        <f>Inputs!$E$391*Scenarios!$B$12</f>
        <v>15</v>
      </c>
      <c r="P9" s="13">
        <f>Inputs!$E$391*Scenarios!$B$12</f>
        <v>15</v>
      </c>
      <c r="Q9" s="331"/>
      <c r="R9" s="331"/>
    </row>
    <row r="10" spans="1:18" x14ac:dyDescent="0.35">
      <c r="A10" s="331"/>
      <c r="B10" s="81">
        <v>6</v>
      </c>
      <c r="C10" s="72" t="s">
        <v>587</v>
      </c>
      <c r="D10" s="12">
        <f>Inputs!$E$132</f>
        <v>3500</v>
      </c>
      <c r="E10" s="480">
        <f t="shared" si="0"/>
        <v>8.3333333333333329E-2</v>
      </c>
      <c r="F10" s="740">
        <f>Inputs!$E$392*Inputs!$E$526*Scenarios!$B$12</f>
        <v>13.425000000000001</v>
      </c>
      <c r="G10" s="740">
        <f>Inputs!$E$392*Inputs!$F$526*Scenarios!$B$12</f>
        <v>13.71</v>
      </c>
      <c r="H10" s="740">
        <f>Inputs!$E$392*Inputs!$G$526*Scenarios!$B$12</f>
        <v>13.995000000000001</v>
      </c>
      <c r="I10" s="13">
        <f>Inputs!$E$392*Inputs!$H$526*Scenarios!$B$12</f>
        <v>15</v>
      </c>
      <c r="J10" s="13">
        <f>Inputs!$E$392*Inputs!$I$526*Scenarios!$B$12</f>
        <v>15</v>
      </c>
      <c r="K10" s="13">
        <f>Inputs!$E$392*Inputs!$J$526*Scenarios!$B$12</f>
        <v>15</v>
      </c>
      <c r="L10" s="13">
        <f>Inputs!$E$392*Inputs!$K$526*Scenarios!$B$12</f>
        <v>15</v>
      </c>
      <c r="M10" s="13">
        <f>Inputs!$E$392*Inputs!$L$526*Scenarios!$B$12</f>
        <v>15</v>
      </c>
      <c r="N10" s="13">
        <f>Inputs!$E$392*Inputs!$M$526*Scenarios!$B$12</f>
        <v>15</v>
      </c>
      <c r="O10" s="13">
        <f>Inputs!$E$392*Scenarios!$B$12</f>
        <v>15</v>
      </c>
      <c r="P10" s="13">
        <f>Inputs!$E$392*Scenarios!$B$12</f>
        <v>15</v>
      </c>
      <c r="Q10" s="331"/>
      <c r="R10" s="331"/>
    </row>
    <row r="11" spans="1:18" x14ac:dyDescent="0.35">
      <c r="A11" s="331"/>
      <c r="B11" s="81">
        <v>7</v>
      </c>
      <c r="C11" s="72" t="s">
        <v>140</v>
      </c>
      <c r="D11" s="12">
        <f>Inputs!$E$133</f>
        <v>3500</v>
      </c>
      <c r="E11" s="480">
        <f t="shared" si="0"/>
        <v>1.6666666666666666E-2</v>
      </c>
      <c r="F11" s="740">
        <f>Inputs!$E$393*Inputs!$E$526*Scenarios!$B$12</f>
        <v>2.6850000000000001</v>
      </c>
      <c r="G11" s="740">
        <f>Inputs!$E$393*Inputs!$F$526*Scenarios!$B$12</f>
        <v>2.742</v>
      </c>
      <c r="H11" s="740">
        <f>Inputs!$E$393*Inputs!$G$526*Scenarios!$B$12</f>
        <v>2.7990000000000004</v>
      </c>
      <c r="I11" s="13">
        <f>Inputs!$E$393*Inputs!$H$526*Scenarios!$B$12</f>
        <v>3</v>
      </c>
      <c r="J11" s="13">
        <f>Inputs!$E$393*Inputs!$I$526*Scenarios!$B$12</f>
        <v>3</v>
      </c>
      <c r="K11" s="13">
        <f>Inputs!$E$393*Inputs!$J$526*Scenarios!$B$12</f>
        <v>3</v>
      </c>
      <c r="L11" s="13">
        <f>Inputs!$E$393*Inputs!$K$526*Scenarios!$B$12</f>
        <v>3</v>
      </c>
      <c r="M11" s="13">
        <f>Inputs!$E$393*Inputs!$L$526*Scenarios!$B$12</f>
        <v>3</v>
      </c>
      <c r="N11" s="13">
        <f>Inputs!$E$393*Inputs!$M$526*Scenarios!$B$12</f>
        <v>3</v>
      </c>
      <c r="O11" s="13">
        <f>Inputs!$E$393*Scenarios!$B$12</f>
        <v>3</v>
      </c>
      <c r="P11" s="13">
        <f>Inputs!$E$393*Scenarios!$B$12</f>
        <v>3</v>
      </c>
      <c r="Q11" s="331"/>
      <c r="R11" s="331"/>
    </row>
    <row r="12" spans="1:18" x14ac:dyDescent="0.35">
      <c r="A12" s="331"/>
      <c r="B12" s="81">
        <v>8</v>
      </c>
      <c r="C12" s="72" t="s">
        <v>142</v>
      </c>
      <c r="D12" s="12">
        <f>Inputs!$E$134</f>
        <v>3500</v>
      </c>
      <c r="E12" s="480">
        <f t="shared" si="0"/>
        <v>0.16111111111111109</v>
      </c>
      <c r="F12" s="740">
        <f>Inputs!$E$394*Inputs!$E$526*Scenarios!$B$12</f>
        <v>25.955000000000002</v>
      </c>
      <c r="G12" s="740">
        <f>Inputs!$E$394*Inputs!$F$526*Scenarios!$B$12</f>
        <v>26.506</v>
      </c>
      <c r="H12" s="740">
        <f>Inputs!$E$394*Inputs!$G$526*Scenarios!$B$12</f>
        <v>27.057000000000002</v>
      </c>
      <c r="I12" s="13">
        <f>Inputs!$E$394*Inputs!$H$526*Scenarios!$B$12</f>
        <v>29</v>
      </c>
      <c r="J12" s="13">
        <f>Inputs!$E$394*Inputs!$I$526*Scenarios!$B$12</f>
        <v>29</v>
      </c>
      <c r="K12" s="13">
        <f>Inputs!$E$394*Inputs!$J$526*Scenarios!$B$12</f>
        <v>29</v>
      </c>
      <c r="L12" s="13">
        <f>Inputs!$E$394*Inputs!$K$526*Scenarios!$B$12</f>
        <v>29</v>
      </c>
      <c r="M12" s="13">
        <f>Inputs!$E$394*Inputs!$L$526*Scenarios!$B$12</f>
        <v>29</v>
      </c>
      <c r="N12" s="13">
        <f>Inputs!$E$394*Inputs!$M$526*Scenarios!$B$12</f>
        <v>29</v>
      </c>
      <c r="O12" s="13">
        <f>Inputs!$E$394*Scenarios!$B$12</f>
        <v>29</v>
      </c>
      <c r="P12" s="13">
        <f>Inputs!$E$394*Scenarios!$B$12</f>
        <v>29</v>
      </c>
      <c r="Q12" s="331"/>
      <c r="R12" s="331"/>
    </row>
    <row r="13" spans="1:18" x14ac:dyDescent="0.35">
      <c r="A13" s="331"/>
      <c r="B13" s="81">
        <v>9</v>
      </c>
      <c r="C13" s="72" t="s">
        <v>102</v>
      </c>
      <c r="D13" s="12">
        <f>Inputs!$E$135</f>
        <v>2000</v>
      </c>
      <c r="E13" s="480">
        <f t="shared" si="0"/>
        <v>6.6666666666666666E-2</v>
      </c>
      <c r="F13" s="740">
        <f>Inputs!$E$395*Inputs!$E$526*Scenarios!$B$12</f>
        <v>10.74</v>
      </c>
      <c r="G13" s="740">
        <f>Inputs!$E$395*Inputs!$F$526*Scenarios!$B$12</f>
        <v>10.968</v>
      </c>
      <c r="H13" s="740">
        <f>Inputs!$E$395*Inputs!$G$526*Scenarios!$B$12</f>
        <v>11.196000000000002</v>
      </c>
      <c r="I13" s="13">
        <f>Inputs!$E$395*Inputs!$H$526*Scenarios!$B$12</f>
        <v>12</v>
      </c>
      <c r="J13" s="13">
        <f>Inputs!$E$395*Inputs!$I$526*Scenarios!$B$12</f>
        <v>12</v>
      </c>
      <c r="K13" s="13">
        <f>Inputs!$E$395*Inputs!$J$526*Scenarios!$B$12</f>
        <v>12</v>
      </c>
      <c r="L13" s="13">
        <f>Inputs!$E$395*Inputs!$K$526*Scenarios!$B$12</f>
        <v>12</v>
      </c>
      <c r="M13" s="13">
        <f>Inputs!$E$395*Inputs!$L$526*Scenarios!$B$12</f>
        <v>12</v>
      </c>
      <c r="N13" s="13">
        <f>Inputs!$E$395*Inputs!$M$526*Scenarios!$B$12</f>
        <v>12</v>
      </c>
      <c r="O13" s="13">
        <f>Inputs!$E$395*Scenarios!$B$12</f>
        <v>12</v>
      </c>
      <c r="P13" s="13">
        <f>Inputs!$E$395*Scenarios!$B$12</f>
        <v>12</v>
      </c>
      <c r="Q13" s="331"/>
      <c r="R13" s="331"/>
    </row>
    <row r="14" spans="1:18" x14ac:dyDescent="0.35">
      <c r="A14" s="331"/>
      <c r="B14" s="81">
        <v>10</v>
      </c>
      <c r="C14" s="72" t="s">
        <v>1394</v>
      </c>
      <c r="D14" s="12">
        <f>Inputs!$E$136</f>
        <v>2000</v>
      </c>
      <c r="E14" s="480">
        <f t="shared" si="0"/>
        <v>5.5555555555555552E-2</v>
      </c>
      <c r="F14" s="740">
        <f>Inputs!$E$396*Inputs!$E$526*Scenarios!$B$12</f>
        <v>8.9499999999999993</v>
      </c>
      <c r="G14" s="740">
        <f>Inputs!$E$396*Inputs!$F$526*Scenarios!$B$12</f>
        <v>9.14</v>
      </c>
      <c r="H14" s="740">
        <f>Inputs!$E$396*Inputs!$G$526*Scenarios!$B$12</f>
        <v>9.33</v>
      </c>
      <c r="I14" s="13">
        <f>Inputs!$E$396*Inputs!$H$526*Scenarios!$B$12</f>
        <v>10</v>
      </c>
      <c r="J14" s="13">
        <f>Inputs!$E$396*Inputs!$I$526*Scenarios!$B$12</f>
        <v>10</v>
      </c>
      <c r="K14" s="13">
        <f>Inputs!$E$396*Inputs!$J$526*Scenarios!$B$12</f>
        <v>10</v>
      </c>
      <c r="L14" s="13">
        <f>Inputs!$E$396*Inputs!$K$526*Scenarios!$B$12</f>
        <v>10</v>
      </c>
      <c r="M14" s="13">
        <f>Inputs!$E$396*Inputs!$L$526*Scenarios!$B$12</f>
        <v>10</v>
      </c>
      <c r="N14" s="13">
        <f>Inputs!$E$396*Inputs!$M$526*Scenarios!$B$12</f>
        <v>10</v>
      </c>
      <c r="O14" s="13">
        <f>Inputs!$E$396*Scenarios!$B$12</f>
        <v>10</v>
      </c>
      <c r="P14" s="13">
        <f>Inputs!$E$396*Scenarios!$B$12</f>
        <v>10</v>
      </c>
      <c r="Q14" s="331"/>
      <c r="R14" s="331"/>
    </row>
    <row r="15" spans="1:18" x14ac:dyDescent="0.35">
      <c r="A15" s="331"/>
      <c r="B15" s="81">
        <v>11</v>
      </c>
      <c r="C15" s="72" t="s">
        <v>1395</v>
      </c>
      <c r="D15" s="12">
        <f>Inputs!$E$137</f>
        <v>4000</v>
      </c>
      <c r="E15" s="480">
        <f t="shared" si="0"/>
        <v>0.14444444444444443</v>
      </c>
      <c r="F15" s="740">
        <f>Inputs!$E$397*Inputs!$E$526*Scenarios!$B$12</f>
        <v>23.27</v>
      </c>
      <c r="G15" s="740">
        <f>Inputs!$E$397*Inputs!$F$526*Scenarios!$B$12</f>
        <v>23.763999999999999</v>
      </c>
      <c r="H15" s="740">
        <f>Inputs!$E$397*Inputs!$G$526*Scenarios!$B$12</f>
        <v>24.258000000000003</v>
      </c>
      <c r="I15" s="13">
        <f>Inputs!$E$397*Inputs!$H$526*Scenarios!$B$12</f>
        <v>26</v>
      </c>
      <c r="J15" s="13">
        <f>Inputs!$E$397*Inputs!$I$526*Scenarios!$B$12</f>
        <v>26</v>
      </c>
      <c r="K15" s="13">
        <f>Inputs!$E$397*Inputs!$J$526*Scenarios!$B$12</f>
        <v>26</v>
      </c>
      <c r="L15" s="13">
        <f>Inputs!$E$397*Inputs!$K$526*Scenarios!$B$12</f>
        <v>26</v>
      </c>
      <c r="M15" s="13">
        <f>Inputs!$E$397*Inputs!$L$526*Scenarios!$B$12</f>
        <v>26</v>
      </c>
      <c r="N15" s="13">
        <f>Inputs!$E$397*Inputs!$M$526*Scenarios!$B$12</f>
        <v>26</v>
      </c>
      <c r="O15" s="13">
        <f>Inputs!$E$397*Scenarios!$B$12</f>
        <v>26</v>
      </c>
      <c r="P15" s="13">
        <f>Inputs!$E$397*Scenarios!$B$12</f>
        <v>26</v>
      </c>
      <c r="Q15" s="331"/>
      <c r="R15" s="331"/>
    </row>
    <row r="16" spans="1:18" x14ac:dyDescent="0.35">
      <c r="A16" s="331"/>
      <c r="B16" s="331"/>
      <c r="C16" s="131" t="s">
        <v>149</v>
      </c>
      <c r="D16" s="78"/>
      <c r="E16" s="329"/>
      <c r="F16" s="743">
        <f t="shared" ref="F16:P16" si="1">SUM(F5:F15)</f>
        <v>161.1</v>
      </c>
      <c r="G16" s="743">
        <f t="shared" si="1"/>
        <v>164.52000000000004</v>
      </c>
      <c r="H16" s="743">
        <f t="shared" si="1"/>
        <v>167.94000000000005</v>
      </c>
      <c r="I16" s="743">
        <f t="shared" si="1"/>
        <v>180</v>
      </c>
      <c r="J16" s="743">
        <f t="shared" si="1"/>
        <v>180</v>
      </c>
      <c r="K16" s="743">
        <f t="shared" si="1"/>
        <v>180</v>
      </c>
      <c r="L16" s="743">
        <f t="shared" si="1"/>
        <v>180</v>
      </c>
      <c r="M16" s="743">
        <f t="shared" si="1"/>
        <v>180</v>
      </c>
      <c r="N16" s="743">
        <f t="shared" si="1"/>
        <v>180</v>
      </c>
      <c r="O16" s="743">
        <f t="shared" si="1"/>
        <v>180</v>
      </c>
      <c r="P16" s="743">
        <f t="shared" si="1"/>
        <v>180</v>
      </c>
      <c r="Q16" s="331"/>
      <c r="R16" s="331"/>
    </row>
    <row r="17" spans="1:18" x14ac:dyDescent="0.35">
      <c r="A17" s="331"/>
      <c r="B17" s="331"/>
      <c r="C17" s="331"/>
      <c r="D17" s="331"/>
      <c r="E17" s="331"/>
      <c r="F17" s="83"/>
      <c r="G17" s="83"/>
      <c r="H17" s="83"/>
      <c r="I17" s="83"/>
      <c r="J17" s="83"/>
      <c r="K17" s="83"/>
      <c r="L17" s="83"/>
      <c r="M17" s="83"/>
      <c r="N17" s="83"/>
      <c r="O17" s="83"/>
      <c r="P17" s="83"/>
      <c r="Q17" s="331"/>
      <c r="R17" s="331"/>
    </row>
    <row r="18" spans="1:18" x14ac:dyDescent="0.35">
      <c r="A18" s="331"/>
      <c r="B18" s="331"/>
      <c r="C18" s="331"/>
      <c r="D18" s="331"/>
      <c r="E18" s="331"/>
      <c r="F18" s="83"/>
      <c r="G18" s="83"/>
      <c r="H18" s="83"/>
      <c r="I18" s="83"/>
      <c r="J18" s="83"/>
      <c r="K18" s="83"/>
      <c r="L18" s="83"/>
      <c r="M18" s="83"/>
      <c r="N18" s="83"/>
      <c r="O18" s="83"/>
      <c r="P18" s="83"/>
      <c r="Q18" s="331"/>
      <c r="R18" s="331"/>
    </row>
    <row r="19" spans="1:18" x14ac:dyDescent="0.35">
      <c r="A19" s="331"/>
      <c r="B19" s="331"/>
      <c r="C19" s="331"/>
      <c r="D19" s="331" t="s">
        <v>1449</v>
      </c>
      <c r="E19" s="331"/>
      <c r="F19" s="744"/>
      <c r="G19" s="744"/>
      <c r="H19" s="744"/>
      <c r="I19" s="744"/>
      <c r="J19" s="744"/>
      <c r="K19" s="744"/>
      <c r="L19" s="744"/>
      <c r="M19" s="744"/>
      <c r="N19" s="744"/>
      <c r="O19" s="744"/>
      <c r="P19" s="744"/>
      <c r="Q19" s="331"/>
      <c r="R19" s="331"/>
    </row>
    <row r="20" spans="1:18" x14ac:dyDescent="0.35">
      <c r="A20" s="331"/>
      <c r="B20" s="72" t="s">
        <v>1450</v>
      </c>
      <c r="C20" s="331"/>
      <c r="D20" s="78" t="s">
        <v>1451</v>
      </c>
      <c r="E20" s="329"/>
      <c r="F20" s="101"/>
      <c r="G20" s="101"/>
      <c r="H20" s="101"/>
      <c r="I20" s="101"/>
      <c r="J20" s="101"/>
      <c r="K20" s="101"/>
      <c r="L20" s="101"/>
      <c r="M20" s="101"/>
      <c r="N20" s="101"/>
      <c r="O20" s="101"/>
      <c r="P20" s="101"/>
      <c r="Q20" s="331"/>
      <c r="R20" s="331"/>
    </row>
    <row r="21" spans="1:18" x14ac:dyDescent="0.35">
      <c r="A21" s="331"/>
      <c r="B21" s="72"/>
      <c r="C21" s="331"/>
      <c r="D21" s="72" t="s">
        <v>1391</v>
      </c>
      <c r="E21" s="72" t="s">
        <v>1448</v>
      </c>
      <c r="F21" s="105" t="str">
        <f>F4</f>
        <v>FY28</v>
      </c>
      <c r="G21" s="105" t="str">
        <f>G4</f>
        <v>FY29</v>
      </c>
      <c r="H21" s="105" t="str">
        <f>H4</f>
        <v>FY30</v>
      </c>
      <c r="I21" s="105" t="str">
        <f>I4</f>
        <v>FY31</v>
      </c>
      <c r="J21" s="105" t="str">
        <f>J4</f>
        <v>FY32</v>
      </c>
      <c r="K21" s="105" t="str">
        <f>K4</f>
        <v>FY33</v>
      </c>
      <c r="L21" s="105" t="str">
        <f>L4</f>
        <v>FY34</v>
      </c>
      <c r="M21" s="105" t="str">
        <f>M4</f>
        <v>FY35</v>
      </c>
      <c r="N21" s="105" t="str">
        <f>N4</f>
        <v>FY36</v>
      </c>
      <c r="O21" s="105" t="str">
        <f>O4</f>
        <v>FY37</v>
      </c>
      <c r="P21" s="105" t="str">
        <f>P4</f>
        <v>FY38</v>
      </c>
      <c r="Q21" s="331"/>
      <c r="R21" s="331"/>
    </row>
    <row r="22" spans="1:18" x14ac:dyDescent="0.35">
      <c r="A22" s="331"/>
      <c r="B22" s="81">
        <v>1</v>
      </c>
      <c r="C22" s="72" t="s">
        <v>1392</v>
      </c>
      <c r="D22" s="12">
        <f>Inputs!$E$127</f>
        <v>5000</v>
      </c>
      <c r="E22" s="480">
        <f t="shared" ref="E22:E32" si="2">SUM(G22:P22)/SUM($G$16:$P$16)</f>
        <v>7.6165329541992483E-2</v>
      </c>
      <c r="F22" s="13">
        <f>Inputs!$E$420*Scenarios!$B$12</f>
        <v>4</v>
      </c>
      <c r="G22" s="13">
        <f>F22*(Inputs!$F$34/12)</f>
        <v>0</v>
      </c>
      <c r="H22" s="13">
        <f>F22+2</f>
        <v>6</v>
      </c>
      <c r="I22" s="13">
        <f>H22+1</f>
        <v>7</v>
      </c>
      <c r="J22" s="13">
        <f>I22+1</f>
        <v>8</v>
      </c>
      <c r="K22" s="13">
        <f>Inputs!$F$420*Scenarios!$B$12</f>
        <v>19</v>
      </c>
      <c r="L22" s="13">
        <f>Inputs!$F$420*Scenarios!$B$12</f>
        <v>19</v>
      </c>
      <c r="M22" s="13">
        <f>Inputs!$F$420*Scenarios!$B$12</f>
        <v>19</v>
      </c>
      <c r="N22" s="13">
        <f>Inputs!$F$420*Scenarios!$B$12</f>
        <v>19</v>
      </c>
      <c r="O22" s="13">
        <f>Inputs!$F$420*Scenarios!$B$12</f>
        <v>19</v>
      </c>
      <c r="P22" s="13">
        <f>Inputs!$F$420*Scenarios!$B$12</f>
        <v>19</v>
      </c>
      <c r="Q22" s="331"/>
      <c r="R22" s="331"/>
    </row>
    <row r="23" spans="1:18" x14ac:dyDescent="0.35">
      <c r="A23" s="331"/>
      <c r="B23" s="81">
        <v>2</v>
      </c>
      <c r="C23" s="72" t="s">
        <v>1392</v>
      </c>
      <c r="D23" s="12">
        <f>Inputs!$E$128</f>
        <v>3000</v>
      </c>
      <c r="E23" s="480">
        <f t="shared" si="2"/>
        <v>7.1087640905859645E-2</v>
      </c>
      <c r="F23" s="13">
        <f>Inputs!$E$421*Scenarios!$B$12</f>
        <v>4</v>
      </c>
      <c r="G23" s="13">
        <f>F23*(Inputs!$F$34/12)</f>
        <v>0</v>
      </c>
      <c r="H23" s="13">
        <f>F23+1</f>
        <v>5</v>
      </c>
      <c r="I23" s="13">
        <f>H23+1</f>
        <v>6</v>
      </c>
      <c r="J23" s="13">
        <f>I23+1</f>
        <v>7</v>
      </c>
      <c r="K23" s="13">
        <f>Inputs!$F$421*Scenarios!$B$12</f>
        <v>18</v>
      </c>
      <c r="L23" s="13">
        <f>Inputs!$F$421*Scenarios!$B$12</f>
        <v>18</v>
      </c>
      <c r="M23" s="13">
        <f>Inputs!$F$421*Scenarios!$B$12</f>
        <v>18</v>
      </c>
      <c r="N23" s="13">
        <f>Inputs!$F$421*Scenarios!$B$12</f>
        <v>18</v>
      </c>
      <c r="O23" s="13">
        <f>Inputs!$F$421*Scenarios!$B$12</f>
        <v>18</v>
      </c>
      <c r="P23" s="13">
        <f>Inputs!$F$421*Scenarios!$B$12</f>
        <v>18</v>
      </c>
      <c r="Q23" s="331"/>
      <c r="R23" s="331"/>
    </row>
    <row r="24" spans="1:18" x14ac:dyDescent="0.35">
      <c r="A24" s="331"/>
      <c r="B24" s="81">
        <v>3</v>
      </c>
      <c r="C24" s="72" t="s">
        <v>1392</v>
      </c>
      <c r="D24" s="12">
        <f>Inputs!$E$129</f>
        <v>1500</v>
      </c>
      <c r="E24" s="480">
        <f t="shared" si="2"/>
        <v>5.0776886361328322E-2</v>
      </c>
      <c r="F24" s="13">
        <f>Inputs!$E$422*Scenarios!$B$12</f>
        <v>0</v>
      </c>
      <c r="G24" s="13">
        <f>F24*(Inputs!$F$34/12)</f>
        <v>0</v>
      </c>
      <c r="H24" s="13">
        <f>F24</f>
        <v>0</v>
      </c>
      <c r="I24" s="13">
        <f>H24</f>
        <v>0</v>
      </c>
      <c r="J24" s="13">
        <f>I24</f>
        <v>0</v>
      </c>
      <c r="K24" s="13">
        <f>Inputs!$F$422*Scenarios!$B$12</f>
        <v>15</v>
      </c>
      <c r="L24" s="13">
        <f>Inputs!$F$422*Scenarios!$B$12</f>
        <v>15</v>
      </c>
      <c r="M24" s="13">
        <f>Inputs!$F$422*Scenarios!$B$12</f>
        <v>15</v>
      </c>
      <c r="N24" s="13">
        <f>Inputs!$F$422*Scenarios!$B$12</f>
        <v>15</v>
      </c>
      <c r="O24" s="13">
        <f>Inputs!$F$422*Scenarios!$B$12</f>
        <v>15</v>
      </c>
      <c r="P24" s="13">
        <f>Inputs!$F$422*Scenarios!$B$12</f>
        <v>15</v>
      </c>
      <c r="Q24" s="331"/>
      <c r="R24" s="331"/>
    </row>
    <row r="25" spans="1:18" x14ac:dyDescent="0.35">
      <c r="A25" s="331"/>
      <c r="B25" s="81">
        <v>4</v>
      </c>
      <c r="C25" s="72" t="s">
        <v>1393</v>
      </c>
      <c r="D25" s="12">
        <f>Inputs!$E$130</f>
        <v>3500</v>
      </c>
      <c r="E25" s="480">
        <f t="shared" si="2"/>
        <v>8.801326969296909E-2</v>
      </c>
      <c r="F25" s="13">
        <f>Inputs!$E$423*Scenarios!$B$12</f>
        <v>12</v>
      </c>
      <c r="G25" s="13">
        <f>F25*(Inputs!$F$34/12)</f>
        <v>0</v>
      </c>
      <c r="H25" s="13">
        <f>F25+2</f>
        <v>14</v>
      </c>
      <c r="I25" s="13">
        <f>H25+2</f>
        <v>16</v>
      </c>
      <c r="J25" s="13">
        <f>I25+2</f>
        <v>18</v>
      </c>
      <c r="K25" s="13">
        <f>Inputs!$F$423*Scenarios!$B$12</f>
        <v>18</v>
      </c>
      <c r="L25" s="13">
        <f>Inputs!$F$423*Scenarios!$B$12</f>
        <v>18</v>
      </c>
      <c r="M25" s="13">
        <f>Inputs!$F$423*Scenarios!$B$12</f>
        <v>18</v>
      </c>
      <c r="N25" s="13">
        <f>Inputs!$F$423*Scenarios!$B$12</f>
        <v>18</v>
      </c>
      <c r="O25" s="13">
        <f>Inputs!$F$423*Scenarios!$B$12</f>
        <v>18</v>
      </c>
      <c r="P25" s="13">
        <f>Inputs!$F$423*Scenarios!$B$12</f>
        <v>18</v>
      </c>
      <c r="Q25" s="331"/>
      <c r="R25" s="331"/>
    </row>
    <row r="26" spans="1:18" x14ac:dyDescent="0.35">
      <c r="A26" s="331"/>
      <c r="B26" s="81">
        <v>5</v>
      </c>
      <c r="C26" s="72" t="s">
        <v>585</v>
      </c>
      <c r="D26" s="12">
        <f>Inputs!$E$131</f>
        <v>3500</v>
      </c>
      <c r="E26" s="480">
        <f t="shared" si="2"/>
        <v>5.7547137876172098E-2</v>
      </c>
      <c r="F26" s="13">
        <f>Inputs!$E$424*Scenarios!$B$12</f>
        <v>4</v>
      </c>
      <c r="G26" s="13">
        <f>F26*(Inputs!$F$34/12)</f>
        <v>0</v>
      </c>
      <c r="H26" s="13">
        <f>F26</f>
        <v>4</v>
      </c>
      <c r="I26" s="13">
        <f>H26</f>
        <v>4</v>
      </c>
      <c r="J26" s="13">
        <f>I26</f>
        <v>4</v>
      </c>
      <c r="K26" s="13">
        <f>Inputs!$F$424*Scenarios!$B$12</f>
        <v>15</v>
      </c>
      <c r="L26" s="13">
        <f>Inputs!$F$424*Scenarios!$B$12</f>
        <v>15</v>
      </c>
      <c r="M26" s="13">
        <f>Inputs!$F$424*Scenarios!$B$12</f>
        <v>15</v>
      </c>
      <c r="N26" s="13">
        <f>Inputs!$F$424*Scenarios!$B$12</f>
        <v>15</v>
      </c>
      <c r="O26" s="13">
        <f>Inputs!$F$424*Scenarios!$B$12</f>
        <v>15</v>
      </c>
      <c r="P26" s="13">
        <f>Inputs!$F$424*Scenarios!$B$12</f>
        <v>15</v>
      </c>
      <c r="Q26" s="331"/>
      <c r="R26" s="331"/>
    </row>
    <row r="27" spans="1:18" x14ac:dyDescent="0.35">
      <c r="A27" s="331"/>
      <c r="B27" s="81">
        <v>6</v>
      </c>
      <c r="C27" s="72" t="s">
        <v>587</v>
      </c>
      <c r="D27" s="12">
        <f>Inputs!$E$132</f>
        <v>3500</v>
      </c>
      <c r="E27" s="480">
        <f t="shared" si="2"/>
        <v>5.4162012118750213E-2</v>
      </c>
      <c r="F27" s="13">
        <f>Inputs!$E$425*Scenarios!$B$12</f>
        <v>0</v>
      </c>
      <c r="G27" s="13">
        <f>F27*(Inputs!$F$34/12)</f>
        <v>0</v>
      </c>
      <c r="H27" s="13">
        <f>F27+1</f>
        <v>1</v>
      </c>
      <c r="I27" s="13">
        <f>H27+1</f>
        <v>2</v>
      </c>
      <c r="J27" s="13">
        <f>I27+1</f>
        <v>3</v>
      </c>
      <c r="K27" s="13">
        <f>Inputs!$F$425*Scenarios!$B$12</f>
        <v>15</v>
      </c>
      <c r="L27" s="13">
        <f>Inputs!$F$425*Scenarios!$B$12</f>
        <v>15</v>
      </c>
      <c r="M27" s="13">
        <f>Inputs!$F$425*Scenarios!$B$12</f>
        <v>15</v>
      </c>
      <c r="N27" s="13">
        <f>Inputs!$F$425*Scenarios!$B$12</f>
        <v>15</v>
      </c>
      <c r="O27" s="13">
        <f>Inputs!$F$425*Scenarios!$B$12</f>
        <v>15</v>
      </c>
      <c r="P27" s="13">
        <f>Inputs!$F$425*Scenarios!$B$12</f>
        <v>15</v>
      </c>
      <c r="Q27" s="331"/>
      <c r="R27" s="331"/>
    </row>
    <row r="28" spans="1:18" x14ac:dyDescent="0.35">
      <c r="A28" s="331"/>
      <c r="B28" s="81">
        <v>7</v>
      </c>
      <c r="C28" s="72" t="s">
        <v>140</v>
      </c>
      <c r="D28" s="12">
        <f>Inputs!$E$133</f>
        <v>3500</v>
      </c>
      <c r="E28" s="480">
        <f t="shared" si="2"/>
        <v>1.5233065908398498E-2</v>
      </c>
      <c r="F28" s="13">
        <f>Inputs!$E$426*Scenarios!$B$12</f>
        <v>3</v>
      </c>
      <c r="G28" s="13">
        <f>F28*(Inputs!$F$34/12)</f>
        <v>0</v>
      </c>
      <c r="H28" s="13">
        <f>F28</f>
        <v>3</v>
      </c>
      <c r="I28" s="13">
        <f>H28</f>
        <v>3</v>
      </c>
      <c r="J28" s="13">
        <f>I28</f>
        <v>3</v>
      </c>
      <c r="K28" s="13">
        <f>Inputs!$F$426*Scenarios!$B$12</f>
        <v>3</v>
      </c>
      <c r="L28" s="13">
        <f>Inputs!$F$426*Scenarios!$B$12</f>
        <v>3</v>
      </c>
      <c r="M28" s="13">
        <f>Inputs!$F$426*Scenarios!$B$12</f>
        <v>3</v>
      </c>
      <c r="N28" s="13">
        <f>Inputs!$F$426*Scenarios!$B$12</f>
        <v>3</v>
      </c>
      <c r="O28" s="13">
        <f>Inputs!$F$426*Scenarios!$B$12</f>
        <v>3</v>
      </c>
      <c r="P28" s="13">
        <f>Inputs!$F$426*Scenarios!$B$12</f>
        <v>3</v>
      </c>
      <c r="Q28" s="331"/>
      <c r="R28" s="331"/>
    </row>
    <row r="29" spans="1:18" x14ac:dyDescent="0.35">
      <c r="A29" s="331"/>
      <c r="B29" s="81">
        <v>8</v>
      </c>
      <c r="C29" s="72" t="s">
        <v>142</v>
      </c>
      <c r="D29" s="12">
        <f>Inputs!$E$134</f>
        <v>3500</v>
      </c>
      <c r="E29" s="480">
        <f t="shared" si="2"/>
        <v>0.14556040756914118</v>
      </c>
      <c r="F29" s="13">
        <f>Inputs!$E$427*Scenarios!$B$12</f>
        <v>26</v>
      </c>
      <c r="G29" s="13">
        <f>F29*(Inputs!$F$34/12)</f>
        <v>0</v>
      </c>
      <c r="H29" s="13">
        <f>F29+1</f>
        <v>27</v>
      </c>
      <c r="I29" s="13">
        <f>H29+1</f>
        <v>28</v>
      </c>
      <c r="J29" s="13">
        <f>I29+1</f>
        <v>29</v>
      </c>
      <c r="K29" s="13">
        <f>Inputs!$F$427*Scenarios!$B$12</f>
        <v>29</v>
      </c>
      <c r="L29" s="13">
        <f>Inputs!$F$427*Scenarios!$B$12</f>
        <v>29</v>
      </c>
      <c r="M29" s="13">
        <f>Inputs!$F$427*Scenarios!$B$12</f>
        <v>29</v>
      </c>
      <c r="N29" s="13">
        <f>Inputs!$F$427*Scenarios!$B$12</f>
        <v>29</v>
      </c>
      <c r="O29" s="13">
        <f>Inputs!$F$427*Scenarios!$B$12</f>
        <v>29</v>
      </c>
      <c r="P29" s="13">
        <f>Inputs!$F$427*Scenarios!$B$12</f>
        <v>29</v>
      </c>
      <c r="Q29" s="331"/>
      <c r="R29" s="331"/>
    </row>
    <row r="30" spans="1:18" x14ac:dyDescent="0.35">
      <c r="A30" s="331"/>
      <c r="B30" s="81">
        <v>9</v>
      </c>
      <c r="C30" s="72" t="s">
        <v>102</v>
      </c>
      <c r="D30" s="12">
        <f>Inputs!$E$135</f>
        <v>2000</v>
      </c>
      <c r="E30" s="480">
        <f t="shared" si="2"/>
        <v>4.062150908906266E-2</v>
      </c>
      <c r="F30" s="13">
        <f>Inputs!$E$428*Scenarios!$B$12</f>
        <v>0</v>
      </c>
      <c r="G30" s="13">
        <f>F30*(Inputs!$F$34/12)</f>
        <v>0</v>
      </c>
      <c r="H30" s="13">
        <f>F30</f>
        <v>0</v>
      </c>
      <c r="I30" s="13">
        <f t="shared" ref="I30:J32" si="3">H30</f>
        <v>0</v>
      </c>
      <c r="J30" s="13">
        <f t="shared" si="3"/>
        <v>0</v>
      </c>
      <c r="K30" s="13">
        <f>Inputs!$F$428*Scenarios!$B$12</f>
        <v>12</v>
      </c>
      <c r="L30" s="13">
        <f>Inputs!$F$428*Scenarios!$B$12</f>
        <v>12</v>
      </c>
      <c r="M30" s="13">
        <f>Inputs!$F$428*Scenarios!$B$12</f>
        <v>12</v>
      </c>
      <c r="N30" s="13">
        <f>Inputs!$F$428*Scenarios!$B$12</f>
        <v>12</v>
      </c>
      <c r="O30" s="13">
        <f>Inputs!$F$428*Scenarios!$B$12</f>
        <v>12</v>
      </c>
      <c r="P30" s="13">
        <f>Inputs!$F$428*Scenarios!$B$12</f>
        <v>12</v>
      </c>
      <c r="Q30" s="331"/>
      <c r="R30" s="331"/>
    </row>
    <row r="31" spans="1:18" x14ac:dyDescent="0.35">
      <c r="A31" s="331"/>
      <c r="B31" s="81">
        <v>10</v>
      </c>
      <c r="C31" s="72" t="s">
        <v>1394</v>
      </c>
      <c r="D31" s="12">
        <f>Inputs!$E$136</f>
        <v>2000</v>
      </c>
      <c r="E31" s="480">
        <f t="shared" si="2"/>
        <v>4.2314071967773599E-2</v>
      </c>
      <c r="F31" s="13">
        <f>Inputs!$E$429*Scenarios!$B$12</f>
        <v>5</v>
      </c>
      <c r="G31" s="13">
        <f>F31*(Inputs!$F$34/12)</f>
        <v>0</v>
      </c>
      <c r="H31" s="13">
        <f>F31</f>
        <v>5</v>
      </c>
      <c r="I31" s="13">
        <f t="shared" si="3"/>
        <v>5</v>
      </c>
      <c r="J31" s="13">
        <f t="shared" si="3"/>
        <v>5</v>
      </c>
      <c r="K31" s="13">
        <f>Inputs!$F$429*Scenarios!$B$12</f>
        <v>10</v>
      </c>
      <c r="L31" s="13">
        <f>Inputs!$F$429*Scenarios!$B$12</f>
        <v>10</v>
      </c>
      <c r="M31" s="13">
        <f>Inputs!$F$429*Scenarios!$B$12</f>
        <v>10</v>
      </c>
      <c r="N31" s="13">
        <f>Inputs!$F$429*Scenarios!$B$12</f>
        <v>10</v>
      </c>
      <c r="O31" s="13">
        <f>Inputs!$F$429*Scenarios!$B$12</f>
        <v>10</v>
      </c>
      <c r="P31" s="13">
        <f>Inputs!$F$429*Scenarios!$B$12</f>
        <v>10</v>
      </c>
      <c r="Q31" s="331"/>
      <c r="R31" s="331"/>
    </row>
    <row r="32" spans="1:18" x14ac:dyDescent="0.35">
      <c r="A32" s="331"/>
      <c r="B32" s="81">
        <v>11</v>
      </c>
      <c r="C32" s="72" t="s">
        <v>1395</v>
      </c>
      <c r="D32" s="12">
        <f>Inputs!$E$137</f>
        <v>4000</v>
      </c>
      <c r="E32" s="480">
        <f t="shared" si="2"/>
        <v>8.801326969296909E-2</v>
      </c>
      <c r="F32" s="13">
        <f>Inputs!$E$430*Scenarios!$B$12</f>
        <v>0</v>
      </c>
      <c r="G32" s="13">
        <f>F32*(Inputs!$F$34/12)</f>
        <v>0</v>
      </c>
      <c r="H32" s="13">
        <f>F32</f>
        <v>0</v>
      </c>
      <c r="I32" s="13">
        <f t="shared" si="3"/>
        <v>0</v>
      </c>
      <c r="J32" s="13">
        <f t="shared" si="3"/>
        <v>0</v>
      </c>
      <c r="K32" s="13">
        <f>Inputs!$F$430*Scenarios!$B$12</f>
        <v>26</v>
      </c>
      <c r="L32" s="13">
        <f>Inputs!$F$430*Scenarios!$B$12</f>
        <v>26</v>
      </c>
      <c r="M32" s="13">
        <f>Inputs!$F$430*Scenarios!$B$12</f>
        <v>26</v>
      </c>
      <c r="N32" s="13">
        <f>Inputs!$F$430*Scenarios!$B$12</f>
        <v>26</v>
      </c>
      <c r="O32" s="13">
        <f>Inputs!$F$430*Scenarios!$B$12</f>
        <v>26</v>
      </c>
      <c r="P32" s="13">
        <f>Inputs!$F$430*Scenarios!$B$12</f>
        <v>26</v>
      </c>
      <c r="Q32" s="331"/>
      <c r="R32" s="331"/>
    </row>
    <row r="33" spans="1:18" x14ac:dyDescent="0.35">
      <c r="A33" s="331"/>
      <c r="B33" s="331"/>
      <c r="C33" s="106" t="s">
        <v>1452</v>
      </c>
      <c r="D33" s="331"/>
      <c r="E33" s="132"/>
      <c r="F33" s="100">
        <f t="shared" ref="F33:P33" si="4">SUM(F22:F32)</f>
        <v>58</v>
      </c>
      <c r="G33" s="100">
        <f t="shared" si="4"/>
        <v>0</v>
      </c>
      <c r="H33" s="100">
        <f t="shared" si="4"/>
        <v>65</v>
      </c>
      <c r="I33" s="100">
        <f t="shared" si="4"/>
        <v>71</v>
      </c>
      <c r="J33" s="100">
        <f t="shared" si="4"/>
        <v>77</v>
      </c>
      <c r="K33" s="100">
        <f t="shared" si="4"/>
        <v>180</v>
      </c>
      <c r="L33" s="100">
        <f t="shared" si="4"/>
        <v>180</v>
      </c>
      <c r="M33" s="100">
        <f t="shared" si="4"/>
        <v>180</v>
      </c>
      <c r="N33" s="100">
        <f t="shared" si="4"/>
        <v>180</v>
      </c>
      <c r="O33" s="100">
        <f t="shared" si="4"/>
        <v>180</v>
      </c>
      <c r="P33" s="100">
        <f t="shared" si="4"/>
        <v>180</v>
      </c>
      <c r="Q33" s="331"/>
      <c r="R33" s="331"/>
    </row>
    <row r="34" spans="1:18" x14ac:dyDescent="0.35">
      <c r="A34" s="331"/>
      <c r="B34" s="331"/>
      <c r="C34" s="72"/>
      <c r="D34" s="331"/>
      <c r="E34" s="132"/>
      <c r="F34" s="100"/>
      <c r="G34" s="100"/>
      <c r="H34" s="100"/>
      <c r="I34" s="100"/>
      <c r="J34" s="100"/>
      <c r="K34" s="100"/>
      <c r="L34" s="100"/>
      <c r="M34" s="100"/>
      <c r="N34" s="100"/>
      <c r="O34" s="100"/>
      <c r="P34" s="100"/>
      <c r="Q34" s="331"/>
      <c r="R34" s="331"/>
    </row>
    <row r="35" spans="1:18" x14ac:dyDescent="0.35">
      <c r="A35" s="331"/>
      <c r="B35" s="331"/>
      <c r="C35" s="72"/>
      <c r="D35" s="331"/>
      <c r="E35" s="132"/>
      <c r="F35" s="100"/>
      <c r="G35" s="100"/>
      <c r="H35" s="100"/>
      <c r="I35" s="100"/>
      <c r="J35" s="100"/>
      <c r="K35" s="100"/>
      <c r="L35" s="100"/>
      <c r="M35" s="100"/>
      <c r="N35" s="100"/>
      <c r="O35" s="100"/>
      <c r="P35" s="100"/>
      <c r="Q35" s="331"/>
      <c r="R35" s="331"/>
    </row>
    <row r="36" spans="1:18" x14ac:dyDescent="0.35">
      <c r="A36" s="331"/>
      <c r="B36" s="331"/>
      <c r="C36" s="72" t="s">
        <v>1453</v>
      </c>
      <c r="D36" s="331"/>
      <c r="E36" s="331"/>
      <c r="F36" s="83"/>
      <c r="G36" s="101" t="str">
        <f t="shared" ref="G36:P36" si="5">IF(SUM(G16*G33)&lt;365, "Check", "OK")</f>
        <v>Check</v>
      </c>
      <c r="H36" s="101" t="str">
        <f t="shared" si="5"/>
        <v>OK</v>
      </c>
      <c r="I36" s="101" t="str">
        <f t="shared" si="5"/>
        <v>OK</v>
      </c>
      <c r="J36" s="101" t="str">
        <f t="shared" si="5"/>
        <v>OK</v>
      </c>
      <c r="K36" s="101" t="str">
        <f t="shared" si="5"/>
        <v>OK</v>
      </c>
      <c r="L36" s="101" t="str">
        <f t="shared" si="5"/>
        <v>OK</v>
      </c>
      <c r="M36" s="101" t="str">
        <f t="shared" si="5"/>
        <v>OK</v>
      </c>
      <c r="N36" s="101" t="str">
        <f t="shared" si="5"/>
        <v>OK</v>
      </c>
      <c r="O36" s="101" t="str">
        <f t="shared" si="5"/>
        <v>OK</v>
      </c>
      <c r="P36" s="101" t="str">
        <f t="shared" si="5"/>
        <v>OK</v>
      </c>
      <c r="Q36" s="331"/>
      <c r="R36" s="331"/>
    </row>
    <row r="37" spans="1:18" x14ac:dyDescent="0.35">
      <c r="A37" s="331"/>
      <c r="B37" s="331"/>
      <c r="C37" s="331"/>
      <c r="D37" s="331"/>
      <c r="E37" s="331"/>
      <c r="F37" s="83"/>
      <c r="G37" s="83"/>
      <c r="H37" s="83"/>
      <c r="I37" s="83"/>
      <c r="J37" s="83"/>
      <c r="K37" s="83"/>
      <c r="L37" s="83"/>
      <c r="M37" s="83"/>
      <c r="N37" s="83"/>
      <c r="O37" s="83"/>
      <c r="P37" s="83"/>
      <c r="Q37" s="331"/>
      <c r="R37" s="331"/>
    </row>
    <row r="38" spans="1:18" x14ac:dyDescent="0.35">
      <c r="A38" s="331"/>
      <c r="B38" s="331"/>
      <c r="C38" s="331"/>
      <c r="D38" s="105" t="str">
        <f>D19</f>
        <v>Financial Year</v>
      </c>
      <c r="E38" s="331"/>
      <c r="F38" s="744"/>
      <c r="G38" s="744"/>
      <c r="H38" s="744"/>
      <c r="I38" s="744"/>
      <c r="J38" s="744"/>
      <c r="K38" s="744"/>
      <c r="L38" s="744"/>
      <c r="M38" s="744"/>
      <c r="N38" s="744"/>
      <c r="O38" s="744"/>
      <c r="P38" s="744"/>
      <c r="Q38" s="331"/>
      <c r="R38" s="331"/>
    </row>
    <row r="39" spans="1:18" x14ac:dyDescent="0.35">
      <c r="A39" s="331"/>
      <c r="B39" s="331"/>
      <c r="C39" s="331"/>
      <c r="D39" s="83" t="str">
        <f>D20</f>
        <v>Calendar Year</v>
      </c>
      <c r="E39" s="72"/>
      <c r="F39" s="101"/>
      <c r="G39" s="101"/>
      <c r="H39" s="101"/>
      <c r="I39" s="101"/>
      <c r="J39" s="101"/>
      <c r="K39" s="101"/>
      <c r="L39" s="101"/>
      <c r="M39" s="101"/>
      <c r="N39" s="101"/>
      <c r="O39" s="101"/>
      <c r="P39" s="101"/>
      <c r="Q39" s="331"/>
      <c r="R39" s="331"/>
    </row>
    <row r="40" spans="1:18" x14ac:dyDescent="0.35">
      <c r="A40" s="331"/>
      <c r="B40" s="72" t="s">
        <v>1454</v>
      </c>
      <c r="C40" s="331"/>
      <c r="D40" s="72" t="s">
        <v>1391</v>
      </c>
      <c r="E40" s="72" t="s">
        <v>1455</v>
      </c>
      <c r="F40" s="105" t="str">
        <f>F21</f>
        <v>FY28</v>
      </c>
      <c r="G40" s="105" t="str">
        <f>G21</f>
        <v>FY29</v>
      </c>
      <c r="H40" s="105" t="str">
        <f>H21</f>
        <v>FY30</v>
      </c>
      <c r="I40" s="105" t="str">
        <f>I21</f>
        <v>FY31</v>
      </c>
      <c r="J40" s="105" t="str">
        <f>J21</f>
        <v>FY32</v>
      </c>
      <c r="K40" s="105" t="str">
        <f>K21</f>
        <v>FY33</v>
      </c>
      <c r="L40" s="105" t="str">
        <f>L21</f>
        <v>FY34</v>
      </c>
      <c r="M40" s="105" t="str">
        <f>M21</f>
        <v>FY35</v>
      </c>
      <c r="N40" s="105" t="str">
        <f>N21</f>
        <v>FY36</v>
      </c>
      <c r="O40" s="105" t="str">
        <f>O21</f>
        <v>FY37</v>
      </c>
      <c r="P40" s="105" t="str">
        <f>P21</f>
        <v>FY38</v>
      </c>
      <c r="Q40" s="331"/>
      <c r="R40" s="331"/>
    </row>
    <row r="41" spans="1:18" x14ac:dyDescent="0.35">
      <c r="A41" s="331"/>
      <c r="B41" s="81">
        <v>1</v>
      </c>
      <c r="C41" s="72" t="s">
        <v>1392</v>
      </c>
      <c r="D41" s="12">
        <f>Inputs!$E$405</f>
        <v>5000</v>
      </c>
      <c r="E41" s="480">
        <f>Inputs!$E$435</f>
        <v>0.8</v>
      </c>
      <c r="F41" s="745">
        <f>D41*E41</f>
        <v>4000</v>
      </c>
      <c r="G41" s="745">
        <f>$F$41*F5</f>
        <v>68020</v>
      </c>
      <c r="H41" s="746">
        <f>$F$41*H5</f>
        <v>70908</v>
      </c>
      <c r="I41" s="746">
        <f t="shared" ref="I41:P41" si="6">$F$41*I5</f>
        <v>76000</v>
      </c>
      <c r="J41" s="746">
        <f>$F$41*J5</f>
        <v>76000</v>
      </c>
      <c r="K41" s="746">
        <f t="shared" si="6"/>
        <v>76000</v>
      </c>
      <c r="L41" s="746">
        <f t="shared" si="6"/>
        <v>76000</v>
      </c>
      <c r="M41" s="746">
        <f t="shared" si="6"/>
        <v>76000</v>
      </c>
      <c r="N41" s="746">
        <f t="shared" si="6"/>
        <v>76000</v>
      </c>
      <c r="O41" s="746">
        <f t="shared" si="6"/>
        <v>76000</v>
      </c>
      <c r="P41" s="746">
        <f t="shared" si="6"/>
        <v>76000</v>
      </c>
      <c r="Q41" s="331"/>
      <c r="R41" s="331"/>
    </row>
    <row r="42" spans="1:18" x14ac:dyDescent="0.35">
      <c r="A42" s="331"/>
      <c r="B42" s="81">
        <v>2</v>
      </c>
      <c r="C42" s="72" t="s">
        <v>1392</v>
      </c>
      <c r="D42" s="12">
        <f>Inputs!$E$406</f>
        <v>3000</v>
      </c>
      <c r="E42" s="480">
        <f>Inputs!$E$436</f>
        <v>0.8</v>
      </c>
      <c r="F42" s="746">
        <f t="shared" ref="F42:F51" si="7">D42*E42</f>
        <v>2400</v>
      </c>
      <c r="G42" s="746">
        <f t="shared" ref="G42:P42" si="8">$F$42*G6</f>
        <v>39484.800000000003</v>
      </c>
      <c r="H42" s="746">
        <f t="shared" si="8"/>
        <v>40305.599999999999</v>
      </c>
      <c r="I42" s="746">
        <f t="shared" si="8"/>
        <v>43200</v>
      </c>
      <c r="J42" s="746">
        <f t="shared" si="8"/>
        <v>43200</v>
      </c>
      <c r="K42" s="746">
        <f t="shared" si="8"/>
        <v>43200</v>
      </c>
      <c r="L42" s="746">
        <f t="shared" si="8"/>
        <v>43200</v>
      </c>
      <c r="M42" s="746">
        <f t="shared" si="8"/>
        <v>43200</v>
      </c>
      <c r="N42" s="746">
        <f t="shared" si="8"/>
        <v>43200</v>
      </c>
      <c r="O42" s="746">
        <f t="shared" si="8"/>
        <v>43200</v>
      </c>
      <c r="P42" s="746">
        <f t="shared" si="8"/>
        <v>43200</v>
      </c>
      <c r="Q42" s="331"/>
      <c r="R42" s="331"/>
    </row>
    <row r="43" spans="1:18" x14ac:dyDescent="0.35">
      <c r="A43" s="331"/>
      <c r="B43" s="81">
        <v>3</v>
      </c>
      <c r="C43" s="72" t="s">
        <v>1392</v>
      </c>
      <c r="D43" s="12">
        <f>Inputs!$E$407</f>
        <v>1500</v>
      </c>
      <c r="E43" s="480">
        <f>Inputs!$E$437</f>
        <v>0.9</v>
      </c>
      <c r="F43" s="746">
        <f t="shared" si="7"/>
        <v>1350</v>
      </c>
      <c r="G43" s="746">
        <f t="shared" ref="G43:P43" si="9">$F$43*G7</f>
        <v>18508.5</v>
      </c>
      <c r="H43" s="746">
        <f t="shared" si="9"/>
        <v>18893.25</v>
      </c>
      <c r="I43" s="746">
        <f t="shared" si="9"/>
        <v>20250</v>
      </c>
      <c r="J43" s="746">
        <f t="shared" si="9"/>
        <v>20250</v>
      </c>
      <c r="K43" s="746">
        <f t="shared" si="9"/>
        <v>20250</v>
      </c>
      <c r="L43" s="746">
        <f t="shared" si="9"/>
        <v>20250</v>
      </c>
      <c r="M43" s="746">
        <f t="shared" si="9"/>
        <v>20250</v>
      </c>
      <c r="N43" s="746">
        <f t="shared" si="9"/>
        <v>20250</v>
      </c>
      <c r="O43" s="746">
        <f t="shared" si="9"/>
        <v>20250</v>
      </c>
      <c r="P43" s="746">
        <f t="shared" si="9"/>
        <v>20250</v>
      </c>
      <c r="Q43" s="331"/>
      <c r="R43" s="331"/>
    </row>
    <row r="44" spans="1:18" x14ac:dyDescent="0.35">
      <c r="A44" s="331"/>
      <c r="B44" s="81">
        <v>4</v>
      </c>
      <c r="C44" s="72" t="s">
        <v>1393</v>
      </c>
      <c r="D44" s="12">
        <f>Inputs!$E$408</f>
        <v>3500</v>
      </c>
      <c r="E44" s="480">
        <f>Inputs!$E$438</f>
        <v>0.9</v>
      </c>
      <c r="F44" s="746">
        <f t="shared" si="7"/>
        <v>3150</v>
      </c>
      <c r="G44" s="746">
        <f t="shared" ref="G44:P44" si="10">$F$44*G8</f>
        <v>51823.8</v>
      </c>
      <c r="H44" s="746">
        <f t="shared" si="10"/>
        <v>52901.1</v>
      </c>
      <c r="I44" s="746">
        <f t="shared" si="10"/>
        <v>56700</v>
      </c>
      <c r="J44" s="746">
        <f t="shared" si="10"/>
        <v>56700</v>
      </c>
      <c r="K44" s="746">
        <f t="shared" si="10"/>
        <v>56700</v>
      </c>
      <c r="L44" s="746">
        <f t="shared" si="10"/>
        <v>56700</v>
      </c>
      <c r="M44" s="746">
        <f t="shared" si="10"/>
        <v>56700</v>
      </c>
      <c r="N44" s="746">
        <f t="shared" si="10"/>
        <v>56700</v>
      </c>
      <c r="O44" s="746">
        <f t="shared" si="10"/>
        <v>56700</v>
      </c>
      <c r="P44" s="746">
        <f t="shared" si="10"/>
        <v>56700</v>
      </c>
      <c r="Q44" s="331"/>
      <c r="R44" s="331"/>
    </row>
    <row r="45" spans="1:18" x14ac:dyDescent="0.35">
      <c r="A45" s="331"/>
      <c r="B45" s="81">
        <v>5</v>
      </c>
      <c r="C45" s="72" t="s">
        <v>585</v>
      </c>
      <c r="D45" s="12">
        <f>Inputs!$E$409</f>
        <v>3500</v>
      </c>
      <c r="E45" s="480">
        <f>Inputs!$E$439</f>
        <v>0.9</v>
      </c>
      <c r="F45" s="746">
        <f t="shared" si="7"/>
        <v>3150</v>
      </c>
      <c r="G45" s="746">
        <f>$F$45*G9</f>
        <v>43186.5</v>
      </c>
      <c r="H45" s="746">
        <f>$F$45*H9</f>
        <v>44084.25</v>
      </c>
      <c r="I45" s="746">
        <f>$F$45*I9</f>
        <v>47250</v>
      </c>
      <c r="J45" s="746">
        <f t="shared" ref="J45:P45" si="11">$F$44*J9</f>
        <v>47250</v>
      </c>
      <c r="K45" s="746">
        <f t="shared" si="11"/>
        <v>47250</v>
      </c>
      <c r="L45" s="746">
        <f t="shared" si="11"/>
        <v>47250</v>
      </c>
      <c r="M45" s="746">
        <f t="shared" si="11"/>
        <v>47250</v>
      </c>
      <c r="N45" s="746">
        <f t="shared" si="11"/>
        <v>47250</v>
      </c>
      <c r="O45" s="746">
        <f t="shared" si="11"/>
        <v>47250</v>
      </c>
      <c r="P45" s="746">
        <f t="shared" si="11"/>
        <v>47250</v>
      </c>
      <c r="Q45" s="331"/>
      <c r="R45" s="331"/>
    </row>
    <row r="46" spans="1:18" x14ac:dyDescent="0.35">
      <c r="A46" s="331"/>
      <c r="B46" s="81">
        <v>6</v>
      </c>
      <c r="C46" s="72" t="s">
        <v>587</v>
      </c>
      <c r="D46" s="12">
        <f>Inputs!$E$410</f>
        <v>3500</v>
      </c>
      <c r="E46" s="480">
        <f>Inputs!$E$440</f>
        <v>0.9</v>
      </c>
      <c r="F46" s="746">
        <f t="shared" si="7"/>
        <v>3150</v>
      </c>
      <c r="G46" s="746">
        <f t="shared" ref="G46:P46" si="12">$F$46*G10</f>
        <v>43186.5</v>
      </c>
      <c r="H46" s="746">
        <f t="shared" si="12"/>
        <v>44084.25</v>
      </c>
      <c r="I46" s="746">
        <f t="shared" si="12"/>
        <v>47250</v>
      </c>
      <c r="J46" s="746">
        <f t="shared" si="12"/>
        <v>47250</v>
      </c>
      <c r="K46" s="746">
        <f t="shared" si="12"/>
        <v>47250</v>
      </c>
      <c r="L46" s="746">
        <f t="shared" si="12"/>
        <v>47250</v>
      </c>
      <c r="M46" s="746">
        <f t="shared" si="12"/>
        <v>47250</v>
      </c>
      <c r="N46" s="746">
        <f t="shared" si="12"/>
        <v>47250</v>
      </c>
      <c r="O46" s="746">
        <f t="shared" si="12"/>
        <v>47250</v>
      </c>
      <c r="P46" s="746">
        <f t="shared" si="12"/>
        <v>47250</v>
      </c>
      <c r="Q46" s="331"/>
      <c r="R46" s="331"/>
    </row>
    <row r="47" spans="1:18" x14ac:dyDescent="0.35">
      <c r="A47" s="331"/>
      <c r="B47" s="81">
        <v>7</v>
      </c>
      <c r="C47" s="72" t="s">
        <v>140</v>
      </c>
      <c r="D47" s="12">
        <f>Inputs!$E$411</f>
        <v>3500</v>
      </c>
      <c r="E47" s="480">
        <f>Inputs!$E$441</f>
        <v>0.8</v>
      </c>
      <c r="F47" s="746">
        <f t="shared" si="7"/>
        <v>2800</v>
      </c>
      <c r="G47" s="746">
        <f t="shared" ref="G47:P47" si="13">$F$47*G11</f>
        <v>7677.6</v>
      </c>
      <c r="H47" s="746">
        <f t="shared" si="13"/>
        <v>7837.2000000000007</v>
      </c>
      <c r="I47" s="746">
        <f t="shared" si="13"/>
        <v>8400</v>
      </c>
      <c r="J47" s="746">
        <f t="shared" si="13"/>
        <v>8400</v>
      </c>
      <c r="K47" s="746">
        <f t="shared" si="13"/>
        <v>8400</v>
      </c>
      <c r="L47" s="746">
        <f t="shared" si="13"/>
        <v>8400</v>
      </c>
      <c r="M47" s="746">
        <f t="shared" si="13"/>
        <v>8400</v>
      </c>
      <c r="N47" s="746">
        <f t="shared" si="13"/>
        <v>8400</v>
      </c>
      <c r="O47" s="746">
        <f t="shared" si="13"/>
        <v>8400</v>
      </c>
      <c r="P47" s="746">
        <f t="shared" si="13"/>
        <v>8400</v>
      </c>
      <c r="Q47" s="331"/>
      <c r="R47" s="331"/>
    </row>
    <row r="48" spans="1:18" x14ac:dyDescent="0.35">
      <c r="A48" s="331"/>
      <c r="B48" s="81">
        <v>8</v>
      </c>
      <c r="C48" s="72" t="s">
        <v>142</v>
      </c>
      <c r="D48" s="12">
        <f>Inputs!$E$412</f>
        <v>3500</v>
      </c>
      <c r="E48" s="480">
        <f>Inputs!$E$442</f>
        <v>0.7</v>
      </c>
      <c r="F48" s="746">
        <f t="shared" si="7"/>
        <v>2450</v>
      </c>
      <c r="G48" s="746">
        <f t="shared" ref="G48:P48" si="14">$F$48*G12</f>
        <v>64939.7</v>
      </c>
      <c r="H48" s="746">
        <f t="shared" si="14"/>
        <v>66289.650000000009</v>
      </c>
      <c r="I48" s="746">
        <f t="shared" si="14"/>
        <v>71050</v>
      </c>
      <c r="J48" s="746">
        <f t="shared" si="14"/>
        <v>71050</v>
      </c>
      <c r="K48" s="746">
        <f t="shared" si="14"/>
        <v>71050</v>
      </c>
      <c r="L48" s="746">
        <f t="shared" si="14"/>
        <v>71050</v>
      </c>
      <c r="M48" s="746">
        <f t="shared" si="14"/>
        <v>71050</v>
      </c>
      <c r="N48" s="746">
        <f t="shared" si="14"/>
        <v>71050</v>
      </c>
      <c r="O48" s="746">
        <f t="shared" si="14"/>
        <v>71050</v>
      </c>
      <c r="P48" s="746">
        <f t="shared" si="14"/>
        <v>71050</v>
      </c>
      <c r="Q48" s="331"/>
      <c r="R48" s="331"/>
    </row>
    <row r="49" spans="1:18" x14ac:dyDescent="0.35">
      <c r="A49" s="331"/>
      <c r="B49" s="81">
        <v>9</v>
      </c>
      <c r="C49" s="72" t="s">
        <v>102</v>
      </c>
      <c r="D49" s="12">
        <f>Inputs!$E$413</f>
        <v>2000</v>
      </c>
      <c r="E49" s="480">
        <f>Inputs!$E$443</f>
        <v>1</v>
      </c>
      <c r="F49" s="746">
        <f t="shared" si="7"/>
        <v>2000</v>
      </c>
      <c r="G49" s="746">
        <f t="shared" ref="G49:P49" si="15">$F$49*G13</f>
        <v>21936</v>
      </c>
      <c r="H49" s="746">
        <f t="shared" si="15"/>
        <v>22392.000000000004</v>
      </c>
      <c r="I49" s="746">
        <f t="shared" si="15"/>
        <v>24000</v>
      </c>
      <c r="J49" s="746">
        <f t="shared" si="15"/>
        <v>24000</v>
      </c>
      <c r="K49" s="746">
        <f t="shared" si="15"/>
        <v>24000</v>
      </c>
      <c r="L49" s="746">
        <f t="shared" si="15"/>
        <v>24000</v>
      </c>
      <c r="M49" s="746">
        <f t="shared" si="15"/>
        <v>24000</v>
      </c>
      <c r="N49" s="746">
        <f t="shared" si="15"/>
        <v>24000</v>
      </c>
      <c r="O49" s="746">
        <f t="shared" si="15"/>
        <v>24000</v>
      </c>
      <c r="P49" s="746">
        <f t="shared" si="15"/>
        <v>24000</v>
      </c>
      <c r="Q49" s="331"/>
      <c r="R49" s="331"/>
    </row>
    <row r="50" spans="1:18" x14ac:dyDescent="0.35">
      <c r="A50" s="331"/>
      <c r="B50" s="81">
        <v>10</v>
      </c>
      <c r="C50" s="72" t="s">
        <v>1394</v>
      </c>
      <c r="D50" s="12">
        <f>Inputs!$E$414</f>
        <v>2000</v>
      </c>
      <c r="E50" s="480">
        <f>Inputs!$E$444</f>
        <v>1</v>
      </c>
      <c r="F50" s="746">
        <f t="shared" si="7"/>
        <v>2000</v>
      </c>
      <c r="G50" s="746">
        <f t="shared" ref="G50:P50" si="16">$F$50*G14</f>
        <v>18280</v>
      </c>
      <c r="H50" s="746">
        <f t="shared" si="16"/>
        <v>18660</v>
      </c>
      <c r="I50" s="746">
        <f t="shared" si="16"/>
        <v>20000</v>
      </c>
      <c r="J50" s="746">
        <f t="shared" si="16"/>
        <v>20000</v>
      </c>
      <c r="K50" s="746">
        <f t="shared" si="16"/>
        <v>20000</v>
      </c>
      <c r="L50" s="746">
        <f t="shared" si="16"/>
        <v>20000</v>
      </c>
      <c r="M50" s="746">
        <f t="shared" si="16"/>
        <v>20000</v>
      </c>
      <c r="N50" s="746">
        <f t="shared" si="16"/>
        <v>20000</v>
      </c>
      <c r="O50" s="746">
        <f t="shared" si="16"/>
        <v>20000</v>
      </c>
      <c r="P50" s="746">
        <f t="shared" si="16"/>
        <v>20000</v>
      </c>
      <c r="Q50" s="331"/>
      <c r="R50" s="331"/>
    </row>
    <row r="51" spans="1:18" x14ac:dyDescent="0.35">
      <c r="A51" s="331"/>
      <c r="B51" s="81">
        <v>11</v>
      </c>
      <c r="C51" s="72" t="s">
        <v>1395</v>
      </c>
      <c r="D51" s="12">
        <f>Inputs!$E$415</f>
        <v>4000</v>
      </c>
      <c r="E51" s="480">
        <f>Inputs!$E$445</f>
        <v>1</v>
      </c>
      <c r="F51" s="746">
        <f t="shared" si="7"/>
        <v>4000</v>
      </c>
      <c r="G51" s="746">
        <f t="shared" ref="G51:P51" si="17">$F$51*G15</f>
        <v>95056</v>
      </c>
      <c r="H51" s="746">
        <f t="shared" si="17"/>
        <v>97032.000000000015</v>
      </c>
      <c r="I51" s="746">
        <f t="shared" si="17"/>
        <v>104000</v>
      </c>
      <c r="J51" s="746">
        <f t="shared" si="17"/>
        <v>104000</v>
      </c>
      <c r="K51" s="746">
        <f t="shared" si="17"/>
        <v>104000</v>
      </c>
      <c r="L51" s="746">
        <f t="shared" si="17"/>
        <v>104000</v>
      </c>
      <c r="M51" s="746">
        <f t="shared" si="17"/>
        <v>104000</v>
      </c>
      <c r="N51" s="746">
        <f t="shared" si="17"/>
        <v>104000</v>
      </c>
      <c r="O51" s="746">
        <f t="shared" si="17"/>
        <v>104000</v>
      </c>
      <c r="P51" s="746">
        <f t="shared" si="17"/>
        <v>104000</v>
      </c>
      <c r="Q51" s="331"/>
      <c r="R51" s="331"/>
    </row>
    <row r="52" spans="1:18" x14ac:dyDescent="0.35">
      <c r="A52" s="331"/>
      <c r="B52" s="331"/>
      <c r="C52" s="106" t="s">
        <v>1456</v>
      </c>
      <c r="D52" s="12"/>
      <c r="E52" s="480"/>
      <c r="F52" s="746">
        <f>F53+SUMPRODUCT(F5:F12,$F$57:$F$64)</f>
        <v>545067.61950000003</v>
      </c>
      <c r="G52" s="746">
        <f t="shared" ref="G52:P52" si="18">G53+SUMPRODUCT(G5:G12,$F$57:$F$64)</f>
        <v>556638.88740000001</v>
      </c>
      <c r="H52" s="746">
        <f t="shared" si="18"/>
        <v>568210.1553000001</v>
      </c>
      <c r="I52" s="746">
        <f t="shared" si="18"/>
        <v>609014.1</v>
      </c>
      <c r="J52" s="746">
        <f t="shared" si="18"/>
        <v>609014.1</v>
      </c>
      <c r="K52" s="746">
        <f t="shared" si="18"/>
        <v>609014.1</v>
      </c>
      <c r="L52" s="746">
        <f t="shared" si="18"/>
        <v>609014.1</v>
      </c>
      <c r="M52" s="746">
        <f t="shared" si="18"/>
        <v>609014.1</v>
      </c>
      <c r="N52" s="746">
        <f t="shared" si="18"/>
        <v>609014.1</v>
      </c>
      <c r="O52" s="746">
        <f t="shared" si="18"/>
        <v>609014.1</v>
      </c>
      <c r="P52" s="746">
        <f t="shared" si="18"/>
        <v>609014.1</v>
      </c>
      <c r="Q52" s="331"/>
      <c r="R52" s="331"/>
    </row>
    <row r="53" spans="1:18" x14ac:dyDescent="0.35">
      <c r="A53" s="331"/>
      <c r="B53" s="331"/>
      <c r="C53" s="106" t="s">
        <v>1457</v>
      </c>
      <c r="D53" s="12"/>
      <c r="E53" s="480"/>
      <c r="F53" s="746">
        <f t="shared" ref="F53:P53" si="19">SUMPRODUCT(F5:F15,$F$41:$F$51)</f>
        <v>463699.5</v>
      </c>
      <c r="G53" s="746">
        <f t="shared" si="19"/>
        <v>473543.39999999997</v>
      </c>
      <c r="H53" s="746">
        <f t="shared" si="19"/>
        <v>483387.30000000005</v>
      </c>
      <c r="I53" s="746">
        <f t="shared" si="19"/>
        <v>518100</v>
      </c>
      <c r="J53" s="746">
        <f t="shared" si="19"/>
        <v>518100</v>
      </c>
      <c r="K53" s="746">
        <f t="shared" si="19"/>
        <v>518100</v>
      </c>
      <c r="L53" s="746">
        <f t="shared" si="19"/>
        <v>518100</v>
      </c>
      <c r="M53" s="746">
        <f t="shared" si="19"/>
        <v>518100</v>
      </c>
      <c r="N53" s="746">
        <f t="shared" si="19"/>
        <v>518100</v>
      </c>
      <c r="O53" s="746">
        <f t="shared" si="19"/>
        <v>518100</v>
      </c>
      <c r="P53" s="746">
        <f t="shared" si="19"/>
        <v>518100</v>
      </c>
      <c r="Q53" s="331"/>
      <c r="R53" s="331"/>
    </row>
    <row r="54" spans="1:18" x14ac:dyDescent="0.35">
      <c r="A54" s="331"/>
      <c r="B54" s="331"/>
      <c r="C54" s="331"/>
      <c r="D54" s="331"/>
      <c r="E54" s="331"/>
      <c r="F54" s="83"/>
      <c r="G54" s="83"/>
      <c r="H54" s="83"/>
      <c r="I54" s="83"/>
      <c r="J54" s="83"/>
      <c r="K54" s="83"/>
      <c r="L54" s="83"/>
      <c r="M54" s="83"/>
      <c r="N54" s="83"/>
      <c r="O54" s="83"/>
      <c r="P54" s="83"/>
      <c r="Q54" s="331"/>
      <c r="R54" s="331"/>
    </row>
    <row r="55" spans="1:18" x14ac:dyDescent="0.35">
      <c r="A55" s="331"/>
      <c r="B55" s="331"/>
      <c r="C55" s="331"/>
      <c r="D55" s="80"/>
      <c r="E55" s="331"/>
      <c r="Q55" s="331"/>
      <c r="R55" s="331"/>
    </row>
    <row r="56" spans="1:18" x14ac:dyDescent="0.35">
      <c r="A56" s="331"/>
      <c r="B56" s="72" t="s">
        <v>1458</v>
      </c>
      <c r="C56" s="331"/>
      <c r="D56" s="72" t="s">
        <v>1459</v>
      </c>
      <c r="E56" s="72" t="s">
        <v>1455</v>
      </c>
      <c r="F56" s="742" t="str">
        <f>F40</f>
        <v>FY28</v>
      </c>
      <c r="G56" s="105" t="str">
        <f>G40</f>
        <v>FY29</v>
      </c>
      <c r="H56" s="105" t="str">
        <f>H40</f>
        <v>FY30</v>
      </c>
      <c r="I56" s="105" t="str">
        <f>I40</f>
        <v>FY31</v>
      </c>
      <c r="J56" s="105" t="str">
        <f>J40</f>
        <v>FY32</v>
      </c>
      <c r="K56" s="105" t="str">
        <f>K40</f>
        <v>FY33</v>
      </c>
      <c r="L56" s="105" t="str">
        <f>L40</f>
        <v>FY34</v>
      </c>
      <c r="M56" s="105" t="str">
        <f>M40</f>
        <v>FY35</v>
      </c>
      <c r="N56" s="105" t="str">
        <f>N40</f>
        <v>FY36</v>
      </c>
      <c r="O56" s="105" t="str">
        <f>O40</f>
        <v>FY37</v>
      </c>
      <c r="P56" s="105" t="str">
        <f>P40</f>
        <v>FY38</v>
      </c>
      <c r="Q56" s="331"/>
      <c r="R56" s="77" t="s">
        <v>1460</v>
      </c>
    </row>
    <row r="57" spans="1:18" x14ac:dyDescent="0.35">
      <c r="A57" s="331"/>
      <c r="B57" s="81">
        <v>1</v>
      </c>
      <c r="C57" s="72" t="s">
        <v>1392</v>
      </c>
      <c r="D57" s="12">
        <f>Inputs!$D$450</f>
        <v>80</v>
      </c>
      <c r="E57" s="480">
        <f>Inputs!$E$450</f>
        <v>0.75</v>
      </c>
      <c r="F57" s="481">
        <f>$D57*$E57*F5</f>
        <v>1020.3</v>
      </c>
      <c r="G57" s="481">
        <f t="shared" ref="G57:P57" si="20">$D57*$E57*G5</f>
        <v>1041.96</v>
      </c>
      <c r="H57" s="481">
        <f t="shared" si="20"/>
        <v>1063.6200000000001</v>
      </c>
      <c r="I57" s="481">
        <f t="shared" si="20"/>
        <v>1140</v>
      </c>
      <c r="J57" s="481">
        <f t="shared" si="20"/>
        <v>1140</v>
      </c>
      <c r="K57" s="481">
        <f t="shared" si="20"/>
        <v>1140</v>
      </c>
      <c r="L57" s="481">
        <f t="shared" si="20"/>
        <v>1140</v>
      </c>
      <c r="M57" s="481">
        <f t="shared" si="20"/>
        <v>1140</v>
      </c>
      <c r="N57" s="481">
        <f t="shared" si="20"/>
        <v>1140</v>
      </c>
      <c r="O57" s="481">
        <f t="shared" si="20"/>
        <v>1140</v>
      </c>
      <c r="P57" s="481">
        <f t="shared" si="20"/>
        <v>1140</v>
      </c>
      <c r="Q57" s="331"/>
      <c r="R57" s="77" t="s">
        <v>1461</v>
      </c>
    </row>
    <row r="58" spans="1:18" x14ac:dyDescent="0.35">
      <c r="A58" s="331"/>
      <c r="B58" s="81">
        <v>2</v>
      </c>
      <c r="C58" s="72" t="s">
        <v>1392</v>
      </c>
      <c r="D58" s="12">
        <f>Inputs!$D$451</f>
        <v>80</v>
      </c>
      <c r="E58" s="480">
        <f>Inputs!$E$451</f>
        <v>0.75</v>
      </c>
      <c r="F58" s="481">
        <f t="shared" ref="F58:P63" si="21">$D58*$E58*F6</f>
        <v>966.59999999999991</v>
      </c>
      <c r="G58" s="481">
        <f t="shared" si="21"/>
        <v>987.12000000000012</v>
      </c>
      <c r="H58" s="481">
        <f t="shared" si="21"/>
        <v>1007.64</v>
      </c>
      <c r="I58" s="481">
        <f t="shared" si="21"/>
        <v>1080</v>
      </c>
      <c r="J58" s="481">
        <f t="shared" si="21"/>
        <v>1080</v>
      </c>
      <c r="K58" s="481">
        <f t="shared" si="21"/>
        <v>1080</v>
      </c>
      <c r="L58" s="481">
        <f t="shared" si="21"/>
        <v>1080</v>
      </c>
      <c r="M58" s="481">
        <f t="shared" si="21"/>
        <v>1080</v>
      </c>
      <c r="N58" s="481">
        <f t="shared" si="21"/>
        <v>1080</v>
      </c>
      <c r="O58" s="481">
        <f t="shared" si="21"/>
        <v>1080</v>
      </c>
      <c r="P58" s="481">
        <f t="shared" si="21"/>
        <v>1080</v>
      </c>
      <c r="Q58" s="331"/>
      <c r="R58" s="77" t="s">
        <v>1462</v>
      </c>
    </row>
    <row r="59" spans="1:18" x14ac:dyDescent="0.35">
      <c r="A59" s="331"/>
      <c r="B59" s="81">
        <v>3</v>
      </c>
      <c r="C59" s="72" t="s">
        <v>1392</v>
      </c>
      <c r="D59" s="12">
        <f>Inputs!$D$452</f>
        <v>80</v>
      </c>
      <c r="E59" s="480">
        <f>Inputs!$E$452</f>
        <v>0.75</v>
      </c>
      <c r="F59" s="481">
        <f t="shared" si="21"/>
        <v>805.5</v>
      </c>
      <c r="G59" s="481">
        <f t="shared" si="21"/>
        <v>822.6</v>
      </c>
      <c r="H59" s="481">
        <f t="shared" si="21"/>
        <v>839.7</v>
      </c>
      <c r="I59" s="481">
        <f t="shared" si="21"/>
        <v>900</v>
      </c>
      <c r="J59" s="481">
        <f t="shared" si="21"/>
        <v>900</v>
      </c>
      <c r="K59" s="481">
        <f t="shared" si="21"/>
        <v>900</v>
      </c>
      <c r="L59" s="481">
        <f t="shared" si="21"/>
        <v>900</v>
      </c>
      <c r="M59" s="481">
        <f t="shared" si="21"/>
        <v>900</v>
      </c>
      <c r="N59" s="481">
        <f t="shared" si="21"/>
        <v>900</v>
      </c>
      <c r="O59" s="481">
        <f t="shared" si="21"/>
        <v>900</v>
      </c>
      <c r="P59" s="481">
        <f t="shared" si="21"/>
        <v>900</v>
      </c>
      <c r="Q59" s="331"/>
      <c r="R59" s="77" t="s">
        <v>1463</v>
      </c>
    </row>
    <row r="60" spans="1:18" x14ac:dyDescent="0.35">
      <c r="A60" s="331"/>
      <c r="B60" s="81">
        <v>4</v>
      </c>
      <c r="C60" s="72" t="s">
        <v>1393</v>
      </c>
      <c r="D60" s="12">
        <f>Inputs!$D$453</f>
        <v>80</v>
      </c>
      <c r="E60" s="480">
        <f>Inputs!$E$453</f>
        <v>0.75</v>
      </c>
      <c r="F60" s="481">
        <f t="shared" si="21"/>
        <v>966.59999999999991</v>
      </c>
      <c r="G60" s="481">
        <f t="shared" si="21"/>
        <v>987.12000000000012</v>
      </c>
      <c r="H60" s="481">
        <f t="shared" si="21"/>
        <v>1007.64</v>
      </c>
      <c r="I60" s="481">
        <f t="shared" si="21"/>
        <v>1080</v>
      </c>
      <c r="J60" s="481">
        <f t="shared" si="21"/>
        <v>1080</v>
      </c>
      <c r="K60" s="481">
        <f t="shared" si="21"/>
        <v>1080</v>
      </c>
      <c r="L60" s="481">
        <f t="shared" si="21"/>
        <v>1080</v>
      </c>
      <c r="M60" s="481">
        <f t="shared" si="21"/>
        <v>1080</v>
      </c>
      <c r="N60" s="481">
        <f t="shared" si="21"/>
        <v>1080</v>
      </c>
      <c r="O60" s="481">
        <f t="shared" si="21"/>
        <v>1080</v>
      </c>
      <c r="P60" s="481">
        <f t="shared" si="21"/>
        <v>1080</v>
      </c>
      <c r="Q60" s="331"/>
      <c r="R60" s="331"/>
    </row>
    <row r="61" spans="1:18" x14ac:dyDescent="0.35">
      <c r="A61" s="331"/>
      <c r="B61" s="81">
        <v>5</v>
      </c>
      <c r="C61" s="72" t="s">
        <v>585</v>
      </c>
      <c r="D61" s="12">
        <f>Inputs!$D$454</f>
        <v>80</v>
      </c>
      <c r="E61" s="480">
        <f>Inputs!$E$454</f>
        <v>0.75</v>
      </c>
      <c r="F61" s="481">
        <f t="shared" si="21"/>
        <v>805.5</v>
      </c>
      <c r="G61" s="481">
        <f t="shared" si="21"/>
        <v>822.6</v>
      </c>
      <c r="H61" s="481">
        <f t="shared" si="21"/>
        <v>839.7</v>
      </c>
      <c r="I61" s="481">
        <f t="shared" si="21"/>
        <v>900</v>
      </c>
      <c r="J61" s="481">
        <f t="shared" si="21"/>
        <v>900</v>
      </c>
      <c r="K61" s="481">
        <f t="shared" si="21"/>
        <v>900</v>
      </c>
      <c r="L61" s="481">
        <f t="shared" si="21"/>
        <v>900</v>
      </c>
      <c r="M61" s="481">
        <f t="shared" si="21"/>
        <v>900</v>
      </c>
      <c r="N61" s="481">
        <f t="shared" si="21"/>
        <v>900</v>
      </c>
      <c r="O61" s="481">
        <f t="shared" si="21"/>
        <v>900</v>
      </c>
      <c r="P61" s="481">
        <f t="shared" si="21"/>
        <v>900</v>
      </c>
      <c r="Q61" s="331"/>
      <c r="R61" s="331"/>
    </row>
    <row r="62" spans="1:18" x14ac:dyDescent="0.35">
      <c r="A62" s="331"/>
      <c r="B62" s="81">
        <v>6</v>
      </c>
      <c r="C62" s="72" t="s">
        <v>587</v>
      </c>
      <c r="D62" s="12">
        <f>Inputs!$D$455</f>
        <v>80</v>
      </c>
      <c r="E62" s="480">
        <f>Inputs!$E$455</f>
        <v>0.75</v>
      </c>
      <c r="F62" s="481">
        <f t="shared" si="21"/>
        <v>805.5</v>
      </c>
      <c r="G62" s="481">
        <f t="shared" si="21"/>
        <v>822.6</v>
      </c>
      <c r="H62" s="481">
        <f t="shared" si="21"/>
        <v>839.7</v>
      </c>
      <c r="I62" s="481">
        <f t="shared" si="21"/>
        <v>900</v>
      </c>
      <c r="J62" s="481">
        <f t="shared" si="21"/>
        <v>900</v>
      </c>
      <c r="K62" s="481">
        <f t="shared" si="21"/>
        <v>900</v>
      </c>
      <c r="L62" s="481">
        <f t="shared" si="21"/>
        <v>900</v>
      </c>
      <c r="M62" s="481">
        <f t="shared" si="21"/>
        <v>900</v>
      </c>
      <c r="N62" s="481">
        <f t="shared" si="21"/>
        <v>900</v>
      </c>
      <c r="O62" s="481">
        <f t="shared" si="21"/>
        <v>900</v>
      </c>
      <c r="P62" s="481">
        <f t="shared" si="21"/>
        <v>900</v>
      </c>
      <c r="Q62" s="331"/>
      <c r="R62" s="331"/>
    </row>
    <row r="63" spans="1:18" x14ac:dyDescent="0.35">
      <c r="A63" s="331"/>
      <c r="B63" s="81">
        <v>7</v>
      </c>
      <c r="C63" s="72" t="s">
        <v>140</v>
      </c>
      <c r="D63" s="12">
        <f>Inputs!$D$456</f>
        <v>80</v>
      </c>
      <c r="E63" s="480">
        <f>Inputs!$E$456</f>
        <v>0.75</v>
      </c>
      <c r="F63" s="481">
        <f t="shared" si="21"/>
        <v>161.1</v>
      </c>
      <c r="G63" s="481">
        <f t="shared" si="21"/>
        <v>164.52</v>
      </c>
      <c r="H63" s="481">
        <f t="shared" si="21"/>
        <v>167.94000000000003</v>
      </c>
      <c r="I63" s="481">
        <f t="shared" si="21"/>
        <v>180</v>
      </c>
      <c r="J63" s="481">
        <f t="shared" si="21"/>
        <v>180</v>
      </c>
      <c r="K63" s="481">
        <f t="shared" si="21"/>
        <v>180</v>
      </c>
      <c r="L63" s="481">
        <f t="shared" si="21"/>
        <v>180</v>
      </c>
      <c r="M63" s="481">
        <f t="shared" si="21"/>
        <v>180</v>
      </c>
      <c r="N63" s="481">
        <f t="shared" si="21"/>
        <v>180</v>
      </c>
      <c r="O63" s="481">
        <f t="shared" si="21"/>
        <v>180</v>
      </c>
      <c r="P63" s="481">
        <f t="shared" si="21"/>
        <v>180</v>
      </c>
      <c r="Q63" s="331"/>
      <c r="R63" s="331"/>
    </row>
    <row r="64" spans="1:18" x14ac:dyDescent="0.35">
      <c r="A64" s="331"/>
      <c r="B64" s="81">
        <v>8</v>
      </c>
      <c r="C64" s="72" t="s">
        <v>142</v>
      </c>
      <c r="D64" s="12">
        <f>Inputs!$D$457</f>
        <v>0</v>
      </c>
      <c r="E64" s="480">
        <f>Inputs!$E$457</f>
        <v>0.7</v>
      </c>
      <c r="F64" s="481">
        <f t="shared" ref="F64:F67" si="22">D64*E64</f>
        <v>0</v>
      </c>
      <c r="G64" s="481">
        <f t="shared" ref="G64:P64" si="23">G12*$F$64</f>
        <v>0</v>
      </c>
      <c r="H64" s="481">
        <f t="shared" si="23"/>
        <v>0</v>
      </c>
      <c r="I64" s="481">
        <f t="shared" si="23"/>
        <v>0</v>
      </c>
      <c r="J64" s="481">
        <f t="shared" si="23"/>
        <v>0</v>
      </c>
      <c r="K64" s="481">
        <f t="shared" si="23"/>
        <v>0</v>
      </c>
      <c r="L64" s="481">
        <f t="shared" si="23"/>
        <v>0</v>
      </c>
      <c r="M64" s="481">
        <f t="shared" si="23"/>
        <v>0</v>
      </c>
      <c r="N64" s="481">
        <f t="shared" si="23"/>
        <v>0</v>
      </c>
      <c r="O64" s="481">
        <f t="shared" si="23"/>
        <v>0</v>
      </c>
      <c r="P64" s="481">
        <f t="shared" si="23"/>
        <v>0</v>
      </c>
      <c r="Q64" s="331"/>
      <c r="R64" s="331"/>
    </row>
    <row r="65" spans="1:18" x14ac:dyDescent="0.35">
      <c r="A65" s="331"/>
      <c r="B65" s="81">
        <v>9</v>
      </c>
      <c r="C65" s="72" t="s">
        <v>102</v>
      </c>
      <c r="D65" s="12">
        <f>Inputs!$D$458</f>
        <v>0</v>
      </c>
      <c r="E65" s="480">
        <f>Inputs!$E$458</f>
        <v>1</v>
      </c>
      <c r="F65" s="481">
        <f t="shared" si="22"/>
        <v>0</v>
      </c>
      <c r="G65" s="481">
        <f t="shared" ref="G65:P65" si="24">G13*$F$65</f>
        <v>0</v>
      </c>
      <c r="H65" s="481">
        <f t="shared" si="24"/>
        <v>0</v>
      </c>
      <c r="I65" s="481">
        <f t="shared" si="24"/>
        <v>0</v>
      </c>
      <c r="J65" s="481">
        <f t="shared" si="24"/>
        <v>0</v>
      </c>
      <c r="K65" s="481">
        <f t="shared" si="24"/>
        <v>0</v>
      </c>
      <c r="L65" s="481">
        <f t="shared" si="24"/>
        <v>0</v>
      </c>
      <c r="M65" s="481">
        <f t="shared" si="24"/>
        <v>0</v>
      </c>
      <c r="N65" s="481">
        <f t="shared" si="24"/>
        <v>0</v>
      </c>
      <c r="O65" s="481">
        <f t="shared" si="24"/>
        <v>0</v>
      </c>
      <c r="P65" s="481">
        <f t="shared" si="24"/>
        <v>0</v>
      </c>
      <c r="Q65" s="331"/>
      <c r="R65" s="331"/>
    </row>
    <row r="66" spans="1:18" x14ac:dyDescent="0.35">
      <c r="A66" s="331"/>
      <c r="B66" s="81">
        <v>10</v>
      </c>
      <c r="C66" s="72" t="s">
        <v>1394</v>
      </c>
      <c r="D66" s="12">
        <f>Inputs!$D$459</f>
        <v>0</v>
      </c>
      <c r="E66" s="480">
        <f>Inputs!$E$459</f>
        <v>1</v>
      </c>
      <c r="F66" s="481">
        <f t="shared" si="22"/>
        <v>0</v>
      </c>
      <c r="G66" s="481">
        <f t="shared" ref="G66:P66" si="25">G14*$F$66</f>
        <v>0</v>
      </c>
      <c r="H66" s="481">
        <f t="shared" si="25"/>
        <v>0</v>
      </c>
      <c r="I66" s="481">
        <f t="shared" si="25"/>
        <v>0</v>
      </c>
      <c r="J66" s="481">
        <f t="shared" si="25"/>
        <v>0</v>
      </c>
      <c r="K66" s="481">
        <f t="shared" si="25"/>
        <v>0</v>
      </c>
      <c r="L66" s="481">
        <f t="shared" si="25"/>
        <v>0</v>
      </c>
      <c r="M66" s="481">
        <f t="shared" si="25"/>
        <v>0</v>
      </c>
      <c r="N66" s="481">
        <f t="shared" si="25"/>
        <v>0</v>
      </c>
      <c r="O66" s="481">
        <f t="shared" si="25"/>
        <v>0</v>
      </c>
      <c r="P66" s="481">
        <f t="shared" si="25"/>
        <v>0</v>
      </c>
      <c r="Q66" s="331"/>
      <c r="R66" s="331"/>
    </row>
    <row r="67" spans="1:18" x14ac:dyDescent="0.35">
      <c r="A67" s="331"/>
      <c r="B67" s="81">
        <v>11</v>
      </c>
      <c r="C67" s="72" t="s">
        <v>1395</v>
      </c>
      <c r="D67" s="12">
        <f>Inputs!$D$460</f>
        <v>0</v>
      </c>
      <c r="E67" s="480">
        <f>Inputs!$E$460</f>
        <v>1</v>
      </c>
      <c r="F67" s="481">
        <f t="shared" si="22"/>
        <v>0</v>
      </c>
      <c r="G67" s="481">
        <f t="shared" ref="G67:P67" si="26">G15*$F$67</f>
        <v>0</v>
      </c>
      <c r="H67" s="481">
        <f t="shared" si="26"/>
        <v>0</v>
      </c>
      <c r="I67" s="481">
        <f t="shared" si="26"/>
        <v>0</v>
      </c>
      <c r="J67" s="481">
        <f t="shared" si="26"/>
        <v>0</v>
      </c>
      <c r="K67" s="481">
        <f t="shared" si="26"/>
        <v>0</v>
      </c>
      <c r="L67" s="481">
        <f t="shared" si="26"/>
        <v>0</v>
      </c>
      <c r="M67" s="481">
        <f t="shared" si="26"/>
        <v>0</v>
      </c>
      <c r="N67" s="481">
        <f t="shared" si="26"/>
        <v>0</v>
      </c>
      <c r="O67" s="481">
        <f t="shared" si="26"/>
        <v>0</v>
      </c>
      <c r="P67" s="481">
        <f t="shared" si="26"/>
        <v>0</v>
      </c>
      <c r="Q67" s="331"/>
      <c r="R67" s="331"/>
    </row>
    <row r="68" spans="1:18" x14ac:dyDescent="0.35">
      <c r="A68" s="331"/>
      <c r="B68" s="80"/>
      <c r="C68" s="331"/>
      <c r="D68" s="331"/>
      <c r="E68" s="133"/>
      <c r="F68" s="83"/>
      <c r="G68" s="482"/>
      <c r="H68" s="482"/>
      <c r="I68" s="482"/>
      <c r="J68" s="482"/>
      <c r="K68" s="482"/>
      <c r="L68" s="482"/>
      <c r="M68" s="482"/>
      <c r="N68" s="482"/>
      <c r="O68" s="482"/>
      <c r="P68" s="482"/>
      <c r="Q68" s="331"/>
      <c r="R68" s="331"/>
    </row>
    <row r="69" spans="1:18" x14ac:dyDescent="0.35">
      <c r="A69" s="331"/>
      <c r="B69" s="80"/>
      <c r="C69" s="331"/>
      <c r="D69" s="331"/>
      <c r="E69" s="133"/>
      <c r="F69" s="83"/>
      <c r="G69" s="482"/>
      <c r="H69" s="482"/>
      <c r="I69" s="482"/>
      <c r="J69" s="482"/>
      <c r="K69" s="482"/>
      <c r="L69" s="482"/>
      <c r="M69" s="482"/>
      <c r="N69" s="482"/>
      <c r="O69" s="482"/>
      <c r="P69" s="482"/>
      <c r="Q69" s="331"/>
      <c r="R69" s="331"/>
    </row>
    <row r="70" spans="1:18" x14ac:dyDescent="0.35">
      <c r="A70" s="331"/>
      <c r="B70" s="331"/>
      <c r="C70" s="331"/>
      <c r="D70" s="331"/>
      <c r="E70" s="331"/>
      <c r="Q70" s="331"/>
      <c r="R70" s="331"/>
    </row>
    <row r="71" spans="1:18" x14ac:dyDescent="0.35">
      <c r="A71" s="331"/>
      <c r="B71" s="72" t="s">
        <v>1464</v>
      </c>
      <c r="C71" s="331"/>
      <c r="D71" s="72" t="s">
        <v>1391</v>
      </c>
      <c r="E71" s="72" t="s">
        <v>1465</v>
      </c>
      <c r="F71" s="105" t="str">
        <f>F56</f>
        <v>FY28</v>
      </c>
      <c r="G71" s="105" t="str">
        <f>G56</f>
        <v>FY29</v>
      </c>
      <c r="H71" s="105" t="str">
        <f>H56</f>
        <v>FY30</v>
      </c>
      <c r="I71" s="105" t="str">
        <f>I56</f>
        <v>FY31</v>
      </c>
      <c r="J71" s="105" t="str">
        <f>J56</f>
        <v>FY32</v>
      </c>
      <c r="K71" s="105" t="str">
        <f>K56</f>
        <v>FY33</v>
      </c>
      <c r="L71" s="105" t="str">
        <f>L56</f>
        <v>FY34</v>
      </c>
      <c r="M71" s="105" t="str">
        <f>M56</f>
        <v>FY35</v>
      </c>
      <c r="N71" s="105" t="str">
        <f>N56</f>
        <v>FY36</v>
      </c>
      <c r="O71" s="105" t="str">
        <f>O56</f>
        <v>FY37</v>
      </c>
      <c r="P71" s="105" t="str">
        <f>P56</f>
        <v>FY38</v>
      </c>
      <c r="Q71" s="331"/>
      <c r="R71" s="331"/>
    </row>
    <row r="72" spans="1:18" x14ac:dyDescent="0.35">
      <c r="A72" s="331"/>
      <c r="B72" s="81">
        <v>1</v>
      </c>
      <c r="C72" s="72" t="s">
        <v>1392</v>
      </c>
      <c r="D72" s="12">
        <f>Inputs!$E$405</f>
        <v>5000</v>
      </c>
      <c r="E72" s="480">
        <f>Inputs!$E$465</f>
        <v>1</v>
      </c>
      <c r="F72" s="481">
        <v>1</v>
      </c>
      <c r="G72" s="481">
        <f>($E$72*G5*Inputs!$E$190)+($F$72*G5*Inputs!$E$191)</f>
        <v>347320</v>
      </c>
      <c r="H72" s="481">
        <f>($E$72*H5*Inputs!$E$190)+($F$72*H5*Inputs!$E$191)</f>
        <v>354540</v>
      </c>
      <c r="I72" s="481">
        <f>($E$72*I5*Inputs!$E$190)+($F$72*I5*Inputs!$E$191)</f>
        <v>380000</v>
      </c>
      <c r="J72" s="481">
        <f>($E$72*J5*Inputs!$E$190)+($F$72*J5*Inputs!$E$191)</f>
        <v>380000</v>
      </c>
      <c r="K72" s="481">
        <f>($E$72*K5*Inputs!$E$190)+($F$72*K5*Inputs!$E$191)</f>
        <v>380000</v>
      </c>
      <c r="L72" s="481">
        <f>($E$72*L5*Inputs!$E$190)+($F$72*L5*Inputs!$E$191)</f>
        <v>380000</v>
      </c>
      <c r="M72" s="481">
        <f>($E$72*M5*Inputs!$E$190)+($F$72*M5*Inputs!$E$191)</f>
        <v>380000</v>
      </c>
      <c r="N72" s="481">
        <f>($E$72*N5*Inputs!$E$190)+($F$72*N5*Inputs!$E$191)</f>
        <v>380000</v>
      </c>
      <c r="O72" s="481">
        <f>($E$72*O5*Inputs!$E$190)+($F$72*O5*Inputs!$E$191)</f>
        <v>380000</v>
      </c>
      <c r="P72" s="481">
        <f>($E$72*P5*Inputs!$E$190)+($F$72*P5*Inputs!$E$191)</f>
        <v>380000</v>
      </c>
      <c r="Q72" s="331"/>
      <c r="R72" s="331"/>
    </row>
    <row r="73" spans="1:18" x14ac:dyDescent="0.35">
      <c r="A73" s="331"/>
      <c r="B73" s="81">
        <v>2</v>
      </c>
      <c r="C73" s="72" t="s">
        <v>1392</v>
      </c>
      <c r="D73" s="12">
        <f>Inputs!$E$406</f>
        <v>3000</v>
      </c>
      <c r="E73" s="480">
        <f>Inputs!$E$466</f>
        <v>0.8</v>
      </c>
      <c r="F73" s="481">
        <v>1</v>
      </c>
      <c r="G73" s="481">
        <f>($E$73*G6*Inputs!$E$190)+($F$73*G6*Inputs!$E$191)</f>
        <v>296136.00000000006</v>
      </c>
      <c r="H73" s="481">
        <f>($E$73*H6*Inputs!$E$190)+($F$73*H6*Inputs!$E$191)</f>
        <v>302292</v>
      </c>
      <c r="I73" s="481">
        <f>($E$73*I6*Inputs!$E$190)+($F$73*I6*Inputs!$E$191)</f>
        <v>324000</v>
      </c>
      <c r="J73" s="481">
        <f>($E$73*J6*Inputs!$E$190)+($F$73*J6*Inputs!$E$191)</f>
        <v>324000</v>
      </c>
      <c r="K73" s="481">
        <f>($E$73*K6*Inputs!$E$190)+($F$73*K6*Inputs!$E$191)</f>
        <v>324000</v>
      </c>
      <c r="L73" s="481">
        <f>($E$73*L6*Inputs!$E$190)+($F$73*L6*Inputs!$E$191)</f>
        <v>324000</v>
      </c>
      <c r="M73" s="481">
        <f>($E$73*M6*Inputs!$E$190)+($F$73*M6*Inputs!$E$191)</f>
        <v>324000</v>
      </c>
      <c r="N73" s="481">
        <f>($E$73*N6*Inputs!$E$190)+($F$73*N6*Inputs!$E$191)</f>
        <v>324000</v>
      </c>
      <c r="O73" s="481">
        <f>($E$73*O6*Inputs!$E$190)+($F$73*O6*Inputs!$E$191)</f>
        <v>324000</v>
      </c>
      <c r="P73" s="481">
        <f>($E$73*P6*Inputs!$E$190)+($F$73*P6*Inputs!$E$191)</f>
        <v>324000</v>
      </c>
      <c r="Q73" s="331"/>
      <c r="R73" s="331"/>
    </row>
    <row r="74" spans="1:18" x14ac:dyDescent="0.35">
      <c r="A74" s="331"/>
      <c r="B74" s="81">
        <v>3</v>
      </c>
      <c r="C74" s="72" t="s">
        <v>1392</v>
      </c>
      <c r="D74" s="12">
        <f>Inputs!$E$407</f>
        <v>1500</v>
      </c>
      <c r="E74" s="480">
        <f>Inputs!$E$467</f>
        <v>0.9</v>
      </c>
      <c r="F74" s="481">
        <v>1</v>
      </c>
      <c r="G74" s="481">
        <f>($E$74*G7*Inputs!$E$190)+($F$74*G7*Inputs!$E$191)</f>
        <v>260490</v>
      </c>
      <c r="H74" s="481">
        <f>($E$74*H7*Inputs!$E$190)+($F$74*H7*Inputs!$E$191)</f>
        <v>265905</v>
      </c>
      <c r="I74" s="481">
        <f>($E$74*I7*Inputs!$E$190)+($F$74*I7*Inputs!$E$191)</f>
        <v>285000</v>
      </c>
      <c r="J74" s="481">
        <f>($E$74*J7*Inputs!$E$190)+($F$74*J7*Inputs!$E$191)</f>
        <v>285000</v>
      </c>
      <c r="K74" s="481">
        <f>($E$74*K7*Inputs!$E$190)+($F$74*K7*Inputs!$E$191)</f>
        <v>285000</v>
      </c>
      <c r="L74" s="481">
        <f>($E$74*L7*Inputs!$E$190)+($F$74*L7*Inputs!$E$191)</f>
        <v>285000</v>
      </c>
      <c r="M74" s="481">
        <f>($E$74*M7*Inputs!$E$190)+($F$74*M7*Inputs!$E$191)</f>
        <v>285000</v>
      </c>
      <c r="N74" s="481">
        <f>($E$74*N7*Inputs!$E$190)+($F$74*N7*Inputs!$E$191)</f>
        <v>285000</v>
      </c>
      <c r="O74" s="481">
        <f>($E$74*O7*Inputs!$E$190)+($F$74*O7*Inputs!$E$191)</f>
        <v>285000</v>
      </c>
      <c r="P74" s="481">
        <f>($E$74*P7*Inputs!$E$190)+($F$74*P7*Inputs!$E$191)</f>
        <v>285000</v>
      </c>
      <c r="Q74" s="331"/>
      <c r="R74" s="331"/>
    </row>
    <row r="75" spans="1:18" x14ac:dyDescent="0.35">
      <c r="A75" s="331"/>
      <c r="B75" s="81">
        <v>4</v>
      </c>
      <c r="C75" s="72" t="s">
        <v>1393</v>
      </c>
      <c r="D75" s="12">
        <f>Inputs!$E$408</f>
        <v>3500</v>
      </c>
      <c r="E75" s="480">
        <f>Inputs!$E$468</f>
        <v>1</v>
      </c>
      <c r="F75" s="481">
        <v>1</v>
      </c>
      <c r="G75" s="481">
        <f>($E$75*G8*Inputs!$E$190)+($F$75*G8*Inputs!$E$191)</f>
        <v>329040.00000000006</v>
      </c>
      <c r="H75" s="481">
        <f>($E$75*H8*Inputs!$E$190)+($F$75*H8*Inputs!$E$191)</f>
        <v>335880</v>
      </c>
      <c r="I75" s="481">
        <f>($E$75*I8*Inputs!$E$190)+($F$75*I8*Inputs!$E$191)</f>
        <v>360000</v>
      </c>
      <c r="J75" s="481">
        <f>($E$75*J8*Inputs!$E$190)+($F$75*J8*Inputs!$E$191)</f>
        <v>360000</v>
      </c>
      <c r="K75" s="481">
        <f>($E$75*K8*Inputs!$E$190)+($F$75*K8*Inputs!$E$191)</f>
        <v>360000</v>
      </c>
      <c r="L75" s="481">
        <f>($E$75*L8*Inputs!$E$190)+($F$75*L8*Inputs!$E$191)</f>
        <v>360000</v>
      </c>
      <c r="M75" s="481">
        <f>($E$75*M8*Inputs!$E$190)+($F$75*M8*Inputs!$E$191)</f>
        <v>360000</v>
      </c>
      <c r="N75" s="481">
        <f>($E$75*N8*Inputs!$E$190)+($F$75*N8*Inputs!$E$191)</f>
        <v>360000</v>
      </c>
      <c r="O75" s="481">
        <f>($E$75*O8*Inputs!$E$190)+($F$75*O8*Inputs!$E$191)</f>
        <v>360000</v>
      </c>
      <c r="P75" s="481">
        <f>($E$75*P8*Inputs!$E$190)+($F$75*P8*Inputs!$E$191)</f>
        <v>360000</v>
      </c>
      <c r="Q75" s="331"/>
      <c r="R75" s="331"/>
    </row>
    <row r="76" spans="1:18" x14ac:dyDescent="0.35">
      <c r="A76" s="331"/>
      <c r="B76" s="81">
        <v>5</v>
      </c>
      <c r="C76" s="72" t="s">
        <v>585</v>
      </c>
      <c r="D76" s="12">
        <f>Inputs!$E$409</f>
        <v>3500</v>
      </c>
      <c r="E76" s="480">
        <f>Inputs!$E$469</f>
        <v>0.8</v>
      </c>
      <c r="F76" s="481">
        <v>1</v>
      </c>
      <c r="G76" s="481">
        <f>($E$76*G9*Inputs!$E$190)+($F$76*G9*Inputs!$E$191)</f>
        <v>246780</v>
      </c>
      <c r="H76" s="481">
        <f>($E$76*H9*Inputs!$E$190)+($F$76*H9*Inputs!$E$191)</f>
        <v>251910</v>
      </c>
      <c r="I76" s="481">
        <f>($E$76*I9*Inputs!$E$190)+($F$76*I9*Inputs!$E$191)</f>
        <v>270000</v>
      </c>
      <c r="J76" s="481">
        <f>($E$76*J9*Inputs!$E$190)+($F$76*J9*Inputs!$E$191)</f>
        <v>270000</v>
      </c>
      <c r="K76" s="481">
        <f>($E$76*K9*Inputs!$E$190)+($F$76*K9*Inputs!$E$191)</f>
        <v>270000</v>
      </c>
      <c r="L76" s="481">
        <f>($E$76*L9*Inputs!$E$190)+($F$76*L9*Inputs!$E$191)</f>
        <v>270000</v>
      </c>
      <c r="M76" s="481">
        <f>($E$76*M9*Inputs!$E$190)+($F$76*M9*Inputs!$E$191)</f>
        <v>270000</v>
      </c>
      <c r="N76" s="481">
        <f>($E$76*N9*Inputs!$E$190)+($F$76*N9*Inputs!$E$191)</f>
        <v>270000</v>
      </c>
      <c r="O76" s="481">
        <f>($E$76*O9*Inputs!$E$190)+($F$76*O9*Inputs!$E$191)</f>
        <v>270000</v>
      </c>
      <c r="P76" s="481">
        <f>($E$76*P9*Inputs!$E$190)+($F$76*P9*Inputs!$E$191)</f>
        <v>270000</v>
      </c>
      <c r="Q76" s="331"/>
      <c r="R76" s="331"/>
    </row>
    <row r="77" spans="1:18" x14ac:dyDescent="0.35">
      <c r="A77" s="331"/>
      <c r="B77" s="81">
        <v>6</v>
      </c>
      <c r="C77" s="72" t="s">
        <v>587</v>
      </c>
      <c r="D77" s="12">
        <f>Inputs!$E$410</f>
        <v>3500</v>
      </c>
      <c r="E77" s="480">
        <f>Inputs!$E$470</f>
        <v>0.6</v>
      </c>
      <c r="F77" s="481">
        <v>1</v>
      </c>
      <c r="G77" s="481">
        <f>($E$77*G10*Inputs!$E$190)+($F$77*G10*Inputs!$E$191)</f>
        <v>219360</v>
      </c>
      <c r="H77" s="481">
        <f>($E$77*H10*Inputs!$E$190)+($F$77*H10*Inputs!$E$191)</f>
        <v>223920</v>
      </c>
      <c r="I77" s="481">
        <f>($E$77*I10*Inputs!$E$190)+($F$77*I10*Inputs!$E$191)</f>
        <v>240000</v>
      </c>
      <c r="J77" s="481">
        <f>($E$77*J10*Inputs!$E$190)+($F$77*J10*Inputs!$E$191)</f>
        <v>240000</v>
      </c>
      <c r="K77" s="481">
        <f>($E$77*K10*Inputs!$E$190)+($F$77*K10*Inputs!$E$191)</f>
        <v>240000</v>
      </c>
      <c r="L77" s="481">
        <f>($E$77*L10*Inputs!$E$190)+($F$77*L10*Inputs!$E$191)</f>
        <v>240000</v>
      </c>
      <c r="M77" s="481">
        <f>($E$77*M10*Inputs!$E$190)+($F$77*M10*Inputs!$E$191)</f>
        <v>240000</v>
      </c>
      <c r="N77" s="481">
        <f>($E$77*N10*Inputs!$E$190)+($F$77*N10*Inputs!$E$191)</f>
        <v>240000</v>
      </c>
      <c r="O77" s="481">
        <f>($E$77*O10*Inputs!$E$190)+($F$77*O10*Inputs!$E$191)</f>
        <v>240000</v>
      </c>
      <c r="P77" s="481">
        <f>($E$77*P10*Inputs!$E$190)+($F$77*P10*Inputs!$E$191)</f>
        <v>240000</v>
      </c>
      <c r="Q77" s="331"/>
      <c r="R77" s="331"/>
    </row>
    <row r="78" spans="1:18" x14ac:dyDescent="0.35">
      <c r="A78" s="331"/>
      <c r="B78" s="81">
        <v>7</v>
      </c>
      <c r="C78" s="72" t="s">
        <v>140</v>
      </c>
      <c r="D78" s="12">
        <f>Inputs!$E$411</f>
        <v>3500</v>
      </c>
      <c r="E78" s="480">
        <f>Inputs!$E$471</f>
        <v>0.8</v>
      </c>
      <c r="F78" s="481">
        <v>1</v>
      </c>
      <c r="G78" s="481">
        <f>($E$78*G11*Inputs!$E$190)+($F$78*G11*Inputs!$E$191)</f>
        <v>49356</v>
      </c>
      <c r="H78" s="481">
        <f>($E$78*H11*Inputs!$E$190)+($F$78*H11*Inputs!$E$191)</f>
        <v>50382.000000000007</v>
      </c>
      <c r="I78" s="481">
        <f>($E$78*I11*Inputs!$E$190)+($F$78*I11*Inputs!$E$191)</f>
        <v>54000</v>
      </c>
      <c r="J78" s="481">
        <f>($E$78*J11*Inputs!$E$190)+($F$78*J11*Inputs!$E$191)</f>
        <v>54000</v>
      </c>
      <c r="K78" s="481">
        <f>($E$78*K11*Inputs!$E$190)+($F$78*K11*Inputs!$E$191)</f>
        <v>54000</v>
      </c>
      <c r="L78" s="481">
        <f>($E$78*L11*Inputs!$E$190)+($F$78*L11*Inputs!$E$191)</f>
        <v>54000</v>
      </c>
      <c r="M78" s="481">
        <f>($E$78*M11*Inputs!$E$190)+($F$78*M11*Inputs!$E$191)</f>
        <v>54000</v>
      </c>
      <c r="N78" s="481">
        <f>($E$78*N11*Inputs!$E$190)+($F$78*N11*Inputs!$E$191)</f>
        <v>54000</v>
      </c>
      <c r="O78" s="481">
        <f>($E$78*O11*Inputs!$E$190)+($F$78*O11*Inputs!$E$191)</f>
        <v>54000</v>
      </c>
      <c r="P78" s="481">
        <f>($E$78*P11*Inputs!$E$190)+($F$78*P11*Inputs!$E$191)</f>
        <v>54000</v>
      </c>
      <c r="Q78" s="331"/>
      <c r="R78" s="331"/>
    </row>
    <row r="79" spans="1:18" x14ac:dyDescent="0.35">
      <c r="A79" s="331"/>
      <c r="B79" s="81">
        <v>8</v>
      </c>
      <c r="C79" s="72" t="s">
        <v>142</v>
      </c>
      <c r="D79" s="12">
        <f>Inputs!$E$412</f>
        <v>3500</v>
      </c>
      <c r="E79" s="480">
        <f>Inputs!$E$472</f>
        <v>0.5</v>
      </c>
      <c r="F79" s="481">
        <v>1</v>
      </c>
      <c r="G79" s="481">
        <f>($E$79*G12*Inputs!$E$190)+($F$79*G12*Inputs!$E$191)</f>
        <v>397590</v>
      </c>
      <c r="H79" s="481">
        <f>($E$79*H12*Inputs!$E$190)+($F$79*H12*Inputs!$E$191)</f>
        <v>405855</v>
      </c>
      <c r="I79" s="481">
        <f>($E$79*I12*Inputs!$E$190)+($F$79*I12*Inputs!$E$191)</f>
        <v>435000</v>
      </c>
      <c r="J79" s="481">
        <f>($E$79*J12*Inputs!$E$190)+($F$79*J12*Inputs!$E$191)</f>
        <v>435000</v>
      </c>
      <c r="K79" s="481">
        <f>($E$79*K12*Inputs!$E$190)+($F$79*K12*Inputs!$E$191)</f>
        <v>435000</v>
      </c>
      <c r="L79" s="481">
        <f>($E$79*L12*Inputs!$E$190)+($F$79*L12*Inputs!$E$191)</f>
        <v>435000</v>
      </c>
      <c r="M79" s="481">
        <f>($E$79*M12*Inputs!$E$190)+($F$79*M12*Inputs!$E$191)</f>
        <v>435000</v>
      </c>
      <c r="N79" s="481">
        <f>($E$79*N12*Inputs!$E$190)+($F$79*N12*Inputs!$E$191)</f>
        <v>435000</v>
      </c>
      <c r="O79" s="481">
        <f>($E$79*O12*Inputs!$E$190)+($F$79*O12*Inputs!$E$191)</f>
        <v>435000</v>
      </c>
      <c r="P79" s="481">
        <f>($E$79*P12*Inputs!$E$190)+($F$79*P12*Inputs!$E$191)</f>
        <v>435000</v>
      </c>
      <c r="Q79" s="331"/>
      <c r="R79" s="331"/>
    </row>
    <row r="80" spans="1:18" x14ac:dyDescent="0.35">
      <c r="A80" s="331"/>
      <c r="B80" s="81">
        <v>9</v>
      </c>
      <c r="C80" s="72" t="s">
        <v>102</v>
      </c>
      <c r="D80" s="12">
        <f>Inputs!$E$413</f>
        <v>2000</v>
      </c>
      <c r="E80" s="480">
        <f>Inputs!$E$473</f>
        <v>0</v>
      </c>
      <c r="F80" s="481">
        <v>0</v>
      </c>
      <c r="G80" s="481">
        <f>($E$80*G13*Inputs!$E$190)+($F$80*G13*Inputs!$E$191)</f>
        <v>0</v>
      </c>
      <c r="H80" s="481">
        <f>($E$80*H13*Inputs!$E$190)+($F$80*H13*Inputs!$E$191)</f>
        <v>0</v>
      </c>
      <c r="I80" s="481">
        <f>($E$80*I13*Inputs!$E$190)+($F$80*I13*Inputs!$E$191)</f>
        <v>0</v>
      </c>
      <c r="J80" s="481">
        <f>($E$80*J13*Inputs!$E$190)+($F$80*J13*Inputs!$E$191)</f>
        <v>0</v>
      </c>
      <c r="K80" s="481">
        <f>($E$80*K13*Inputs!$E$190)+($F$80*K13*Inputs!$E$191)</f>
        <v>0</v>
      </c>
      <c r="L80" s="481">
        <f>($E$80*L13*Inputs!$E$190)+($F$80*L13*Inputs!$E$191)</f>
        <v>0</v>
      </c>
      <c r="M80" s="481">
        <f>($E$80*M13*Inputs!$E$190)+($F$80*M13*Inputs!$E$191)</f>
        <v>0</v>
      </c>
      <c r="N80" s="481">
        <f>($E$80*N13*Inputs!$E$190)+($F$80*N13*Inputs!$E$191)</f>
        <v>0</v>
      </c>
      <c r="O80" s="481">
        <f>($E$80*O13*Inputs!$E$190)+($F$80*O13*Inputs!$E$191)</f>
        <v>0</v>
      </c>
      <c r="P80" s="481">
        <f>($E$80*P13*Inputs!$E$190)+($F$80*P13*Inputs!$E$191)</f>
        <v>0</v>
      </c>
      <c r="Q80" s="331"/>
      <c r="R80" s="331"/>
    </row>
    <row r="81" spans="1:18" x14ac:dyDescent="0.35">
      <c r="A81" s="331"/>
      <c r="B81" s="81">
        <v>10</v>
      </c>
      <c r="C81" s="72" t="s">
        <v>1394</v>
      </c>
      <c r="D81" s="12">
        <f>Inputs!$E$414</f>
        <v>2000</v>
      </c>
      <c r="E81" s="480">
        <f>Inputs!$E$474</f>
        <v>1</v>
      </c>
      <c r="F81" s="481">
        <v>1</v>
      </c>
      <c r="G81" s="481">
        <f>($E$81*G14*Inputs!$E$190)+($F$81*G14*Inputs!$E$191)</f>
        <v>182800</v>
      </c>
      <c r="H81" s="481">
        <f>($E$81*H14*Inputs!$E$190)+($F$81*H14*Inputs!$E$191)</f>
        <v>186600</v>
      </c>
      <c r="I81" s="481">
        <f>($E$81*I14*Inputs!$E$190)+($F$81*I14*Inputs!$E$191)</f>
        <v>200000</v>
      </c>
      <c r="J81" s="481">
        <f>($E$81*J14*Inputs!$E$190)+($F$81*J14*Inputs!$E$191)</f>
        <v>200000</v>
      </c>
      <c r="K81" s="481">
        <f>($E$81*K14*Inputs!$E$190)+($F$81*K14*Inputs!$E$191)</f>
        <v>200000</v>
      </c>
      <c r="L81" s="481">
        <f>($E$81*L14*Inputs!$E$190)+($F$81*L14*Inputs!$E$191)</f>
        <v>200000</v>
      </c>
      <c r="M81" s="481">
        <f>($E$81*M14*Inputs!$E$190)+($F$81*M14*Inputs!$E$191)</f>
        <v>200000</v>
      </c>
      <c r="N81" s="481">
        <f>($E$81*N14*Inputs!$E$190)+($F$81*N14*Inputs!$E$191)</f>
        <v>200000</v>
      </c>
      <c r="O81" s="481">
        <f>($E$81*O14*Inputs!$E$190)+($F$81*O14*Inputs!$E$191)</f>
        <v>200000</v>
      </c>
      <c r="P81" s="481">
        <f>($E$81*P14*Inputs!$E$190)+($F$81*P14*Inputs!$E$191)</f>
        <v>200000</v>
      </c>
      <c r="Q81" s="331"/>
      <c r="R81" s="331"/>
    </row>
    <row r="82" spans="1:18" x14ac:dyDescent="0.35">
      <c r="A82" s="331"/>
      <c r="B82" s="81">
        <v>11</v>
      </c>
      <c r="C82" s="72" t="s">
        <v>1395</v>
      </c>
      <c r="D82" s="12">
        <f>Inputs!$E$415</f>
        <v>4000</v>
      </c>
      <c r="E82" s="480">
        <f>Inputs!$E$475</f>
        <v>0</v>
      </c>
      <c r="F82" s="481">
        <v>0</v>
      </c>
      <c r="G82" s="481">
        <f>($E$82*G15*Inputs!$E$190)+($F$82*G15*Inputs!$E$191)</f>
        <v>0</v>
      </c>
      <c r="H82" s="481">
        <f>($E$82*H15*Inputs!$E$190)+($F$82*H15*Inputs!$E$191)</f>
        <v>0</v>
      </c>
      <c r="I82" s="481">
        <f>($E$82*I15*Inputs!$E$190)+($F$82*I15*Inputs!$E$191)</f>
        <v>0</v>
      </c>
      <c r="J82" s="481">
        <f>($E$82*J15*Inputs!$E$190)+($F$82*J15*Inputs!$E$191)</f>
        <v>0</v>
      </c>
      <c r="K82" s="481">
        <f>($E$82*K15*Inputs!$E$190)+($F$82*K15*Inputs!$E$191)</f>
        <v>0</v>
      </c>
      <c r="L82" s="481">
        <f>($E$82*L15*Inputs!$E$190)+($F$82*L15*Inputs!$E$191)</f>
        <v>0</v>
      </c>
      <c r="M82" s="481">
        <f>($E$82*M15*Inputs!$E$190)+($F$82*M15*Inputs!$E$191)</f>
        <v>0</v>
      </c>
      <c r="N82" s="481">
        <f>($E$82*N15*Inputs!$E$190)+($F$82*N15*Inputs!$E$191)</f>
        <v>0</v>
      </c>
      <c r="O82" s="481">
        <f>($E$82*O15*Inputs!$E$190)+($F$82*O15*Inputs!$E$191)</f>
        <v>0</v>
      </c>
      <c r="P82" s="481">
        <f>($E$82*P15*Inputs!$E$190)+($F$82*P15*Inputs!$E$191)</f>
        <v>0</v>
      </c>
      <c r="Q82" s="331"/>
      <c r="R82" s="331"/>
    </row>
    <row r="83" spans="1:18" x14ac:dyDescent="0.35">
      <c r="A83" s="331"/>
      <c r="B83" s="331"/>
      <c r="C83" s="106" t="s">
        <v>1466</v>
      </c>
      <c r="D83" s="12"/>
      <c r="E83" s="480"/>
      <c r="F83" s="481">
        <f t="shared" ref="F83:P83" si="27">SUM(F72:F82)</f>
        <v>9</v>
      </c>
      <c r="G83" s="481">
        <f t="shared" si="27"/>
        <v>2328872</v>
      </c>
      <c r="H83" s="481">
        <f t="shared" si="27"/>
        <v>2377284</v>
      </c>
      <c r="I83" s="481">
        <f t="shared" si="27"/>
        <v>2548000</v>
      </c>
      <c r="J83" s="481">
        <f t="shared" si="27"/>
        <v>2548000</v>
      </c>
      <c r="K83" s="481">
        <f t="shared" si="27"/>
        <v>2548000</v>
      </c>
      <c r="L83" s="481">
        <f t="shared" si="27"/>
        <v>2548000</v>
      </c>
      <c r="M83" s="481">
        <f t="shared" si="27"/>
        <v>2548000</v>
      </c>
      <c r="N83" s="481">
        <f t="shared" si="27"/>
        <v>2548000</v>
      </c>
      <c r="O83" s="481">
        <f t="shared" si="27"/>
        <v>2548000</v>
      </c>
      <c r="P83" s="481">
        <f t="shared" si="27"/>
        <v>2548000</v>
      </c>
      <c r="Q83" s="331"/>
      <c r="R83" s="331"/>
    </row>
    <row r="84" spans="1:18" x14ac:dyDescent="0.35">
      <c r="A84" s="331"/>
      <c r="B84" s="331"/>
      <c r="C84" s="331"/>
      <c r="D84" s="331"/>
      <c r="E84" s="331"/>
      <c r="F84" s="331"/>
      <c r="G84" s="331"/>
      <c r="H84" s="331"/>
      <c r="I84" s="331"/>
      <c r="J84" s="331"/>
      <c r="K84" s="331"/>
      <c r="L84" s="331"/>
      <c r="M84" s="331"/>
      <c r="N84" s="331"/>
      <c r="O84" s="331"/>
      <c r="P84" s="331"/>
      <c r="Q84" s="331"/>
      <c r="R84" s="331"/>
    </row>
    <row r="85" spans="1:18" x14ac:dyDescent="0.35">
      <c r="A85" s="331"/>
      <c r="B85" s="331"/>
      <c r="C85" s="331"/>
      <c r="D85" s="331"/>
      <c r="E85" s="72"/>
      <c r="F85" s="331"/>
      <c r="G85" s="331"/>
      <c r="H85" s="331"/>
      <c r="I85" s="331"/>
      <c r="J85" s="331"/>
      <c r="K85" s="331"/>
      <c r="L85" s="331"/>
      <c r="M85" s="331"/>
      <c r="N85" s="331"/>
      <c r="O85" s="331"/>
      <c r="P85" s="331"/>
      <c r="Q85" s="331"/>
      <c r="R85" s="331"/>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9" tint="-0.249977111117893"/>
  </sheetPr>
  <dimension ref="A1:T51"/>
  <sheetViews>
    <sheetView showGridLines="0" workbookViewId="0">
      <selection activeCell="F22" sqref="F22"/>
    </sheetView>
  </sheetViews>
  <sheetFormatPr defaultRowHeight="14.5" x14ac:dyDescent="0.35"/>
  <cols>
    <col min="1" max="1" width="34" customWidth="1"/>
    <col min="2" max="2" width="25.54296875" customWidth="1"/>
    <col min="3" max="3" width="27.453125" bestFit="1" customWidth="1"/>
    <col min="4" max="4" width="39.54296875" bestFit="1" customWidth="1"/>
    <col min="5" max="5" width="14" bestFit="1" customWidth="1"/>
    <col min="6" max="6" width="12.453125" bestFit="1" customWidth="1"/>
    <col min="7" max="7" width="13.1796875" bestFit="1" customWidth="1"/>
    <col min="8" max="8" width="13" customWidth="1"/>
    <col min="9" max="9" width="20.453125" customWidth="1"/>
    <col min="10" max="10" width="24.1796875" customWidth="1"/>
    <col min="11" max="11" width="25.1796875" customWidth="1"/>
    <col min="12" max="12" width="26" customWidth="1"/>
    <col min="13" max="20" width="13" customWidth="1"/>
  </cols>
  <sheetData>
    <row r="1" spans="1:20" ht="24" customHeight="1" x14ac:dyDescent="0.35">
      <c r="A1" s="134"/>
      <c r="B1" s="75"/>
      <c r="C1" s="75"/>
      <c r="D1" s="75"/>
      <c r="E1" s="75"/>
      <c r="F1" s="75"/>
      <c r="G1" s="75"/>
      <c r="H1" s="75"/>
      <c r="I1" s="75"/>
      <c r="J1" s="75"/>
      <c r="K1" s="75"/>
      <c r="L1" s="75"/>
      <c r="M1" s="75"/>
      <c r="N1" s="75"/>
      <c r="O1" s="75"/>
      <c r="P1" s="75"/>
      <c r="Q1" s="75"/>
      <c r="R1" s="75"/>
      <c r="S1" s="75"/>
      <c r="T1" s="75"/>
    </row>
    <row r="2" spans="1:20" x14ac:dyDescent="0.35">
      <c r="A2" s="331"/>
      <c r="B2" s="331"/>
      <c r="C2" s="331"/>
      <c r="D2" s="331"/>
      <c r="E2" s="331"/>
      <c r="F2" s="331"/>
      <c r="G2" s="331"/>
      <c r="H2" s="331"/>
      <c r="I2" s="331"/>
      <c r="J2" s="331"/>
      <c r="K2" s="331"/>
      <c r="L2" s="331"/>
      <c r="M2" s="331"/>
      <c r="N2" s="331"/>
      <c r="O2" s="331"/>
      <c r="P2" s="331"/>
      <c r="Q2" s="331"/>
      <c r="R2" s="331"/>
      <c r="S2" s="331"/>
      <c r="T2" s="331"/>
    </row>
    <row r="3" spans="1:20" x14ac:dyDescent="0.35">
      <c r="A3" s="331"/>
      <c r="B3" s="331"/>
      <c r="C3" s="331"/>
      <c r="D3" s="331"/>
      <c r="E3" s="331"/>
      <c r="F3" s="331"/>
      <c r="G3" s="331"/>
      <c r="H3" s="331"/>
      <c r="I3" s="331"/>
      <c r="J3" s="331"/>
      <c r="K3" s="331"/>
      <c r="L3" s="331"/>
      <c r="M3" s="331"/>
      <c r="N3" s="331"/>
      <c r="O3" s="331"/>
      <c r="P3" s="331"/>
      <c r="Q3" s="331"/>
      <c r="R3" s="331"/>
      <c r="S3" s="331"/>
      <c r="T3" s="331"/>
    </row>
    <row r="4" spans="1:20" ht="28.75" customHeight="1" x14ac:dyDescent="0.35">
      <c r="A4" s="331"/>
      <c r="B4" s="331"/>
      <c r="C4" s="72" t="s">
        <v>1467</v>
      </c>
      <c r="D4" s="72" t="s">
        <v>1468</v>
      </c>
      <c r="E4" s="72" t="s">
        <v>1469</v>
      </c>
      <c r="F4" s="72"/>
      <c r="G4" s="331"/>
      <c r="H4" s="331"/>
      <c r="I4" s="72" t="s">
        <v>128</v>
      </c>
      <c r="J4" s="72" t="s">
        <v>1273</v>
      </c>
      <c r="K4" s="72" t="s">
        <v>1470</v>
      </c>
      <c r="L4" s="72" t="s">
        <v>1471</v>
      </c>
      <c r="M4" s="331"/>
      <c r="N4" s="331"/>
      <c r="O4" s="331"/>
      <c r="P4" s="331"/>
      <c r="Q4" s="331"/>
      <c r="R4" s="331"/>
      <c r="S4" s="331"/>
      <c r="T4" s="331"/>
    </row>
    <row r="5" spans="1:20" x14ac:dyDescent="0.35">
      <c r="A5" s="72" t="s">
        <v>1472</v>
      </c>
      <c r="B5" s="331"/>
      <c r="C5" s="72" t="s">
        <v>1473</v>
      </c>
      <c r="D5" s="72" t="s">
        <v>1474</v>
      </c>
      <c r="E5" s="483">
        <v>500000</v>
      </c>
      <c r="F5" s="483">
        <v>1500000</v>
      </c>
      <c r="G5" s="331"/>
      <c r="H5" s="331"/>
      <c r="I5" s="72" t="s">
        <v>1406</v>
      </c>
      <c r="J5" s="72" t="s">
        <v>1475</v>
      </c>
      <c r="K5" s="72" t="s">
        <v>1476</v>
      </c>
      <c r="L5" s="72" t="s">
        <v>1477</v>
      </c>
      <c r="M5" s="331"/>
      <c r="N5" s="331"/>
      <c r="O5" s="331"/>
      <c r="P5" s="331"/>
      <c r="Q5" s="331"/>
      <c r="R5" s="331"/>
      <c r="S5" s="331"/>
      <c r="T5" s="331"/>
    </row>
    <row r="6" spans="1:20" x14ac:dyDescent="0.35">
      <c r="A6" s="331"/>
      <c r="B6" s="331"/>
      <c r="C6" s="72" t="s">
        <v>1478</v>
      </c>
      <c r="D6" s="72" t="s">
        <v>1479</v>
      </c>
      <c r="E6" s="331"/>
      <c r="F6" s="331"/>
      <c r="G6" s="331"/>
      <c r="H6" s="331"/>
      <c r="I6" s="72" t="s">
        <v>1480</v>
      </c>
      <c r="J6" s="72" t="s">
        <v>1481</v>
      </c>
      <c r="K6" s="72" t="s">
        <v>1482</v>
      </c>
      <c r="L6" s="72" t="s">
        <v>1481</v>
      </c>
      <c r="M6" s="331"/>
      <c r="N6" s="331"/>
      <c r="O6" s="331"/>
      <c r="P6" s="331"/>
      <c r="Q6" s="331"/>
      <c r="R6" s="331"/>
      <c r="S6" s="331"/>
      <c r="T6" s="331"/>
    </row>
    <row r="7" spans="1:20" x14ac:dyDescent="0.35">
      <c r="A7" s="331"/>
      <c r="B7" s="331"/>
      <c r="C7" s="72" t="s">
        <v>1483</v>
      </c>
      <c r="D7" s="72" t="s">
        <v>1484</v>
      </c>
      <c r="E7" s="331"/>
      <c r="F7" s="331"/>
      <c r="G7" s="331"/>
      <c r="H7" s="331"/>
      <c r="I7" s="72" t="s">
        <v>1485</v>
      </c>
      <c r="J7" s="72" t="s">
        <v>1486</v>
      </c>
      <c r="K7" s="72" t="s">
        <v>1487</v>
      </c>
      <c r="L7" s="72" t="s">
        <v>1488</v>
      </c>
      <c r="M7" s="331"/>
      <c r="N7" s="331"/>
      <c r="O7" s="331"/>
      <c r="P7" s="331"/>
      <c r="Q7" s="331"/>
      <c r="R7" s="331"/>
      <c r="S7" s="331"/>
      <c r="T7" s="331"/>
    </row>
    <row r="8" spans="1:20" x14ac:dyDescent="0.35">
      <c r="A8" s="331"/>
      <c r="B8" s="331"/>
      <c r="C8" s="72" t="s">
        <v>1489</v>
      </c>
      <c r="D8" s="72" t="s">
        <v>1490</v>
      </c>
      <c r="E8" s="331"/>
      <c r="F8" s="331"/>
      <c r="G8" s="331"/>
      <c r="H8" s="331"/>
      <c r="I8" s="72" t="s">
        <v>1491</v>
      </c>
      <c r="J8" s="72" t="s">
        <v>1492</v>
      </c>
      <c r="K8" s="72" t="s">
        <v>1493</v>
      </c>
      <c r="L8" s="72" t="s">
        <v>1494</v>
      </c>
      <c r="M8" s="331"/>
      <c r="N8" s="331"/>
      <c r="O8" s="331"/>
      <c r="P8" s="331"/>
      <c r="Q8" s="331"/>
      <c r="R8" s="331"/>
      <c r="S8" s="331"/>
      <c r="T8" s="331"/>
    </row>
    <row r="9" spans="1:20" x14ac:dyDescent="0.35">
      <c r="A9" s="331"/>
      <c r="B9" s="331"/>
      <c r="C9" s="72" t="s">
        <v>1495</v>
      </c>
      <c r="D9" s="72" t="s">
        <v>1496</v>
      </c>
      <c r="E9" s="331"/>
      <c r="F9" s="331"/>
      <c r="G9" s="331"/>
      <c r="H9" s="331"/>
      <c r="I9" s="72" t="s">
        <v>1497</v>
      </c>
      <c r="J9" s="72" t="s">
        <v>1492</v>
      </c>
      <c r="K9" s="72" t="s">
        <v>1482</v>
      </c>
      <c r="L9" s="72" t="s">
        <v>1492</v>
      </c>
      <c r="M9" s="331"/>
      <c r="N9" s="331"/>
      <c r="O9" s="331"/>
      <c r="P9" s="331"/>
      <c r="Q9" s="331"/>
      <c r="R9" s="331"/>
      <c r="S9" s="331"/>
      <c r="T9" s="331"/>
    </row>
    <row r="10" spans="1:20" x14ac:dyDescent="0.35">
      <c r="A10" s="331"/>
      <c r="B10" s="331"/>
      <c r="C10" s="72" t="s">
        <v>1498</v>
      </c>
      <c r="D10" s="72" t="s">
        <v>1499</v>
      </c>
      <c r="E10" s="331"/>
      <c r="F10" s="331"/>
      <c r="G10" s="331"/>
      <c r="H10" s="331"/>
      <c r="I10" s="72" t="s">
        <v>1407</v>
      </c>
      <c r="J10" s="72" t="s">
        <v>1500</v>
      </c>
      <c r="K10" s="72" t="s">
        <v>1482</v>
      </c>
      <c r="L10" s="72" t="s">
        <v>1500</v>
      </c>
      <c r="M10" s="331"/>
      <c r="N10" s="331"/>
      <c r="O10" s="331"/>
      <c r="P10" s="331"/>
      <c r="Q10" s="331"/>
      <c r="R10" s="331"/>
      <c r="S10" s="331"/>
      <c r="T10" s="331"/>
    </row>
    <row r="11" spans="1:20" x14ac:dyDescent="0.35">
      <c r="A11" s="331"/>
      <c r="B11" s="331"/>
      <c r="C11" s="72" t="s">
        <v>1501</v>
      </c>
      <c r="D11" s="135"/>
      <c r="E11" s="331"/>
      <c r="F11" s="331"/>
      <c r="G11" s="331"/>
      <c r="H11" s="331"/>
      <c r="I11" s="72" t="s">
        <v>1502</v>
      </c>
      <c r="J11" s="72" t="s">
        <v>1493</v>
      </c>
      <c r="K11" s="72" t="s">
        <v>1476</v>
      </c>
      <c r="L11" s="72" t="s">
        <v>1493</v>
      </c>
      <c r="M11" s="331"/>
      <c r="N11" s="331"/>
      <c r="O11" s="331"/>
      <c r="P11" s="331"/>
      <c r="Q11" s="331"/>
      <c r="R11" s="331"/>
      <c r="S11" s="331"/>
      <c r="T11" s="331"/>
    </row>
    <row r="12" spans="1:20" x14ac:dyDescent="0.35">
      <c r="A12" s="331"/>
      <c r="B12" s="331"/>
      <c r="C12" s="331"/>
      <c r="D12" s="331"/>
      <c r="E12" s="331"/>
      <c r="F12" s="331"/>
      <c r="G12" s="331"/>
      <c r="H12" s="331"/>
      <c r="I12" s="72" t="s">
        <v>1503</v>
      </c>
      <c r="J12" s="72" t="s">
        <v>1504</v>
      </c>
      <c r="K12" s="72" t="s">
        <v>1476</v>
      </c>
      <c r="L12" s="72" t="s">
        <v>1504</v>
      </c>
      <c r="M12" s="331"/>
      <c r="N12" s="331"/>
      <c r="O12" s="331"/>
      <c r="P12" s="331"/>
      <c r="Q12" s="331"/>
      <c r="R12" s="331"/>
      <c r="S12" s="331"/>
      <c r="T12" s="331"/>
    </row>
    <row r="13" spans="1:20" x14ac:dyDescent="0.35">
      <c r="A13" s="331"/>
      <c r="B13" s="331"/>
      <c r="C13" s="331"/>
      <c r="D13" s="331"/>
      <c r="E13" s="331"/>
      <c r="F13" s="331"/>
      <c r="G13" s="331"/>
      <c r="H13" s="331"/>
      <c r="I13" s="72" t="s">
        <v>1505</v>
      </c>
      <c r="J13" s="72" t="s">
        <v>1506</v>
      </c>
      <c r="K13" s="72" t="s">
        <v>1482</v>
      </c>
      <c r="L13" s="72" t="s">
        <v>1506</v>
      </c>
      <c r="M13" s="331"/>
      <c r="N13" s="331"/>
      <c r="O13" s="331"/>
      <c r="P13" s="331"/>
      <c r="Q13" s="331"/>
      <c r="R13" s="331"/>
      <c r="S13" s="331"/>
      <c r="T13" s="331"/>
    </row>
    <row r="14" spans="1:20" x14ac:dyDescent="0.35">
      <c r="A14" s="72" t="s">
        <v>1507</v>
      </c>
      <c r="B14" s="331"/>
      <c r="C14" s="72" t="s">
        <v>1508</v>
      </c>
      <c r="D14" s="72" t="s">
        <v>1509</v>
      </c>
      <c r="E14" s="483">
        <v>150000</v>
      </c>
      <c r="F14" s="483">
        <v>350000</v>
      </c>
      <c r="G14" s="331"/>
      <c r="H14" s="331"/>
      <c r="I14" s="331"/>
      <c r="J14" s="331"/>
      <c r="K14" s="331"/>
      <c r="L14" s="331"/>
      <c r="M14" s="331"/>
      <c r="N14" s="331"/>
      <c r="O14" s="331"/>
      <c r="P14" s="331"/>
      <c r="Q14" s="331"/>
      <c r="R14" s="331"/>
      <c r="S14" s="331"/>
      <c r="T14" s="331"/>
    </row>
    <row r="15" spans="1:20" x14ac:dyDescent="0.35">
      <c r="A15" s="331"/>
      <c r="B15" s="331"/>
      <c r="C15" s="72" t="s">
        <v>1510</v>
      </c>
      <c r="D15" s="72" t="s">
        <v>1511</v>
      </c>
      <c r="E15" s="135"/>
      <c r="F15" s="331"/>
      <c r="G15" s="331"/>
      <c r="H15" s="331"/>
      <c r="I15" s="331"/>
      <c r="J15" s="331"/>
      <c r="K15" s="331"/>
      <c r="L15" s="331"/>
      <c r="M15" s="331"/>
      <c r="N15" s="331"/>
      <c r="O15" s="331"/>
      <c r="P15" s="331"/>
      <c r="Q15" s="331"/>
      <c r="R15" s="331"/>
      <c r="S15" s="331"/>
      <c r="T15" s="331"/>
    </row>
    <row r="16" spans="1:20" x14ac:dyDescent="0.35">
      <c r="A16" s="331"/>
      <c r="B16" s="331"/>
      <c r="C16" s="72" t="s">
        <v>1489</v>
      </c>
      <c r="D16" s="72" t="s">
        <v>1512</v>
      </c>
      <c r="E16" s="135"/>
      <c r="F16" s="331"/>
      <c r="G16" s="331"/>
      <c r="H16" s="331"/>
      <c r="I16" s="331"/>
      <c r="J16" s="331"/>
      <c r="K16" s="331"/>
      <c r="L16" s="331"/>
      <c r="M16" s="331"/>
      <c r="N16" s="136"/>
      <c r="O16" s="136"/>
      <c r="P16" s="136"/>
      <c r="Q16" s="331"/>
      <c r="R16" s="331"/>
      <c r="S16" s="331"/>
      <c r="T16" s="331"/>
    </row>
    <row r="17" spans="1:20" x14ac:dyDescent="0.35">
      <c r="A17" s="331"/>
      <c r="B17" s="331"/>
      <c r="C17" s="72" t="s">
        <v>1513</v>
      </c>
      <c r="D17" s="72" t="s">
        <v>1514</v>
      </c>
      <c r="E17" s="135"/>
      <c r="F17" s="331"/>
      <c r="G17" s="331"/>
      <c r="H17" s="331"/>
      <c r="I17" s="72" t="s">
        <v>1515</v>
      </c>
      <c r="J17" s="72"/>
      <c r="K17" s="72"/>
      <c r="L17" s="72"/>
      <c r="M17" s="72"/>
      <c r="N17" s="331"/>
      <c r="O17" s="82"/>
      <c r="P17" s="80"/>
      <c r="Q17" s="331"/>
      <c r="R17" s="331"/>
      <c r="S17" s="331"/>
      <c r="T17" s="331"/>
    </row>
    <row r="18" spans="1:20" ht="16.5" customHeight="1" x14ac:dyDescent="0.35">
      <c r="A18" s="331"/>
      <c r="B18" s="331"/>
      <c r="C18" s="72" t="s">
        <v>1516</v>
      </c>
      <c r="D18" s="72" t="s">
        <v>1517</v>
      </c>
      <c r="E18" s="135"/>
      <c r="F18" s="331"/>
      <c r="G18" s="331"/>
      <c r="H18" s="331"/>
      <c r="I18" s="331"/>
      <c r="J18" s="72" t="s">
        <v>1518</v>
      </c>
      <c r="K18" s="72" t="s">
        <v>1519</v>
      </c>
      <c r="L18" s="72" t="s">
        <v>1520</v>
      </c>
      <c r="M18" s="72" t="s">
        <v>1521</v>
      </c>
      <c r="N18" s="331"/>
      <c r="O18" s="331"/>
      <c r="P18" s="331"/>
      <c r="Q18" s="331"/>
      <c r="R18" s="331"/>
      <c r="S18" s="331"/>
      <c r="T18" s="331"/>
    </row>
    <row r="19" spans="1:20" x14ac:dyDescent="0.35">
      <c r="A19" s="331"/>
      <c r="B19" s="331"/>
      <c r="C19" s="331"/>
      <c r="D19" s="331"/>
      <c r="E19" s="331"/>
      <c r="F19" s="331"/>
      <c r="G19" s="331"/>
      <c r="H19" s="331"/>
      <c r="I19" s="72" t="s">
        <v>1522</v>
      </c>
      <c r="J19" s="81">
        <v>12.12</v>
      </c>
      <c r="K19" s="81">
        <v>2.44</v>
      </c>
      <c r="L19" s="81">
        <v>2.9</v>
      </c>
      <c r="M19" s="72">
        <f>J19*K19</f>
        <v>29.572799999999997</v>
      </c>
      <c r="N19" s="331"/>
      <c r="O19" s="331"/>
      <c r="P19" s="331"/>
      <c r="Q19" s="331"/>
      <c r="R19" s="331"/>
      <c r="S19" s="331"/>
      <c r="T19" s="331"/>
    </row>
    <row r="20" spans="1:20" x14ac:dyDescent="0.35">
      <c r="A20" s="331"/>
      <c r="B20" s="331"/>
      <c r="C20" s="331"/>
      <c r="D20" s="331"/>
      <c r="E20" s="331"/>
      <c r="F20" s="331"/>
      <c r="G20" s="331"/>
      <c r="H20" s="331"/>
      <c r="I20" s="72" t="s">
        <v>1523</v>
      </c>
      <c r="J20" s="81">
        <v>6.06</v>
      </c>
      <c r="K20" s="81">
        <v>2.44</v>
      </c>
      <c r="L20" s="81">
        <v>2.9</v>
      </c>
      <c r="M20" s="72">
        <f>J20*K20</f>
        <v>14.786399999999999</v>
      </c>
      <c r="N20" s="331"/>
      <c r="O20" s="72" t="s">
        <v>1524</v>
      </c>
      <c r="P20" s="331"/>
      <c r="Q20" s="331"/>
      <c r="R20" s="331"/>
      <c r="S20" s="331"/>
      <c r="T20" s="331"/>
    </row>
    <row r="21" spans="1:20" x14ac:dyDescent="0.35">
      <c r="A21" s="72" t="s">
        <v>1525</v>
      </c>
      <c r="B21" s="331"/>
      <c r="C21" s="72" t="s">
        <v>1526</v>
      </c>
      <c r="D21" s="72" t="s">
        <v>1527</v>
      </c>
      <c r="E21" s="72" t="s">
        <v>1273</v>
      </c>
      <c r="F21" s="72"/>
      <c r="G21" s="331"/>
      <c r="H21" s="331"/>
      <c r="I21" s="72" t="s">
        <v>1528</v>
      </c>
      <c r="J21" s="81">
        <v>12.12</v>
      </c>
      <c r="K21" s="81">
        <v>4.88</v>
      </c>
      <c r="L21" s="81">
        <v>2.9</v>
      </c>
      <c r="M21" s="72">
        <f>J21*K21</f>
        <v>59.145599999999995</v>
      </c>
      <c r="N21" s="331"/>
      <c r="O21" s="72" t="s">
        <v>1529</v>
      </c>
      <c r="P21" s="81">
        <v>20</v>
      </c>
      <c r="Q21" s="331"/>
      <c r="R21" s="331"/>
      <c r="S21" s="331"/>
      <c r="T21" s="72" t="s">
        <v>1530</v>
      </c>
    </row>
    <row r="22" spans="1:20" x14ac:dyDescent="0.35">
      <c r="A22" s="331"/>
      <c r="B22" s="331"/>
      <c r="C22" s="72" t="s">
        <v>1531</v>
      </c>
      <c r="D22" s="72" t="s">
        <v>1532</v>
      </c>
      <c r="E22" s="483">
        <v>150000</v>
      </c>
      <c r="F22" s="483">
        <v>500000</v>
      </c>
      <c r="G22" s="331"/>
      <c r="H22" s="331"/>
      <c r="I22" s="72" t="s">
        <v>1533</v>
      </c>
      <c r="J22" s="81">
        <v>12.12</v>
      </c>
      <c r="K22" s="81">
        <v>1.2</v>
      </c>
      <c r="L22" s="80"/>
      <c r="M22" s="72">
        <f>J22*K22</f>
        <v>14.543999999999999</v>
      </c>
      <c r="N22" s="331"/>
      <c r="O22" s="72" t="s">
        <v>1534</v>
      </c>
      <c r="P22" s="81">
        <v>3.5</v>
      </c>
      <c r="Q22" s="331"/>
      <c r="R22" s="331"/>
      <c r="S22" s="331"/>
      <c r="T22" s="331"/>
    </row>
    <row r="23" spans="1:20" x14ac:dyDescent="0.35">
      <c r="A23" s="331"/>
      <c r="B23" s="331"/>
      <c r="C23" s="72" t="s">
        <v>1535</v>
      </c>
      <c r="D23" s="72" t="s">
        <v>1536</v>
      </c>
      <c r="E23" s="484"/>
      <c r="F23" s="484"/>
      <c r="G23" s="331"/>
      <c r="H23" s="331"/>
      <c r="I23" s="72" t="s">
        <v>1537</v>
      </c>
      <c r="J23" s="81">
        <v>12.12</v>
      </c>
      <c r="K23" s="72">
        <f>K21+K22</f>
        <v>6.08</v>
      </c>
      <c r="L23" s="80"/>
      <c r="M23" s="72">
        <f>J23*K23</f>
        <v>73.689599999999999</v>
      </c>
      <c r="N23" s="331"/>
      <c r="O23" s="72" t="s">
        <v>1538</v>
      </c>
      <c r="P23" s="72">
        <f>P21*P22</f>
        <v>70</v>
      </c>
      <c r="Q23" s="331"/>
      <c r="R23" s="331"/>
      <c r="S23" s="331"/>
      <c r="T23" s="331"/>
    </row>
    <row r="24" spans="1:20" x14ac:dyDescent="0.35">
      <c r="A24" s="331"/>
      <c r="B24" s="331"/>
      <c r="C24" s="72" t="s">
        <v>1539</v>
      </c>
      <c r="D24" s="72" t="s">
        <v>1540</v>
      </c>
      <c r="E24" s="72" t="s">
        <v>1470</v>
      </c>
      <c r="F24" s="72"/>
      <c r="G24" s="331"/>
      <c r="H24" s="331"/>
      <c r="I24" s="331"/>
      <c r="J24" s="331"/>
      <c r="K24" s="331"/>
      <c r="L24" s="331"/>
      <c r="M24" s="331"/>
      <c r="N24" s="331"/>
      <c r="O24" s="72" t="str">
        <f>IF(P23&lt;M23, "OK", "Check")</f>
        <v>OK</v>
      </c>
      <c r="P24" s="80"/>
      <c r="Q24" s="331"/>
      <c r="R24" s="331"/>
      <c r="S24" s="331"/>
      <c r="T24" s="331"/>
    </row>
    <row r="25" spans="1:20" x14ac:dyDescent="0.35">
      <c r="A25" s="331"/>
      <c r="B25" s="331"/>
      <c r="C25" s="135"/>
      <c r="D25" s="72" t="s">
        <v>1541</v>
      </c>
      <c r="E25" s="483">
        <v>150000</v>
      </c>
      <c r="F25" s="483">
        <v>350000</v>
      </c>
      <c r="G25" s="331"/>
      <c r="H25" s="331"/>
      <c r="I25" s="331"/>
      <c r="J25" s="331"/>
      <c r="K25" s="331"/>
      <c r="L25" s="331"/>
      <c r="M25" s="331"/>
      <c r="N25" s="331"/>
      <c r="O25" s="82"/>
      <c r="P25" s="80"/>
      <c r="Q25" s="331"/>
      <c r="R25" s="331"/>
      <c r="S25" s="331"/>
      <c r="T25" s="331"/>
    </row>
    <row r="26" spans="1:20" x14ac:dyDescent="0.35">
      <c r="A26" s="331"/>
      <c r="B26" s="331"/>
      <c r="C26" s="331"/>
      <c r="D26" s="72" t="s">
        <v>1542</v>
      </c>
      <c r="E26" s="331"/>
      <c r="F26" s="331"/>
      <c r="G26" s="331"/>
      <c r="H26" s="331"/>
      <c r="I26" s="331"/>
      <c r="J26" s="331"/>
      <c r="K26" s="331"/>
      <c r="L26" s="331"/>
      <c r="M26" s="331"/>
      <c r="N26" s="331"/>
      <c r="O26" s="82"/>
      <c r="P26" s="80"/>
      <c r="Q26" s="331"/>
      <c r="R26" s="331"/>
      <c r="S26" s="331"/>
      <c r="T26" s="331"/>
    </row>
    <row r="27" spans="1:20" x14ac:dyDescent="0.35">
      <c r="A27" s="331"/>
      <c r="B27" s="331"/>
      <c r="C27" s="331"/>
      <c r="D27" s="331"/>
      <c r="E27" s="331"/>
      <c r="F27" s="331"/>
      <c r="G27" s="331"/>
      <c r="H27" s="331"/>
      <c r="I27" s="331"/>
      <c r="J27" s="331"/>
      <c r="K27" s="331"/>
      <c r="L27" s="331"/>
      <c r="M27" s="331"/>
      <c r="N27" s="331"/>
      <c r="O27" s="331"/>
      <c r="P27" s="331"/>
      <c r="Q27" s="331"/>
      <c r="R27" s="331"/>
      <c r="S27" s="331"/>
      <c r="T27" s="331"/>
    </row>
    <row r="28" spans="1:20" x14ac:dyDescent="0.35">
      <c r="A28" s="331"/>
      <c r="B28" s="331"/>
      <c r="C28" s="135"/>
      <c r="D28" s="331"/>
      <c r="E28" s="331"/>
      <c r="F28" s="331"/>
      <c r="G28" s="331"/>
      <c r="H28" s="331"/>
      <c r="I28" s="331"/>
      <c r="J28" s="331"/>
      <c r="K28" s="331"/>
      <c r="L28" s="331"/>
      <c r="M28" s="331"/>
      <c r="N28" s="331"/>
      <c r="O28" s="331"/>
      <c r="P28" s="331"/>
      <c r="Q28" s="331"/>
      <c r="R28" s="331"/>
      <c r="S28" s="331"/>
      <c r="T28" s="331"/>
    </row>
    <row r="29" spans="1:20" x14ac:dyDescent="0.35">
      <c r="A29" s="72" t="s">
        <v>1543</v>
      </c>
      <c r="B29" s="331"/>
      <c r="C29" s="72" t="s">
        <v>1526</v>
      </c>
      <c r="D29" s="72" t="s">
        <v>1544</v>
      </c>
      <c r="E29" s="72" t="s">
        <v>1273</v>
      </c>
      <c r="F29" s="72"/>
      <c r="G29" s="331"/>
      <c r="H29" s="331"/>
      <c r="I29" s="331"/>
      <c r="J29" s="331"/>
      <c r="K29" s="331"/>
      <c r="L29" s="331"/>
      <c r="M29" s="331"/>
      <c r="N29" s="331"/>
      <c r="O29" s="331"/>
      <c r="P29" s="331"/>
      <c r="Q29" s="331"/>
      <c r="R29" s="331"/>
      <c r="S29" s="331"/>
      <c r="T29" s="331"/>
    </row>
    <row r="30" spans="1:20" x14ac:dyDescent="0.35">
      <c r="A30" s="331"/>
      <c r="B30" s="331"/>
      <c r="C30" s="72" t="s">
        <v>1545</v>
      </c>
      <c r="D30" s="72" t="s">
        <v>1546</v>
      </c>
      <c r="E30" s="483">
        <v>150000</v>
      </c>
      <c r="F30" s="483">
        <v>400000</v>
      </c>
      <c r="G30" s="331"/>
      <c r="H30" s="331"/>
      <c r="I30" s="331"/>
      <c r="J30" s="331"/>
      <c r="K30" s="331"/>
      <c r="L30" s="331"/>
      <c r="M30" s="331"/>
      <c r="N30" s="331"/>
      <c r="O30" s="331"/>
      <c r="P30" s="331"/>
      <c r="Q30" s="331"/>
      <c r="R30" s="331"/>
      <c r="S30" s="331"/>
      <c r="T30" s="331"/>
    </row>
    <row r="31" spans="1:20" x14ac:dyDescent="0.35">
      <c r="A31" s="331"/>
      <c r="B31" s="331"/>
      <c r="C31" s="72" t="s">
        <v>1535</v>
      </c>
      <c r="D31" s="72" t="s">
        <v>1547</v>
      </c>
      <c r="E31" s="484"/>
      <c r="F31" s="484"/>
      <c r="G31" s="331"/>
      <c r="H31" s="331"/>
      <c r="I31" s="331"/>
      <c r="J31" s="331"/>
      <c r="K31" s="331"/>
      <c r="L31" s="331"/>
      <c r="M31" s="331"/>
      <c r="N31" s="331"/>
      <c r="O31" s="331"/>
      <c r="P31" s="331"/>
      <c r="Q31" s="331"/>
      <c r="R31" s="331"/>
      <c r="S31" s="331"/>
      <c r="T31" s="331"/>
    </row>
    <row r="32" spans="1:20" x14ac:dyDescent="0.35">
      <c r="A32" s="331"/>
      <c r="B32" s="331"/>
      <c r="C32" s="72" t="s">
        <v>1548</v>
      </c>
      <c r="D32" s="72" t="s">
        <v>1549</v>
      </c>
      <c r="E32" s="72" t="s">
        <v>1470</v>
      </c>
      <c r="F32" s="72"/>
      <c r="G32" s="331"/>
      <c r="H32" s="331"/>
      <c r="I32" s="331"/>
      <c r="J32" s="331"/>
      <c r="K32" s="331"/>
      <c r="L32" s="331"/>
      <c r="M32" s="331"/>
      <c r="N32" s="331"/>
      <c r="O32" s="331"/>
      <c r="P32" s="331"/>
      <c r="Q32" s="331"/>
      <c r="R32" s="331"/>
      <c r="S32" s="331"/>
      <c r="T32" s="331"/>
    </row>
    <row r="33" spans="1:20" x14ac:dyDescent="0.35">
      <c r="A33" s="331"/>
      <c r="B33" s="331"/>
      <c r="C33" s="72" t="s">
        <v>1550</v>
      </c>
      <c r="D33" s="72" t="s">
        <v>1551</v>
      </c>
      <c r="E33" s="483">
        <v>150000</v>
      </c>
      <c r="F33" s="483">
        <v>400000</v>
      </c>
      <c r="G33" s="331"/>
      <c r="H33" s="331"/>
      <c r="I33" s="331"/>
      <c r="J33" s="331"/>
      <c r="K33" s="331"/>
      <c r="L33" s="331"/>
      <c r="M33" s="331"/>
      <c r="N33" s="331"/>
      <c r="O33" s="331"/>
      <c r="P33" s="331"/>
      <c r="Q33" s="331"/>
      <c r="R33" s="331"/>
      <c r="S33" s="331"/>
      <c r="T33" s="331"/>
    </row>
    <row r="34" spans="1:20" x14ac:dyDescent="0.35">
      <c r="A34" s="331"/>
      <c r="B34" s="331"/>
      <c r="C34" s="135"/>
      <c r="D34" s="72" t="s">
        <v>1552</v>
      </c>
      <c r="E34" s="331"/>
      <c r="F34" s="331"/>
      <c r="G34" s="331"/>
      <c r="H34" s="331"/>
      <c r="I34" s="331"/>
      <c r="J34" s="331"/>
      <c r="K34" s="331"/>
      <c r="L34" s="331"/>
      <c r="M34" s="331"/>
      <c r="N34" s="331"/>
      <c r="O34" s="331"/>
      <c r="P34" s="331"/>
      <c r="Q34" s="331"/>
      <c r="R34" s="331"/>
      <c r="S34" s="331"/>
      <c r="T34" s="331"/>
    </row>
    <row r="35" spans="1:20" x14ac:dyDescent="0.35">
      <c r="A35" s="331"/>
      <c r="B35" s="331"/>
      <c r="C35" s="135"/>
      <c r="D35" s="72" t="s">
        <v>1553</v>
      </c>
      <c r="E35" s="331"/>
      <c r="F35" s="331"/>
      <c r="G35" s="331"/>
      <c r="H35" s="331"/>
      <c r="I35" s="331"/>
      <c r="J35" s="331"/>
      <c r="K35" s="331"/>
      <c r="L35" s="331"/>
      <c r="M35" s="331"/>
      <c r="N35" s="331"/>
      <c r="O35" s="331"/>
      <c r="P35" s="331"/>
      <c r="Q35" s="331"/>
      <c r="R35" s="331"/>
      <c r="S35" s="331"/>
      <c r="T35" s="331"/>
    </row>
    <row r="36" spans="1:20" x14ac:dyDescent="0.35">
      <c r="A36" s="331"/>
      <c r="B36" s="331"/>
      <c r="C36" s="135"/>
      <c r="D36" s="72" t="s">
        <v>1554</v>
      </c>
      <c r="E36" s="331"/>
      <c r="F36" s="331"/>
      <c r="G36" s="331"/>
      <c r="H36" s="331"/>
      <c r="I36" s="331"/>
      <c r="J36" s="331"/>
      <c r="K36" s="331"/>
      <c r="L36" s="331"/>
      <c r="M36" s="331"/>
      <c r="N36" s="331"/>
      <c r="O36" s="331"/>
      <c r="P36" s="331"/>
      <c r="Q36" s="331"/>
      <c r="R36" s="331"/>
      <c r="S36" s="331"/>
      <c r="T36" s="331"/>
    </row>
    <row r="37" spans="1:20" x14ac:dyDescent="0.35">
      <c r="A37" s="331"/>
      <c r="B37" s="331"/>
      <c r="C37" s="331"/>
      <c r="D37" s="331"/>
      <c r="E37" s="331"/>
      <c r="F37" s="331"/>
      <c r="G37" s="331"/>
      <c r="H37" s="331"/>
      <c r="I37" s="331"/>
      <c r="J37" s="331"/>
      <c r="K37" s="331"/>
      <c r="L37" s="331"/>
      <c r="M37" s="331"/>
      <c r="N37" s="331"/>
      <c r="O37" s="331"/>
      <c r="P37" s="331"/>
      <c r="Q37" s="331"/>
      <c r="R37" s="331"/>
      <c r="S37" s="331"/>
      <c r="T37" s="331"/>
    </row>
    <row r="38" spans="1:20" x14ac:dyDescent="0.35">
      <c r="A38" s="72" t="s">
        <v>1555</v>
      </c>
      <c r="B38" s="331"/>
      <c r="C38" s="72" t="s">
        <v>1508</v>
      </c>
      <c r="D38" s="72" t="s">
        <v>1556</v>
      </c>
      <c r="E38" s="72" t="s">
        <v>1273</v>
      </c>
      <c r="F38" s="72"/>
      <c r="G38" s="331"/>
      <c r="H38" s="331"/>
      <c r="I38" s="331"/>
      <c r="J38" s="331"/>
      <c r="K38" s="331"/>
      <c r="L38" s="331"/>
      <c r="M38" s="331"/>
      <c r="N38" s="331"/>
      <c r="O38" s="331"/>
      <c r="P38" s="331"/>
      <c r="Q38" s="331"/>
      <c r="R38" s="331"/>
      <c r="S38" s="331"/>
      <c r="T38" s="331"/>
    </row>
    <row r="39" spans="1:20" x14ac:dyDescent="0.35">
      <c r="A39" s="331"/>
      <c r="B39" s="331"/>
      <c r="C39" s="72" t="s">
        <v>1535</v>
      </c>
      <c r="D39" s="72" t="s">
        <v>1557</v>
      </c>
      <c r="E39" s="483">
        <v>150000</v>
      </c>
      <c r="F39" s="483">
        <v>300000</v>
      </c>
      <c r="G39" s="331"/>
      <c r="H39" s="331"/>
      <c r="I39" s="331"/>
      <c r="J39" s="331"/>
      <c r="K39" s="331"/>
      <c r="L39" s="331"/>
      <c r="M39" s="331"/>
      <c r="N39" s="331"/>
      <c r="O39" s="331"/>
      <c r="P39" s="331"/>
      <c r="Q39" s="331"/>
      <c r="R39" s="331"/>
      <c r="S39" s="331"/>
      <c r="T39" s="331"/>
    </row>
    <row r="40" spans="1:20" x14ac:dyDescent="0.35">
      <c r="A40" s="331"/>
      <c r="B40" s="331"/>
      <c r="C40" s="72" t="s">
        <v>1558</v>
      </c>
      <c r="D40" s="72" t="s">
        <v>1559</v>
      </c>
      <c r="E40" s="331"/>
      <c r="F40" s="331"/>
      <c r="G40" s="331"/>
      <c r="H40" s="331"/>
      <c r="I40" s="331"/>
      <c r="J40" s="331"/>
      <c r="K40" s="331"/>
      <c r="L40" s="331"/>
      <c r="M40" s="331"/>
      <c r="N40" s="331"/>
      <c r="O40" s="331"/>
      <c r="P40" s="331"/>
      <c r="Q40" s="331"/>
      <c r="R40" s="331"/>
      <c r="S40" s="331"/>
      <c r="T40" s="331"/>
    </row>
    <row r="41" spans="1:20" x14ac:dyDescent="0.35">
      <c r="A41" s="331"/>
      <c r="B41" s="331"/>
      <c r="C41" s="331"/>
      <c r="D41" s="331"/>
      <c r="E41" s="331"/>
      <c r="F41" s="331"/>
      <c r="G41" s="331"/>
      <c r="H41" s="331"/>
      <c r="I41" s="331"/>
      <c r="J41" s="331"/>
      <c r="K41" s="331"/>
      <c r="L41" s="331"/>
      <c r="M41" s="331"/>
      <c r="N41" s="331"/>
      <c r="O41" s="331"/>
      <c r="P41" s="331"/>
      <c r="Q41" s="331"/>
      <c r="R41" s="331"/>
      <c r="S41" s="331"/>
      <c r="T41" s="331"/>
    </row>
    <row r="42" spans="1:20" x14ac:dyDescent="0.35">
      <c r="A42" s="331"/>
      <c r="B42" s="331"/>
      <c r="C42" s="72" t="s">
        <v>1560</v>
      </c>
      <c r="D42" s="72" t="s">
        <v>1561</v>
      </c>
      <c r="E42" s="331"/>
      <c r="F42" s="331"/>
      <c r="G42" s="331"/>
      <c r="H42" s="331"/>
      <c r="I42" s="331"/>
      <c r="J42" s="331"/>
      <c r="K42" s="331"/>
      <c r="L42" s="331"/>
      <c r="M42" s="331"/>
      <c r="N42" s="331"/>
      <c r="O42" s="331"/>
      <c r="P42" s="331"/>
      <c r="Q42" s="331"/>
      <c r="R42" s="331"/>
      <c r="S42" s="331"/>
      <c r="T42" s="331"/>
    </row>
    <row r="43" spans="1:20" x14ac:dyDescent="0.35">
      <c r="A43" s="72" t="s">
        <v>1562</v>
      </c>
      <c r="B43" s="331"/>
      <c r="C43" s="72" t="s">
        <v>1563</v>
      </c>
      <c r="D43" s="72" t="s">
        <v>1564</v>
      </c>
      <c r="E43" s="72" t="s">
        <v>1273</v>
      </c>
      <c r="F43" s="72"/>
      <c r="G43" s="331"/>
      <c r="H43" s="331"/>
      <c r="I43" s="331"/>
      <c r="J43" s="331"/>
      <c r="K43" s="331"/>
      <c r="L43" s="331"/>
      <c r="M43" s="331"/>
      <c r="N43" s="331"/>
      <c r="O43" s="331"/>
      <c r="P43" s="331"/>
      <c r="Q43" s="331"/>
      <c r="R43" s="331"/>
      <c r="S43" s="331"/>
      <c r="T43" s="331"/>
    </row>
    <row r="44" spans="1:20" x14ac:dyDescent="0.35">
      <c r="A44" s="331"/>
      <c r="B44" s="331"/>
      <c r="C44" s="72" t="s">
        <v>1565</v>
      </c>
      <c r="D44" s="72" t="s">
        <v>1566</v>
      </c>
      <c r="E44" s="483">
        <v>150000</v>
      </c>
      <c r="F44" s="483">
        <v>400000</v>
      </c>
      <c r="G44" s="331"/>
      <c r="H44" s="331"/>
      <c r="I44" s="331"/>
      <c r="J44" s="331"/>
      <c r="K44" s="331"/>
      <c r="L44" s="331"/>
      <c r="M44" s="331"/>
      <c r="N44" s="331"/>
      <c r="O44" s="331"/>
      <c r="P44" s="331"/>
      <c r="Q44" s="331"/>
      <c r="R44" s="331"/>
      <c r="S44" s="331"/>
      <c r="T44" s="331"/>
    </row>
    <row r="45" spans="1:20" x14ac:dyDescent="0.35">
      <c r="A45" s="331"/>
      <c r="B45" s="331"/>
      <c r="C45" s="72" t="s">
        <v>1513</v>
      </c>
      <c r="D45" s="72" t="s">
        <v>1567</v>
      </c>
      <c r="E45" s="484"/>
      <c r="F45" s="484"/>
      <c r="G45" s="331"/>
      <c r="H45" s="331"/>
      <c r="I45" s="331"/>
      <c r="J45" s="331"/>
      <c r="K45" s="331"/>
      <c r="L45" s="331"/>
      <c r="M45" s="331"/>
      <c r="N45" s="331"/>
      <c r="O45" s="331"/>
      <c r="P45" s="331"/>
      <c r="Q45" s="331"/>
      <c r="R45" s="331"/>
      <c r="S45" s="331"/>
      <c r="T45" s="331"/>
    </row>
    <row r="46" spans="1:20" x14ac:dyDescent="0.35">
      <c r="A46" s="331"/>
      <c r="B46" s="331"/>
      <c r="C46" s="331"/>
      <c r="D46" s="72" t="s">
        <v>1568</v>
      </c>
      <c r="E46" s="136"/>
      <c r="F46" s="136"/>
      <c r="G46" s="331"/>
      <c r="H46" s="331"/>
      <c r="I46" s="331"/>
      <c r="J46" s="331"/>
      <c r="K46" s="331"/>
      <c r="L46" s="331"/>
      <c r="M46" s="331"/>
      <c r="N46" s="331"/>
      <c r="O46" s="331"/>
      <c r="P46" s="331"/>
      <c r="Q46" s="331"/>
      <c r="R46" s="331"/>
      <c r="S46" s="331"/>
      <c r="T46" s="331"/>
    </row>
    <row r="47" spans="1:20" x14ac:dyDescent="0.35">
      <c r="A47" s="331"/>
      <c r="B47" s="331"/>
      <c r="C47" s="331"/>
      <c r="D47" s="331"/>
      <c r="E47" s="485"/>
      <c r="F47" s="400"/>
      <c r="G47" s="331"/>
      <c r="H47" s="331"/>
      <c r="I47" s="331"/>
      <c r="J47" s="331"/>
      <c r="K47" s="331"/>
      <c r="L47" s="331"/>
      <c r="M47" s="331"/>
      <c r="N47" s="331"/>
      <c r="O47" s="331"/>
      <c r="P47" s="331"/>
      <c r="Q47" s="331"/>
      <c r="R47" s="331"/>
      <c r="S47" s="331"/>
      <c r="T47" s="331"/>
    </row>
    <row r="48" spans="1:20" x14ac:dyDescent="0.35">
      <c r="A48" s="331"/>
      <c r="B48" s="331"/>
      <c r="C48" s="72" t="s">
        <v>1569</v>
      </c>
      <c r="D48" s="72" t="s">
        <v>1570</v>
      </c>
      <c r="E48" s="331"/>
      <c r="F48" s="331"/>
      <c r="G48" s="331"/>
      <c r="H48" s="331"/>
      <c r="I48" s="331"/>
      <c r="J48" s="331"/>
      <c r="K48" s="331"/>
      <c r="L48" s="331"/>
      <c r="M48" s="331"/>
      <c r="N48" s="331"/>
      <c r="O48" s="331"/>
      <c r="P48" s="331"/>
      <c r="Q48" s="331"/>
      <c r="R48" s="331"/>
      <c r="S48" s="331"/>
      <c r="T48" s="331"/>
    </row>
    <row r="49" spans="1:20" x14ac:dyDescent="0.35">
      <c r="A49" s="72" t="s">
        <v>1571</v>
      </c>
      <c r="B49" s="331"/>
      <c r="C49" s="72" t="s">
        <v>1572</v>
      </c>
      <c r="D49" s="72" t="s">
        <v>1573</v>
      </c>
      <c r="E49" s="72" t="s">
        <v>1273</v>
      </c>
      <c r="F49" s="72"/>
      <c r="G49" s="331"/>
      <c r="H49" s="331"/>
      <c r="I49" s="331"/>
      <c r="J49" s="331"/>
      <c r="K49" s="331"/>
      <c r="L49" s="331"/>
      <c r="M49" s="331"/>
      <c r="N49" s="331"/>
      <c r="O49" s="331"/>
      <c r="P49" s="331"/>
      <c r="Q49" s="331"/>
      <c r="R49" s="331"/>
      <c r="S49" s="331"/>
      <c r="T49" s="331"/>
    </row>
    <row r="50" spans="1:20" x14ac:dyDescent="0.35">
      <c r="A50" s="331"/>
      <c r="B50" s="331"/>
      <c r="C50" s="72" t="s">
        <v>1535</v>
      </c>
      <c r="D50" s="72" t="s">
        <v>1574</v>
      </c>
      <c r="E50" s="483">
        <v>250000</v>
      </c>
      <c r="F50" s="483">
        <v>500000</v>
      </c>
      <c r="G50" s="331"/>
      <c r="H50" s="331"/>
      <c r="I50" s="331"/>
      <c r="J50" s="331"/>
      <c r="K50" s="331"/>
      <c r="L50" s="331"/>
      <c r="M50" s="331"/>
      <c r="N50" s="331"/>
      <c r="O50" s="331"/>
      <c r="P50" s="331"/>
      <c r="Q50" s="331"/>
      <c r="R50" s="331"/>
      <c r="S50" s="331"/>
      <c r="T50" s="331"/>
    </row>
    <row r="51" spans="1:20" x14ac:dyDescent="0.35">
      <c r="A51" s="331"/>
      <c r="B51" s="331"/>
      <c r="C51" s="72" t="s">
        <v>1575</v>
      </c>
      <c r="D51" s="72" t="s">
        <v>1576</v>
      </c>
      <c r="E51" s="331"/>
      <c r="F51" s="331"/>
      <c r="G51" s="331"/>
      <c r="H51" s="331"/>
      <c r="I51" s="331"/>
      <c r="J51" s="331"/>
      <c r="K51" s="331"/>
      <c r="L51" s="331"/>
      <c r="M51" s="331"/>
      <c r="N51" s="331"/>
      <c r="O51" s="331"/>
      <c r="P51" s="331"/>
      <c r="Q51" s="331"/>
      <c r="R51" s="331"/>
      <c r="S51" s="331"/>
      <c r="T51" s="331"/>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F0"/>
  </sheetPr>
  <dimension ref="A2:Q36"/>
  <sheetViews>
    <sheetView showGridLines="0" topLeftCell="A2" zoomScaleNormal="100" workbookViewId="0">
      <selection activeCell="E30" sqref="E30"/>
    </sheetView>
  </sheetViews>
  <sheetFormatPr defaultColWidth="0" defaultRowHeight="0" customHeight="1" zeroHeight="1" x14ac:dyDescent="0.35"/>
  <cols>
    <col min="1" max="2" width="3.54296875" customWidth="1"/>
    <col min="3" max="3" width="16" customWidth="1"/>
    <col min="4" max="4" width="3.54296875" customWidth="1"/>
    <col min="5" max="5" width="10.81640625" customWidth="1"/>
    <col min="6" max="6" width="3.54296875" customWidth="1"/>
    <col min="7" max="17" width="9.1796875" customWidth="1"/>
    <col min="18" max="26" width="10.453125" hidden="1" customWidth="1"/>
    <col min="27" max="16384" width="10.453125" hidden="1"/>
  </cols>
  <sheetData>
    <row r="2" spans="3:7" ht="23.15" customHeight="1" x14ac:dyDescent="0.5">
      <c r="C2" s="138" t="s">
        <v>1577</v>
      </c>
      <c r="D2" s="137"/>
      <c r="E2" s="137"/>
      <c r="F2" s="137"/>
      <c r="G2" s="137"/>
    </row>
    <row r="3" spans="3:7" ht="12.65" customHeight="1" x14ac:dyDescent="0.35">
      <c r="C3" s="137"/>
      <c r="D3" s="137"/>
      <c r="E3" s="137"/>
      <c r="F3" s="137"/>
      <c r="G3" s="137"/>
    </row>
    <row r="4" spans="3:7" ht="12.65" customHeight="1" x14ac:dyDescent="0.35">
      <c r="C4" s="137"/>
      <c r="D4" s="137"/>
      <c r="E4" s="137"/>
      <c r="F4" s="137"/>
      <c r="G4" s="137"/>
    </row>
    <row r="5" spans="3:7" ht="12.65" customHeight="1" x14ac:dyDescent="0.35">
      <c r="C5" s="137"/>
      <c r="D5" s="137"/>
      <c r="E5" s="137"/>
      <c r="F5" s="137"/>
      <c r="G5" s="137"/>
    </row>
    <row r="6" spans="3:7" ht="14.5" customHeight="1" thickBot="1" x14ac:dyDescent="0.4">
      <c r="C6" s="1" t="s">
        <v>1578</v>
      </c>
      <c r="D6" s="2"/>
      <c r="E6" s="1" t="s">
        <v>1579</v>
      </c>
      <c r="F6" s="2"/>
      <c r="G6" s="1" t="s">
        <v>1580</v>
      </c>
    </row>
    <row r="7" spans="3:7" ht="12.65" customHeight="1" x14ac:dyDescent="0.35">
      <c r="C7" s="137"/>
      <c r="D7" s="137"/>
      <c r="E7" s="137"/>
      <c r="F7" s="137"/>
      <c r="G7" s="137"/>
    </row>
    <row r="8" spans="3:7" ht="18" customHeight="1" x14ac:dyDescent="0.4">
      <c r="C8" s="137" t="s">
        <v>1581</v>
      </c>
      <c r="D8" s="137"/>
      <c r="E8" s="139" t="s">
        <v>1581</v>
      </c>
      <c r="F8" s="137"/>
      <c r="G8" s="137"/>
    </row>
    <row r="9" spans="3:7" ht="12.65" customHeight="1" x14ac:dyDescent="0.35">
      <c r="C9" s="137"/>
      <c r="D9" s="137"/>
      <c r="E9" s="137"/>
      <c r="F9" s="137"/>
      <c r="G9" s="137"/>
    </row>
    <row r="10" spans="3:7" ht="14.15" customHeight="1" x14ac:dyDescent="0.35">
      <c r="C10" s="137" t="s">
        <v>1582</v>
      </c>
      <c r="D10" s="137"/>
      <c r="E10" s="140" t="s">
        <v>1582</v>
      </c>
      <c r="F10" s="137"/>
      <c r="G10" s="137"/>
    </row>
    <row r="11" spans="3:7" ht="12.65" customHeight="1" x14ac:dyDescent="0.35">
      <c r="C11" s="137"/>
      <c r="D11" s="137"/>
      <c r="E11" s="137"/>
      <c r="F11" s="137"/>
      <c r="G11" s="137"/>
    </row>
    <row r="12" spans="3:7" ht="14.15" customHeight="1" x14ac:dyDescent="0.35">
      <c r="C12" s="137" t="s">
        <v>1583</v>
      </c>
      <c r="D12" s="137"/>
      <c r="E12" s="76" t="s">
        <v>1583</v>
      </c>
      <c r="F12" s="137"/>
      <c r="G12" s="137"/>
    </row>
    <row r="13" spans="3:7" ht="12.65" customHeight="1" x14ac:dyDescent="0.35">
      <c r="C13" s="137"/>
      <c r="D13" s="137"/>
      <c r="E13" s="137"/>
      <c r="F13" s="137"/>
      <c r="G13" s="137"/>
    </row>
    <row r="14" spans="3:7" ht="14.5" customHeight="1" x14ac:dyDescent="0.35">
      <c r="C14" s="137" t="s">
        <v>966</v>
      </c>
      <c r="D14" s="137"/>
      <c r="E14" s="3">
        <v>100</v>
      </c>
      <c r="F14" s="137"/>
      <c r="G14" s="141" t="s">
        <v>1584</v>
      </c>
    </row>
    <row r="15" spans="3:7" ht="12.65" customHeight="1" x14ac:dyDescent="0.35">
      <c r="C15" s="137"/>
      <c r="D15" s="137"/>
      <c r="E15" s="137"/>
      <c r="F15" s="137"/>
      <c r="G15" s="137"/>
    </row>
    <row r="16" spans="3:7" ht="14.5" customHeight="1" x14ac:dyDescent="0.35">
      <c r="C16" s="137" t="s">
        <v>1585</v>
      </c>
      <c r="D16" s="137"/>
      <c r="E16" s="4">
        <v>100</v>
      </c>
      <c r="F16" s="137"/>
      <c r="G16" s="141" t="s">
        <v>1586</v>
      </c>
    </row>
    <row r="18" spans="3:7" ht="14.5" customHeight="1" x14ac:dyDescent="0.35">
      <c r="C18" s="137" t="s">
        <v>1587</v>
      </c>
      <c r="D18" s="137"/>
      <c r="E18" s="5"/>
      <c r="F18" s="137"/>
      <c r="G18" s="141" t="s">
        <v>1588</v>
      </c>
    </row>
    <row r="19" spans="3:7" ht="14.15" customHeight="1" x14ac:dyDescent="0.35">
      <c r="C19" s="137"/>
      <c r="D19" s="137"/>
      <c r="E19" s="137"/>
      <c r="F19" s="137"/>
      <c r="G19" s="142"/>
    </row>
    <row r="20" spans="3:7" ht="14.5" customHeight="1" x14ac:dyDescent="0.35">
      <c r="C20" s="137" t="s">
        <v>1589</v>
      </c>
      <c r="D20" s="137"/>
      <c r="E20" s="6">
        <v>100</v>
      </c>
      <c r="F20" s="137"/>
      <c r="G20" s="141" t="s">
        <v>1590</v>
      </c>
    </row>
    <row r="21" spans="3:7" ht="14.15" customHeight="1" x14ac:dyDescent="0.35">
      <c r="C21" s="137"/>
      <c r="D21" s="137"/>
      <c r="E21" s="137"/>
      <c r="F21" s="137"/>
      <c r="G21" s="142"/>
    </row>
    <row r="22" spans="3:7" ht="14.5" customHeight="1" x14ac:dyDescent="0.35">
      <c r="C22" s="137" t="s">
        <v>1591</v>
      </c>
      <c r="D22" s="137"/>
      <c r="E22" s="7">
        <v>100</v>
      </c>
      <c r="F22" s="137"/>
      <c r="G22" s="141" t="s">
        <v>1592</v>
      </c>
    </row>
    <row r="23" spans="3:7" ht="14.15" customHeight="1" x14ac:dyDescent="0.35">
      <c r="C23" s="137"/>
      <c r="D23" s="137"/>
      <c r="E23" s="137"/>
      <c r="F23" s="137"/>
      <c r="G23" s="142"/>
    </row>
    <row r="24" spans="3:7" ht="14.5" customHeight="1" x14ac:dyDescent="0.35">
      <c r="C24" s="137" t="s">
        <v>1593</v>
      </c>
      <c r="D24" s="137"/>
      <c r="E24" s="8">
        <v>100</v>
      </c>
      <c r="F24" s="137"/>
      <c r="G24" s="141" t="s">
        <v>1594</v>
      </c>
    </row>
    <row r="25" spans="3:7" ht="14.15" customHeight="1" x14ac:dyDescent="0.35">
      <c r="C25" s="137"/>
      <c r="D25" s="137"/>
      <c r="E25" s="137"/>
      <c r="F25" s="137"/>
      <c r="G25" s="142"/>
    </row>
    <row r="26" spans="3:7" ht="14.5" customHeight="1" x14ac:dyDescent="0.35">
      <c r="C26" s="137" t="s">
        <v>1595</v>
      </c>
      <c r="D26" s="137"/>
      <c r="E26" s="9">
        <v>100</v>
      </c>
      <c r="F26" s="137"/>
      <c r="G26" s="141" t="s">
        <v>1596</v>
      </c>
    </row>
    <row r="27" spans="3:7" ht="14.15" customHeight="1" x14ac:dyDescent="0.35">
      <c r="C27" s="137"/>
      <c r="D27" s="137"/>
      <c r="E27" s="137"/>
      <c r="F27" s="137"/>
      <c r="G27" s="142"/>
    </row>
    <row r="28" spans="3:7" ht="14.5" customHeight="1" x14ac:dyDescent="0.35">
      <c r="C28" s="137" t="s">
        <v>1597</v>
      </c>
      <c r="D28" s="137"/>
      <c r="E28" s="143" t="s">
        <v>1598</v>
      </c>
      <c r="F28" s="137"/>
      <c r="G28" s="141" t="s">
        <v>1599</v>
      </c>
    </row>
    <row r="29" spans="3:7" ht="14.15" customHeight="1" x14ac:dyDescent="0.35">
      <c r="C29" s="137"/>
      <c r="D29" s="137"/>
      <c r="E29" s="137"/>
      <c r="F29" s="137"/>
      <c r="G29" s="142"/>
    </row>
    <row r="30" spans="3:7" ht="14.5" customHeight="1" x14ac:dyDescent="0.35">
      <c r="C30" s="137" t="s">
        <v>1600</v>
      </c>
      <c r="D30" s="137"/>
      <c r="E30" s="144">
        <v>100</v>
      </c>
      <c r="F30" s="137"/>
      <c r="G30" s="141" t="s">
        <v>1601</v>
      </c>
    </row>
    <row r="31" spans="3:7" ht="14.15" customHeight="1" x14ac:dyDescent="0.35">
      <c r="C31" s="137"/>
      <c r="D31" s="137"/>
      <c r="E31" s="137"/>
      <c r="F31" s="137"/>
      <c r="G31" s="142"/>
    </row>
    <row r="32" spans="3:7" ht="14.5" customHeight="1" x14ac:dyDescent="0.35">
      <c r="C32" s="137" t="s">
        <v>1602</v>
      </c>
      <c r="D32" s="137"/>
      <c r="E32" s="10" t="s">
        <v>1603</v>
      </c>
      <c r="F32" s="137"/>
      <c r="G32" s="141" t="s">
        <v>1604</v>
      </c>
    </row>
    <row r="34" spans="3:7" ht="14.5" customHeight="1" x14ac:dyDescent="0.35">
      <c r="C34" s="137" t="s">
        <v>1605</v>
      </c>
      <c r="D34" s="137"/>
      <c r="E34" s="486">
        <v>1</v>
      </c>
      <c r="F34" s="137"/>
      <c r="G34" s="141" t="s">
        <v>1606</v>
      </c>
    </row>
    <row r="35" spans="3:7" ht="14.5" customHeight="1" x14ac:dyDescent="0.35">
      <c r="C35" s="137"/>
      <c r="D35" s="137"/>
      <c r="E35" s="487"/>
      <c r="F35" s="137"/>
      <c r="G35" s="141"/>
    </row>
    <row r="36" spans="3:7" ht="15" customHeight="1" thickBot="1" x14ac:dyDescent="0.4">
      <c r="C36" s="137" t="s">
        <v>1607</v>
      </c>
      <c r="D36" s="137"/>
      <c r="E36" s="11">
        <v>100</v>
      </c>
      <c r="F36" s="137"/>
      <c r="G36" s="141" t="s">
        <v>1608</v>
      </c>
    </row>
  </sheetData>
  <conditionalFormatting sqref="E34:E35">
    <cfRule type="cellIs" dxfId="7" priority="1" operator="equal">
      <formula>1</formula>
    </cfRule>
  </conditionalFormatting>
  <pageMargins left="0.7" right="0.7" top="0.75" bottom="0.75" header="0.3" footer="0.3"/>
  <pageSetup paperSize="9"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8AAE1-11F7-4C03-B48D-739480BCB2ED}">
  <dimension ref="A1:BA60"/>
  <sheetViews>
    <sheetView showGridLines="0" workbookViewId="0">
      <selection activeCell="W24" sqref="W24"/>
    </sheetView>
  </sheetViews>
  <sheetFormatPr defaultRowHeight="14.5" x14ac:dyDescent="0.35"/>
  <cols>
    <col min="1" max="1" width="8.81640625" style="166"/>
    <col min="2" max="2" width="38.1796875" customWidth="1"/>
    <col min="3" max="4" width="16.1796875" customWidth="1"/>
    <col min="5" max="5" width="14.1796875" customWidth="1"/>
    <col min="6" max="6" width="18.1796875" customWidth="1"/>
    <col min="7" max="7" width="2.81640625" customWidth="1"/>
    <col min="8" max="8" width="9.08984375" bestFit="1" customWidth="1"/>
    <col min="9" max="38" width="3.453125" customWidth="1"/>
    <col min="39" max="53" width="4.81640625" customWidth="1"/>
  </cols>
  <sheetData>
    <row r="1" spans="2:53" ht="35.25" customHeight="1" x14ac:dyDescent="0.55000000000000004">
      <c r="B1" s="544" t="s">
        <v>105</v>
      </c>
      <c r="C1" s="514"/>
      <c r="D1" s="514"/>
      <c r="E1" s="514"/>
      <c r="F1" s="514"/>
      <c r="G1" s="514"/>
      <c r="H1" s="514"/>
      <c r="I1" s="514"/>
      <c r="J1" s="514"/>
      <c r="K1" s="514"/>
      <c r="L1" s="514"/>
      <c r="M1" s="514"/>
      <c r="N1" s="514"/>
      <c r="O1" s="514"/>
      <c r="P1" s="514"/>
      <c r="Q1" s="514"/>
      <c r="R1" s="514"/>
      <c r="S1" s="514"/>
      <c r="T1" s="514"/>
      <c r="U1" s="514"/>
      <c r="V1" s="514"/>
      <c r="W1" s="514"/>
      <c r="X1" s="514"/>
      <c r="Y1" s="514"/>
      <c r="Z1" s="514"/>
      <c r="AA1" s="514"/>
      <c r="AB1" s="514"/>
      <c r="AC1" s="514"/>
      <c r="AD1" s="514"/>
      <c r="AE1" s="514"/>
      <c r="AF1" s="514"/>
      <c r="AG1" s="514"/>
      <c r="AH1" s="514"/>
      <c r="AI1" s="514"/>
      <c r="AJ1" s="514"/>
      <c r="AK1" s="514"/>
      <c r="AL1" s="514"/>
      <c r="AM1" s="329"/>
      <c r="AN1" s="329"/>
      <c r="AO1" s="329"/>
      <c r="AP1" s="329"/>
      <c r="AQ1" s="329"/>
      <c r="AR1" s="329"/>
      <c r="AS1" s="329"/>
      <c r="AT1" s="329"/>
      <c r="AU1" s="329"/>
      <c r="AV1" s="329"/>
      <c r="AW1" s="329"/>
      <c r="AX1" s="329"/>
      <c r="AY1" s="329"/>
      <c r="AZ1" s="329"/>
      <c r="BA1" s="329"/>
    </row>
    <row r="2" spans="2:53" ht="21.75" hidden="1" customHeight="1" x14ac:dyDescent="0.35">
      <c r="B2" s="513" t="s">
        <v>10</v>
      </c>
      <c r="C2" s="514"/>
      <c r="D2" s="514"/>
      <c r="E2" s="514"/>
      <c r="F2" s="514"/>
      <c r="G2" s="514"/>
      <c r="H2" s="515">
        <f>DATE(2025,2,1)</f>
        <v>45689</v>
      </c>
      <c r="I2" s="515">
        <f>DATE(2025,3,1)</f>
        <v>45717</v>
      </c>
      <c r="J2" s="515">
        <f>DATE(2025,4,1)</f>
        <v>45748</v>
      </c>
      <c r="K2" s="515">
        <f>DATE(2025,5,1)</f>
        <v>45778</v>
      </c>
      <c r="L2" s="515">
        <f>DATE(2025,6,1)</f>
        <v>45809</v>
      </c>
      <c r="M2" s="515">
        <f>DATE(2025,7,1)</f>
        <v>45839</v>
      </c>
      <c r="N2" s="515">
        <f>DATE(2025,8,1)</f>
        <v>45870</v>
      </c>
      <c r="O2" s="515">
        <f>DATE(2025,9,1)</f>
        <v>45901</v>
      </c>
      <c r="P2" s="515">
        <f>DATE(2025,10,1)</f>
        <v>45931</v>
      </c>
      <c r="Q2" s="515">
        <f>DATE(2025,11,1)</f>
        <v>45962</v>
      </c>
      <c r="R2" s="515">
        <f>DATE(2025,12,1)</f>
        <v>45992</v>
      </c>
      <c r="S2" s="515">
        <f>DATE(2026,1,1)</f>
        <v>46023</v>
      </c>
      <c r="T2" s="515">
        <f>DATE(2026,2,1)</f>
        <v>46054</v>
      </c>
      <c r="U2" s="515">
        <f>DATE(2026,3,1)</f>
        <v>46082</v>
      </c>
      <c r="V2" s="515">
        <f>DATE(2026,4,1)</f>
        <v>46113</v>
      </c>
      <c r="W2" s="515">
        <f>DATE(2026,5,1)</f>
        <v>46143</v>
      </c>
      <c r="X2" s="515">
        <f>DATE(2026,6,1)</f>
        <v>46174</v>
      </c>
      <c r="Y2" s="515">
        <f>DATE(2026,7,1)</f>
        <v>46204</v>
      </c>
      <c r="Z2" s="515">
        <f>DATE(2026,8,1)</f>
        <v>46235</v>
      </c>
      <c r="AA2" s="515">
        <f>DATE(2026,9,1)</f>
        <v>46266</v>
      </c>
      <c r="AB2" s="515">
        <f>DATE(2026,10,1)</f>
        <v>46296</v>
      </c>
      <c r="AC2" s="515">
        <f>DATE(2026,11,1)</f>
        <v>46327</v>
      </c>
      <c r="AD2" s="515">
        <f>DATE(2026,12,1)</f>
        <v>46357</v>
      </c>
      <c r="AE2" s="515">
        <f>DATE(2027,1,1)</f>
        <v>46388</v>
      </c>
      <c r="AF2" s="515">
        <f>DATE(2027,2,1)</f>
        <v>46419</v>
      </c>
      <c r="AG2" s="515">
        <f>DATE(2027,3,1)</f>
        <v>46447</v>
      </c>
      <c r="AH2" s="515">
        <f>DATE(2027,4,1)</f>
        <v>46478</v>
      </c>
      <c r="AI2" s="515">
        <f>DATE(2027,5,1)</f>
        <v>46508</v>
      </c>
      <c r="AJ2" s="515">
        <f>DATE(2027,6,1)</f>
        <v>46539</v>
      </c>
      <c r="AK2" s="515">
        <f>DATE(2027,7,1)</f>
        <v>46569</v>
      </c>
      <c r="AL2" s="515">
        <f>DATE(2027,8,1)</f>
        <v>46600</v>
      </c>
      <c r="AM2" s="329"/>
      <c r="AN2" s="329"/>
      <c r="AO2" s="329"/>
      <c r="AP2" s="329"/>
      <c r="AQ2" s="329"/>
      <c r="AR2" s="329"/>
      <c r="AS2" s="329"/>
      <c r="AT2" s="329"/>
      <c r="AU2" s="329"/>
      <c r="AV2" s="329"/>
      <c r="AW2" s="329"/>
      <c r="AX2" s="329"/>
      <c r="AY2" s="329"/>
      <c r="AZ2" s="329"/>
      <c r="BA2" s="329"/>
    </row>
    <row r="3" spans="2:53" ht="27.75" customHeight="1" x14ac:dyDescent="0.35">
      <c r="B3" s="542" t="s">
        <v>1609</v>
      </c>
      <c r="C3" s="542" t="s">
        <v>1610</v>
      </c>
      <c r="D3" s="542" t="s">
        <v>1611</v>
      </c>
      <c r="E3" s="542" t="s">
        <v>130</v>
      </c>
      <c r="F3" s="542" t="s">
        <v>1612</v>
      </c>
      <c r="G3" s="543"/>
      <c r="H3" s="494" t="s">
        <v>1613</v>
      </c>
      <c r="I3" s="495" t="s">
        <v>1614</v>
      </c>
      <c r="J3" s="495" t="s">
        <v>1615</v>
      </c>
      <c r="K3" s="495" t="s">
        <v>1616</v>
      </c>
      <c r="L3" s="495" t="s">
        <v>1617</v>
      </c>
      <c r="M3" s="495" t="s">
        <v>1618</v>
      </c>
      <c r="N3" s="495" t="s">
        <v>1619</v>
      </c>
      <c r="O3" s="495" t="s">
        <v>1620</v>
      </c>
      <c r="P3" s="495" t="s">
        <v>1621</v>
      </c>
      <c r="Q3" s="495" t="s">
        <v>1622</v>
      </c>
      <c r="R3" s="495" t="s">
        <v>1623</v>
      </c>
      <c r="S3" s="495" t="s">
        <v>1624</v>
      </c>
      <c r="T3" s="495" t="s">
        <v>1625</v>
      </c>
      <c r="U3" s="495" t="s">
        <v>1614</v>
      </c>
      <c r="V3" s="495" t="s">
        <v>1615</v>
      </c>
      <c r="W3" s="495" t="s">
        <v>1616</v>
      </c>
      <c r="X3" s="495" t="s">
        <v>1617</v>
      </c>
      <c r="Y3" s="495" t="s">
        <v>1618</v>
      </c>
      <c r="Z3" s="495" t="s">
        <v>1619</v>
      </c>
      <c r="AA3" s="495" t="s">
        <v>1620</v>
      </c>
      <c r="AB3" s="495" t="s">
        <v>1621</v>
      </c>
      <c r="AC3" s="495" t="s">
        <v>1622</v>
      </c>
      <c r="AD3" s="495" t="s">
        <v>1623</v>
      </c>
      <c r="AE3" s="495" t="s">
        <v>1626</v>
      </c>
      <c r="AF3" s="495" t="s">
        <v>1625</v>
      </c>
      <c r="AG3" s="495" t="s">
        <v>1614</v>
      </c>
      <c r="AH3" s="495" t="s">
        <v>1615</v>
      </c>
      <c r="AI3" s="495" t="s">
        <v>1616</v>
      </c>
      <c r="AJ3" s="495" t="s">
        <v>1617</v>
      </c>
      <c r="AK3" s="495" t="s">
        <v>1618</v>
      </c>
      <c r="AL3" s="496" t="s">
        <v>1619</v>
      </c>
      <c r="AM3" s="329"/>
      <c r="AN3" s="329"/>
      <c r="AO3" s="329"/>
      <c r="AP3" s="329"/>
      <c r="AQ3" s="329"/>
      <c r="AR3" s="329"/>
      <c r="AS3" s="329"/>
      <c r="AT3" s="329"/>
      <c r="AU3" s="329"/>
      <c r="AV3" s="329"/>
      <c r="AW3" s="329"/>
      <c r="AX3" s="329"/>
      <c r="AY3" s="329"/>
      <c r="AZ3" s="329"/>
      <c r="BA3" s="329"/>
    </row>
    <row r="4" spans="2:53" ht="21.75" customHeight="1" x14ac:dyDescent="0.35">
      <c r="B4" s="516" t="s">
        <v>110</v>
      </c>
      <c r="C4" s="517">
        <f>Inputs!E9</f>
        <v>45715</v>
      </c>
      <c r="D4" s="517">
        <f>Inputs!E9</f>
        <v>45715</v>
      </c>
      <c r="E4" s="518">
        <f t="shared" ref="E4:E11" si="0">D4-C4+1</f>
        <v>1</v>
      </c>
      <c r="F4" s="519" t="s">
        <v>1627</v>
      </c>
      <c r="G4" s="520"/>
      <c r="H4" s="521" t="str">
        <f t="shared" ref="H4:Q11" si="1">IF(AND(H$2&gt;=EOMONTH($C4,-1)+1,H$2&lt;=EOMONTH($D4,0)),"█","")</f>
        <v>█</v>
      </c>
      <c r="I4" s="522" t="str">
        <f t="shared" si="1"/>
        <v/>
      </c>
      <c r="J4" s="522" t="str">
        <f t="shared" si="1"/>
        <v/>
      </c>
      <c r="K4" s="522" t="str">
        <f t="shared" si="1"/>
        <v/>
      </c>
      <c r="L4" s="522" t="str">
        <f t="shared" si="1"/>
        <v/>
      </c>
      <c r="M4" s="522" t="str">
        <f t="shared" si="1"/>
        <v/>
      </c>
      <c r="N4" s="522" t="str">
        <f t="shared" si="1"/>
        <v/>
      </c>
      <c r="O4" s="522" t="str">
        <f t="shared" si="1"/>
        <v/>
      </c>
      <c r="P4" s="522" t="str">
        <f t="shared" si="1"/>
        <v/>
      </c>
      <c r="Q4" s="522" t="str">
        <f t="shared" si="1"/>
        <v/>
      </c>
      <c r="R4" s="522" t="str">
        <f t="shared" ref="R4:Z11" si="2">IF(AND(R$2&gt;=EOMONTH($C4,-1)+1,R$2&lt;=EOMONTH($D4,0)),"█","")</f>
        <v/>
      </c>
      <c r="S4" s="522" t="str">
        <f t="shared" si="2"/>
        <v/>
      </c>
      <c r="T4" s="522" t="str">
        <f t="shared" si="2"/>
        <v/>
      </c>
      <c r="U4" s="522" t="str">
        <f t="shared" si="2"/>
        <v/>
      </c>
      <c r="V4" s="522" t="str">
        <f t="shared" si="2"/>
        <v/>
      </c>
      <c r="W4" s="522" t="str">
        <f t="shared" si="2"/>
        <v/>
      </c>
      <c r="X4" s="522" t="str">
        <f t="shared" si="2"/>
        <v/>
      </c>
      <c r="Y4" s="522" t="str">
        <f t="shared" si="2"/>
        <v/>
      </c>
      <c r="Z4" s="522" t="str">
        <f t="shared" si="2"/>
        <v/>
      </c>
      <c r="AA4" s="522" t="str">
        <f t="shared" ref="AA4:AL4" si="3">IF(AND(AB$2&gt;=EOMONTH($C4,-1)+1,AB$2&lt;=EOMONTH($D4,0)),"█","")</f>
        <v/>
      </c>
      <c r="AB4" s="522" t="str">
        <f t="shared" si="3"/>
        <v/>
      </c>
      <c r="AC4" s="522" t="str">
        <f t="shared" si="3"/>
        <v/>
      </c>
      <c r="AD4" s="522" t="str">
        <f t="shared" si="3"/>
        <v/>
      </c>
      <c r="AE4" s="522" t="str">
        <f t="shared" si="3"/>
        <v/>
      </c>
      <c r="AF4" s="522" t="str">
        <f t="shared" si="3"/>
        <v/>
      </c>
      <c r="AG4" s="522" t="str">
        <f t="shared" si="3"/>
        <v/>
      </c>
      <c r="AH4" s="522" t="str">
        <f t="shared" si="3"/>
        <v/>
      </c>
      <c r="AI4" s="522" t="str">
        <f t="shared" si="3"/>
        <v/>
      </c>
      <c r="AJ4" s="522" t="str">
        <f t="shared" si="3"/>
        <v/>
      </c>
      <c r="AK4" s="522" t="str">
        <f t="shared" si="3"/>
        <v/>
      </c>
      <c r="AL4" s="523" t="str">
        <f t="shared" si="3"/>
        <v/>
      </c>
      <c r="AM4" s="329"/>
      <c r="AN4" s="329"/>
      <c r="AO4" s="329"/>
      <c r="AP4" s="329"/>
      <c r="AQ4" s="329"/>
      <c r="AR4" s="329"/>
      <c r="AS4" s="329"/>
      <c r="AT4" s="329"/>
      <c r="AU4" s="329"/>
      <c r="AV4" s="329"/>
      <c r="AW4" s="329"/>
      <c r="AX4" s="329"/>
      <c r="AY4" s="329"/>
      <c r="AZ4" s="329"/>
      <c r="BA4" s="329"/>
    </row>
    <row r="5" spans="2:53" ht="21.75" customHeight="1" x14ac:dyDescent="0.35">
      <c r="B5" s="497" t="s">
        <v>1628</v>
      </c>
      <c r="C5" s="498">
        <f>DATE(2025,2,1)</f>
        <v>45689</v>
      </c>
      <c r="D5" s="498">
        <f>DATE(2025,3,31)</f>
        <v>45747</v>
      </c>
      <c r="E5" s="499">
        <f t="shared" si="0"/>
        <v>59</v>
      </c>
      <c r="F5" s="500" t="s">
        <v>1627</v>
      </c>
      <c r="G5" s="501"/>
      <c r="H5" s="502" t="str">
        <f t="shared" si="1"/>
        <v>█</v>
      </c>
      <c r="I5" s="503" t="str">
        <f t="shared" si="1"/>
        <v>█</v>
      </c>
      <c r="J5" s="503" t="str">
        <f t="shared" si="1"/>
        <v/>
      </c>
      <c r="K5" s="503" t="str">
        <f t="shared" si="1"/>
        <v/>
      </c>
      <c r="L5" s="503" t="str">
        <f t="shared" si="1"/>
        <v/>
      </c>
      <c r="M5" s="503" t="str">
        <f t="shared" si="1"/>
        <v/>
      </c>
      <c r="N5" s="503" t="str">
        <f t="shared" si="1"/>
        <v/>
      </c>
      <c r="O5" s="503" t="str">
        <f t="shared" si="1"/>
        <v/>
      </c>
      <c r="P5" s="503" t="str">
        <f t="shared" si="1"/>
        <v/>
      </c>
      <c r="Q5" s="503" t="str">
        <f t="shared" si="1"/>
        <v/>
      </c>
      <c r="R5" s="503" t="str">
        <f t="shared" si="2"/>
        <v/>
      </c>
      <c r="S5" s="503" t="str">
        <f t="shared" si="2"/>
        <v/>
      </c>
      <c r="T5" s="503" t="str">
        <f t="shared" si="2"/>
        <v/>
      </c>
      <c r="U5" s="503" t="str">
        <f t="shared" si="2"/>
        <v/>
      </c>
      <c r="V5" s="503" t="str">
        <f t="shared" si="2"/>
        <v/>
      </c>
      <c r="W5" s="503" t="str">
        <f t="shared" si="2"/>
        <v/>
      </c>
      <c r="X5" s="503" t="str">
        <f t="shared" si="2"/>
        <v/>
      </c>
      <c r="Y5" s="503" t="str">
        <f t="shared" si="2"/>
        <v/>
      </c>
      <c r="Z5" s="503" t="str">
        <f t="shared" si="2"/>
        <v/>
      </c>
      <c r="AA5" s="503" t="str">
        <f t="shared" ref="AA5:AL5" si="4">IF(AND(AB$2&gt;=EOMONTH($C5,-1)+1,AB$2&lt;=EOMONTH($D5,0)),"█","")</f>
        <v/>
      </c>
      <c r="AB5" s="503" t="str">
        <f t="shared" si="4"/>
        <v/>
      </c>
      <c r="AC5" s="503" t="str">
        <f t="shared" si="4"/>
        <v/>
      </c>
      <c r="AD5" s="503" t="str">
        <f t="shared" si="4"/>
        <v/>
      </c>
      <c r="AE5" s="503" t="str">
        <f t="shared" si="4"/>
        <v/>
      </c>
      <c r="AF5" s="503" t="str">
        <f t="shared" si="4"/>
        <v/>
      </c>
      <c r="AG5" s="503" t="str">
        <f t="shared" si="4"/>
        <v/>
      </c>
      <c r="AH5" s="503" t="str">
        <f t="shared" si="4"/>
        <v/>
      </c>
      <c r="AI5" s="503" t="str">
        <f t="shared" si="4"/>
        <v/>
      </c>
      <c r="AJ5" s="503" t="str">
        <f t="shared" si="4"/>
        <v/>
      </c>
      <c r="AK5" s="503" t="str">
        <f t="shared" si="4"/>
        <v/>
      </c>
      <c r="AL5" s="504" t="str">
        <f t="shared" si="4"/>
        <v/>
      </c>
      <c r="AM5" s="329"/>
      <c r="AN5" s="329"/>
      <c r="AO5" s="329"/>
      <c r="AP5" s="329"/>
      <c r="AQ5" s="329"/>
      <c r="AR5" s="329"/>
      <c r="AS5" s="329"/>
      <c r="AT5" s="329"/>
      <c r="AU5" s="329"/>
      <c r="AV5" s="329"/>
      <c r="AW5" s="329"/>
      <c r="AX5" s="329"/>
      <c r="AY5" s="329"/>
      <c r="AZ5" s="329"/>
      <c r="BA5" s="329"/>
    </row>
    <row r="6" spans="2:53" ht="21.75" customHeight="1" x14ac:dyDescent="0.35">
      <c r="B6" s="524" t="s">
        <v>112</v>
      </c>
      <c r="C6" s="525">
        <f>Inputs!E14</f>
        <v>46174</v>
      </c>
      <c r="D6" s="525">
        <f>Inputs!E14</f>
        <v>46174</v>
      </c>
      <c r="E6" s="526">
        <f t="shared" si="0"/>
        <v>1</v>
      </c>
      <c r="F6" s="527" t="s">
        <v>1629</v>
      </c>
      <c r="G6" s="528"/>
      <c r="H6" s="529" t="str">
        <f t="shared" si="1"/>
        <v/>
      </c>
      <c r="I6" s="530" t="str">
        <f t="shared" si="1"/>
        <v/>
      </c>
      <c r="J6" s="530" t="str">
        <f t="shared" si="1"/>
        <v/>
      </c>
      <c r="K6" s="530" t="str">
        <f t="shared" si="1"/>
        <v/>
      </c>
      <c r="L6" s="530" t="str">
        <f t="shared" si="1"/>
        <v/>
      </c>
      <c r="M6" s="530" t="str">
        <f t="shared" si="1"/>
        <v/>
      </c>
      <c r="N6" s="530" t="str">
        <f t="shared" si="1"/>
        <v/>
      </c>
      <c r="O6" s="530" t="str">
        <f t="shared" si="1"/>
        <v/>
      </c>
      <c r="P6" s="530" t="str">
        <f t="shared" si="1"/>
        <v/>
      </c>
      <c r="Q6" s="530" t="str">
        <f t="shared" si="1"/>
        <v/>
      </c>
      <c r="R6" s="530" t="str">
        <f t="shared" si="2"/>
        <v/>
      </c>
      <c r="S6" s="530" t="str">
        <f t="shared" si="2"/>
        <v/>
      </c>
      <c r="T6" s="530" t="str">
        <f t="shared" si="2"/>
        <v/>
      </c>
      <c r="U6" s="530" t="str">
        <f t="shared" si="2"/>
        <v/>
      </c>
      <c r="V6" s="530" t="str">
        <f t="shared" si="2"/>
        <v/>
      </c>
      <c r="W6" s="530" t="str">
        <f t="shared" si="2"/>
        <v/>
      </c>
      <c r="X6" s="530" t="str">
        <f t="shared" si="2"/>
        <v>█</v>
      </c>
      <c r="Y6" s="530" t="str">
        <f t="shared" si="2"/>
        <v/>
      </c>
      <c r="Z6" s="530" t="str">
        <f t="shared" si="2"/>
        <v/>
      </c>
      <c r="AA6" s="530" t="str">
        <f t="shared" ref="AA6:AL6" si="5">IF(AND(AB$2&gt;=EOMONTH($C6,-1)+1,AB$2&lt;=EOMONTH($D6,0)),"█","")</f>
        <v/>
      </c>
      <c r="AB6" s="530" t="str">
        <f t="shared" si="5"/>
        <v/>
      </c>
      <c r="AC6" s="530" t="str">
        <f t="shared" si="5"/>
        <v/>
      </c>
      <c r="AD6" s="530" t="str">
        <f t="shared" si="5"/>
        <v/>
      </c>
      <c r="AE6" s="530" t="str">
        <f t="shared" si="5"/>
        <v/>
      </c>
      <c r="AF6" s="530" t="str">
        <f t="shared" si="5"/>
        <v/>
      </c>
      <c r="AG6" s="530" t="str">
        <f t="shared" si="5"/>
        <v/>
      </c>
      <c r="AH6" s="530" t="str">
        <f t="shared" si="5"/>
        <v/>
      </c>
      <c r="AI6" s="530" t="str">
        <f t="shared" si="5"/>
        <v/>
      </c>
      <c r="AJ6" s="530" t="str">
        <f t="shared" si="5"/>
        <v/>
      </c>
      <c r="AK6" s="530" t="str">
        <f t="shared" si="5"/>
        <v/>
      </c>
      <c r="AL6" s="531" t="str">
        <f t="shared" si="5"/>
        <v/>
      </c>
      <c r="AM6" s="329"/>
      <c r="AN6" s="329"/>
      <c r="AO6" s="329"/>
      <c r="AP6" s="329"/>
      <c r="AQ6" s="329"/>
      <c r="AR6" s="329"/>
      <c r="AS6" s="329"/>
      <c r="AT6" s="329"/>
      <c r="AU6" s="329"/>
      <c r="AV6" s="329"/>
      <c r="AW6" s="329"/>
      <c r="AX6" s="329"/>
      <c r="AY6" s="329"/>
      <c r="AZ6" s="329"/>
      <c r="BA6" s="329"/>
    </row>
    <row r="7" spans="2:53" ht="21.75" customHeight="1" x14ac:dyDescent="0.35">
      <c r="B7" s="497" t="s">
        <v>1630</v>
      </c>
      <c r="C7" s="498">
        <f>Inputs!E16</f>
        <v>46266</v>
      </c>
      <c r="D7" s="498">
        <f>DATE(2026,8,31)</f>
        <v>46265</v>
      </c>
      <c r="E7" s="499">
        <f t="shared" si="0"/>
        <v>0</v>
      </c>
      <c r="F7" s="500" t="s">
        <v>1631</v>
      </c>
      <c r="G7" s="501"/>
      <c r="H7" s="502" t="str">
        <f t="shared" si="1"/>
        <v/>
      </c>
      <c r="I7" s="503" t="str">
        <f t="shared" si="1"/>
        <v/>
      </c>
      <c r="J7" s="503" t="str">
        <f t="shared" si="1"/>
        <v/>
      </c>
      <c r="K7" s="503" t="str">
        <f t="shared" si="1"/>
        <v/>
      </c>
      <c r="L7" s="503" t="str">
        <f t="shared" si="1"/>
        <v/>
      </c>
      <c r="M7" s="503" t="str">
        <f t="shared" si="1"/>
        <v/>
      </c>
      <c r="N7" s="503" t="str">
        <f t="shared" si="1"/>
        <v/>
      </c>
      <c r="O7" s="503" t="str">
        <f t="shared" si="1"/>
        <v/>
      </c>
      <c r="P7" s="503" t="str">
        <f t="shared" si="1"/>
        <v/>
      </c>
      <c r="Q7" s="503" t="str">
        <f t="shared" si="1"/>
        <v/>
      </c>
      <c r="R7" s="503" t="str">
        <f t="shared" si="2"/>
        <v/>
      </c>
      <c r="S7" s="503" t="str">
        <f t="shared" si="2"/>
        <v/>
      </c>
      <c r="T7" s="503" t="str">
        <f t="shared" si="2"/>
        <v/>
      </c>
      <c r="U7" s="503" t="str">
        <f t="shared" si="2"/>
        <v/>
      </c>
      <c r="V7" s="503" t="str">
        <f t="shared" si="2"/>
        <v/>
      </c>
      <c r="W7" s="503" t="str">
        <f t="shared" si="2"/>
        <v/>
      </c>
      <c r="X7" s="503" t="str">
        <f t="shared" si="2"/>
        <v/>
      </c>
      <c r="Y7" s="503" t="str">
        <f t="shared" si="2"/>
        <v/>
      </c>
      <c r="Z7" s="503" t="str">
        <f t="shared" si="2"/>
        <v/>
      </c>
      <c r="AA7" s="503" t="str">
        <f t="shared" ref="AA7:AL7" si="6">IF(AND(AB$2&gt;=EOMONTH($C7,-1)+1,AB$2&lt;=EOMONTH($D7,0)),"█","")</f>
        <v/>
      </c>
      <c r="AB7" s="503" t="str">
        <f t="shared" si="6"/>
        <v/>
      </c>
      <c r="AC7" s="503" t="str">
        <f t="shared" si="6"/>
        <v/>
      </c>
      <c r="AD7" s="503" t="str">
        <f t="shared" si="6"/>
        <v/>
      </c>
      <c r="AE7" s="503" t="str">
        <f t="shared" si="6"/>
        <v/>
      </c>
      <c r="AF7" s="503" t="str">
        <f t="shared" si="6"/>
        <v/>
      </c>
      <c r="AG7" s="503" t="str">
        <f t="shared" si="6"/>
        <v/>
      </c>
      <c r="AH7" s="503" t="str">
        <f t="shared" si="6"/>
        <v/>
      </c>
      <c r="AI7" s="503" t="str">
        <f t="shared" si="6"/>
        <v/>
      </c>
      <c r="AJ7" s="503" t="str">
        <f t="shared" si="6"/>
        <v/>
      </c>
      <c r="AK7" s="503" t="str">
        <f t="shared" si="6"/>
        <v/>
      </c>
      <c r="AL7" s="504" t="str">
        <f t="shared" si="6"/>
        <v/>
      </c>
      <c r="AM7" s="329"/>
      <c r="AN7" s="329"/>
      <c r="AO7" s="329"/>
      <c r="AP7" s="329"/>
      <c r="AQ7" s="329"/>
      <c r="AR7" s="329"/>
      <c r="AS7" s="329"/>
      <c r="AT7" s="329"/>
      <c r="AU7" s="329"/>
      <c r="AV7" s="329"/>
      <c r="AW7" s="329"/>
      <c r="AX7" s="329"/>
      <c r="AY7" s="329"/>
      <c r="AZ7" s="329"/>
      <c r="BA7" s="329"/>
    </row>
    <row r="8" spans="2:53" ht="21.75" customHeight="1" x14ac:dyDescent="0.35">
      <c r="B8" s="524" t="s">
        <v>1632</v>
      </c>
      <c r="C8" s="525">
        <f>Inputs!E15</f>
        <v>46419</v>
      </c>
      <c r="D8" s="525">
        <f>Inputs!E15</f>
        <v>46419</v>
      </c>
      <c r="E8" s="526">
        <f t="shared" si="0"/>
        <v>1</v>
      </c>
      <c r="F8" s="527" t="s">
        <v>1631</v>
      </c>
      <c r="G8" s="528"/>
      <c r="H8" s="529" t="str">
        <f t="shared" si="1"/>
        <v/>
      </c>
      <c r="I8" s="530" t="str">
        <f t="shared" si="1"/>
        <v/>
      </c>
      <c r="J8" s="530" t="str">
        <f t="shared" si="1"/>
        <v/>
      </c>
      <c r="K8" s="530" t="str">
        <f t="shared" si="1"/>
        <v/>
      </c>
      <c r="L8" s="530" t="str">
        <f t="shared" si="1"/>
        <v/>
      </c>
      <c r="M8" s="530" t="str">
        <f t="shared" si="1"/>
        <v/>
      </c>
      <c r="N8" s="530" t="str">
        <f t="shared" si="1"/>
        <v/>
      </c>
      <c r="O8" s="530" t="str">
        <f t="shared" si="1"/>
        <v/>
      </c>
      <c r="P8" s="530" t="str">
        <f t="shared" si="1"/>
        <v/>
      </c>
      <c r="Q8" s="530" t="str">
        <f t="shared" si="1"/>
        <v/>
      </c>
      <c r="R8" s="530" t="str">
        <f t="shared" si="2"/>
        <v/>
      </c>
      <c r="S8" s="530" t="str">
        <f t="shared" si="2"/>
        <v/>
      </c>
      <c r="T8" s="530" t="str">
        <f t="shared" si="2"/>
        <v/>
      </c>
      <c r="U8" s="530" t="str">
        <f t="shared" si="2"/>
        <v/>
      </c>
      <c r="V8" s="530" t="str">
        <f t="shared" si="2"/>
        <v/>
      </c>
      <c r="W8" s="530" t="str">
        <f t="shared" si="2"/>
        <v/>
      </c>
      <c r="X8" s="530" t="str">
        <f t="shared" si="2"/>
        <v/>
      </c>
      <c r="Y8" s="530" t="str">
        <f t="shared" si="2"/>
        <v/>
      </c>
      <c r="Z8" s="530" t="str">
        <f t="shared" si="2"/>
        <v/>
      </c>
      <c r="AA8" s="530" t="str">
        <f t="shared" ref="AA8:AL8" si="7">IF(AND(AB$2&gt;=EOMONTH($C8,-1)+1,AB$2&lt;=EOMONTH($D8,0)),"█","")</f>
        <v/>
      </c>
      <c r="AB8" s="530" t="str">
        <f t="shared" si="7"/>
        <v/>
      </c>
      <c r="AC8" s="530" t="str">
        <f t="shared" si="7"/>
        <v/>
      </c>
      <c r="AD8" s="530" t="str">
        <f t="shared" si="7"/>
        <v/>
      </c>
      <c r="AE8" s="530" t="str">
        <f t="shared" si="7"/>
        <v>█</v>
      </c>
      <c r="AF8" s="530" t="str">
        <f t="shared" si="7"/>
        <v/>
      </c>
      <c r="AG8" s="530" t="str">
        <f t="shared" si="7"/>
        <v/>
      </c>
      <c r="AH8" s="530" t="str">
        <f t="shared" si="7"/>
        <v/>
      </c>
      <c r="AI8" s="530" t="str">
        <f t="shared" si="7"/>
        <v/>
      </c>
      <c r="AJ8" s="530" t="str">
        <f t="shared" si="7"/>
        <v/>
      </c>
      <c r="AK8" s="530" t="str">
        <f t="shared" si="7"/>
        <v/>
      </c>
      <c r="AL8" s="531" t="str">
        <f t="shared" si="7"/>
        <v/>
      </c>
      <c r="AM8" s="329"/>
      <c r="AN8" s="329"/>
      <c r="AO8" s="329"/>
      <c r="AP8" s="329"/>
      <c r="AQ8" s="329"/>
      <c r="AR8" s="329"/>
      <c r="AS8" s="329"/>
      <c r="AT8" s="329"/>
      <c r="AU8" s="329"/>
      <c r="AV8" s="329"/>
      <c r="AW8" s="329"/>
      <c r="AX8" s="329"/>
      <c r="AY8" s="329"/>
      <c r="AZ8" s="329"/>
      <c r="BA8" s="329"/>
    </row>
    <row r="9" spans="2:53" ht="21.75" customHeight="1" x14ac:dyDescent="0.35">
      <c r="B9" s="497" t="s">
        <v>1631</v>
      </c>
      <c r="C9" s="498">
        <f>Inputs!E18</f>
        <v>46420</v>
      </c>
      <c r="D9" s="498">
        <f>Inputs!E19</f>
        <v>46568</v>
      </c>
      <c r="E9" s="499">
        <f t="shared" si="0"/>
        <v>149</v>
      </c>
      <c r="F9" s="500" t="s">
        <v>1631</v>
      </c>
      <c r="G9" s="501"/>
      <c r="H9" s="502" t="str">
        <f t="shared" si="1"/>
        <v/>
      </c>
      <c r="I9" s="503" t="str">
        <f t="shared" si="1"/>
        <v/>
      </c>
      <c r="J9" s="503" t="str">
        <f t="shared" si="1"/>
        <v/>
      </c>
      <c r="K9" s="503" t="str">
        <f t="shared" si="1"/>
        <v/>
      </c>
      <c r="L9" s="503" t="str">
        <f t="shared" si="1"/>
        <v/>
      </c>
      <c r="M9" s="503" t="str">
        <f t="shared" si="1"/>
        <v/>
      </c>
      <c r="N9" s="503" t="str">
        <f t="shared" si="1"/>
        <v/>
      </c>
      <c r="O9" s="503" t="str">
        <f t="shared" si="1"/>
        <v/>
      </c>
      <c r="P9" s="503" t="str">
        <f t="shared" si="1"/>
        <v/>
      </c>
      <c r="Q9" s="503" t="str">
        <f t="shared" si="1"/>
        <v/>
      </c>
      <c r="R9" s="503" t="str">
        <f t="shared" si="2"/>
        <v/>
      </c>
      <c r="S9" s="503" t="str">
        <f t="shared" si="2"/>
        <v/>
      </c>
      <c r="T9" s="503" t="str">
        <f t="shared" si="2"/>
        <v/>
      </c>
      <c r="U9" s="503" t="str">
        <f t="shared" si="2"/>
        <v/>
      </c>
      <c r="V9" s="503" t="str">
        <f t="shared" si="2"/>
        <v/>
      </c>
      <c r="W9" s="503" t="str">
        <f t="shared" si="2"/>
        <v/>
      </c>
      <c r="X9" s="503" t="str">
        <f t="shared" si="2"/>
        <v/>
      </c>
      <c r="Y9" s="503" t="str">
        <f t="shared" si="2"/>
        <v/>
      </c>
      <c r="Z9" s="503" t="str">
        <f t="shared" si="2"/>
        <v/>
      </c>
      <c r="AA9" s="503" t="str">
        <f t="shared" ref="AA9:AL9" si="8">IF(AND(AB$2&gt;=EOMONTH($C9,-1)+1,AB$2&lt;=EOMONTH($D9,0)),"█","")</f>
        <v/>
      </c>
      <c r="AB9" s="503" t="str">
        <f t="shared" si="8"/>
        <v/>
      </c>
      <c r="AC9" s="503" t="str">
        <f t="shared" si="8"/>
        <v/>
      </c>
      <c r="AD9" s="503" t="str">
        <f t="shared" si="8"/>
        <v/>
      </c>
      <c r="AE9" s="503" t="str">
        <f t="shared" si="8"/>
        <v>█</v>
      </c>
      <c r="AF9" s="503" t="str">
        <f t="shared" si="8"/>
        <v>█</v>
      </c>
      <c r="AG9" s="503" t="str">
        <f t="shared" si="8"/>
        <v>█</v>
      </c>
      <c r="AH9" s="503" t="str">
        <f t="shared" si="8"/>
        <v>█</v>
      </c>
      <c r="AI9" s="503" t="str">
        <f t="shared" si="8"/>
        <v>█</v>
      </c>
      <c r="AJ9" s="503" t="str">
        <f t="shared" si="8"/>
        <v/>
      </c>
      <c r="AK9" s="503" t="str">
        <f t="shared" si="8"/>
        <v/>
      </c>
      <c r="AL9" s="504" t="str">
        <f t="shared" si="8"/>
        <v/>
      </c>
      <c r="AM9" s="329"/>
      <c r="AN9" s="329"/>
      <c r="AO9" s="329"/>
      <c r="AP9" s="329"/>
      <c r="AQ9" s="329"/>
      <c r="AR9" s="329"/>
      <c r="AS9" s="329"/>
      <c r="AT9" s="329"/>
      <c r="AU9" s="329"/>
      <c r="AV9" s="329"/>
      <c r="AW9" s="329"/>
      <c r="AX9" s="329"/>
      <c r="AY9" s="329"/>
      <c r="AZ9" s="329"/>
      <c r="BA9" s="329"/>
    </row>
    <row r="10" spans="2:53" ht="21.75" customHeight="1" x14ac:dyDescent="0.35">
      <c r="B10" s="532" t="s">
        <v>1633</v>
      </c>
      <c r="C10" s="533">
        <f>Inputs!E20</f>
        <v>46508</v>
      </c>
      <c r="D10" s="533">
        <f>Inputs!E21</f>
        <v>46568</v>
      </c>
      <c r="E10" s="534">
        <f t="shared" si="0"/>
        <v>61</v>
      </c>
      <c r="F10" s="535" t="s">
        <v>1633</v>
      </c>
      <c r="G10" s="536"/>
      <c r="H10" s="537" t="str">
        <f t="shared" si="1"/>
        <v/>
      </c>
      <c r="I10" s="538" t="str">
        <f t="shared" si="1"/>
        <v/>
      </c>
      <c r="J10" s="538" t="str">
        <f t="shared" si="1"/>
        <v/>
      </c>
      <c r="K10" s="538" t="str">
        <f t="shared" si="1"/>
        <v/>
      </c>
      <c r="L10" s="538" t="str">
        <f t="shared" si="1"/>
        <v/>
      </c>
      <c r="M10" s="538" t="str">
        <f t="shared" si="1"/>
        <v/>
      </c>
      <c r="N10" s="538" t="str">
        <f t="shared" si="1"/>
        <v/>
      </c>
      <c r="O10" s="538" t="str">
        <f t="shared" si="1"/>
        <v/>
      </c>
      <c r="P10" s="538" t="str">
        <f t="shared" si="1"/>
        <v/>
      </c>
      <c r="Q10" s="538" t="str">
        <f t="shared" si="1"/>
        <v/>
      </c>
      <c r="R10" s="538" t="str">
        <f t="shared" si="2"/>
        <v/>
      </c>
      <c r="S10" s="538" t="str">
        <f t="shared" si="2"/>
        <v/>
      </c>
      <c r="T10" s="538" t="str">
        <f t="shared" si="2"/>
        <v/>
      </c>
      <c r="U10" s="538" t="str">
        <f t="shared" si="2"/>
        <v/>
      </c>
      <c r="V10" s="538" t="str">
        <f t="shared" si="2"/>
        <v/>
      </c>
      <c r="W10" s="538" t="str">
        <f t="shared" si="2"/>
        <v/>
      </c>
      <c r="X10" s="538" t="str">
        <f t="shared" si="2"/>
        <v/>
      </c>
      <c r="Y10" s="538" t="str">
        <f t="shared" si="2"/>
        <v/>
      </c>
      <c r="Z10" s="538" t="str">
        <f t="shared" si="2"/>
        <v/>
      </c>
      <c r="AA10" s="538" t="str">
        <f t="shared" ref="AA10:AL10" si="9">IF(AND(AB$2&gt;=EOMONTH($C10,-1)+1,AB$2&lt;=EOMONTH($D10,0)),"█","")</f>
        <v/>
      </c>
      <c r="AB10" s="538" t="str">
        <f t="shared" si="9"/>
        <v/>
      </c>
      <c r="AC10" s="538" t="str">
        <f t="shared" si="9"/>
        <v/>
      </c>
      <c r="AD10" s="538" t="str">
        <f t="shared" si="9"/>
        <v/>
      </c>
      <c r="AE10" s="538" t="str">
        <f t="shared" si="9"/>
        <v/>
      </c>
      <c r="AF10" s="538" t="str">
        <f t="shared" si="9"/>
        <v/>
      </c>
      <c r="AG10" s="538" t="str">
        <f t="shared" si="9"/>
        <v/>
      </c>
      <c r="AH10" s="538" t="str">
        <f t="shared" si="9"/>
        <v>█</v>
      </c>
      <c r="AI10" s="538" t="str">
        <f t="shared" si="9"/>
        <v>█</v>
      </c>
      <c r="AJ10" s="538" t="str">
        <f t="shared" si="9"/>
        <v/>
      </c>
      <c r="AK10" s="538" t="str">
        <f t="shared" si="9"/>
        <v/>
      </c>
      <c r="AL10" s="539" t="str">
        <f t="shared" si="9"/>
        <v/>
      </c>
      <c r="AM10" s="329"/>
      <c r="AN10" s="329"/>
      <c r="AO10" s="329"/>
      <c r="AP10" s="329"/>
      <c r="AQ10" s="329"/>
      <c r="AR10" s="329"/>
      <c r="AS10" s="329"/>
      <c r="AT10" s="329"/>
      <c r="AU10" s="329"/>
      <c r="AV10" s="329"/>
      <c r="AW10" s="329"/>
      <c r="AX10" s="329"/>
      <c r="AY10" s="329"/>
      <c r="AZ10" s="329"/>
      <c r="BA10" s="329"/>
    </row>
    <row r="11" spans="2:53" ht="21.75" customHeight="1" x14ac:dyDescent="0.35">
      <c r="B11" s="505" t="s">
        <v>118</v>
      </c>
      <c r="C11" s="506">
        <f>Inputs!E22</f>
        <v>46569</v>
      </c>
      <c r="D11" s="506">
        <f>Inputs!E22</f>
        <v>46569</v>
      </c>
      <c r="E11" s="507">
        <f t="shared" si="0"/>
        <v>1</v>
      </c>
      <c r="F11" s="508" t="s">
        <v>1634</v>
      </c>
      <c r="G11" s="509"/>
      <c r="H11" s="510" t="str">
        <f t="shared" si="1"/>
        <v/>
      </c>
      <c r="I11" s="511" t="str">
        <f t="shared" si="1"/>
        <v/>
      </c>
      <c r="J11" s="511" t="str">
        <f t="shared" si="1"/>
        <v/>
      </c>
      <c r="K11" s="511" t="str">
        <f t="shared" si="1"/>
        <v/>
      </c>
      <c r="L11" s="511" t="str">
        <f t="shared" si="1"/>
        <v/>
      </c>
      <c r="M11" s="511" t="str">
        <f t="shared" si="1"/>
        <v/>
      </c>
      <c r="N11" s="511" t="str">
        <f t="shared" si="1"/>
        <v/>
      </c>
      <c r="O11" s="511" t="str">
        <f t="shared" si="1"/>
        <v/>
      </c>
      <c r="P11" s="511" t="str">
        <f t="shared" si="1"/>
        <v/>
      </c>
      <c r="Q11" s="511" t="str">
        <f t="shared" si="1"/>
        <v/>
      </c>
      <c r="R11" s="511" t="str">
        <f t="shared" si="2"/>
        <v/>
      </c>
      <c r="S11" s="511" t="str">
        <f t="shared" si="2"/>
        <v/>
      </c>
      <c r="T11" s="511" t="str">
        <f t="shared" si="2"/>
        <v/>
      </c>
      <c r="U11" s="511" t="str">
        <f t="shared" si="2"/>
        <v/>
      </c>
      <c r="V11" s="511" t="str">
        <f t="shared" si="2"/>
        <v/>
      </c>
      <c r="W11" s="511" t="str">
        <f t="shared" si="2"/>
        <v/>
      </c>
      <c r="X11" s="511" t="str">
        <f t="shared" si="2"/>
        <v/>
      </c>
      <c r="Y11" s="511" t="str">
        <f t="shared" si="2"/>
        <v/>
      </c>
      <c r="Z11" s="511" t="str">
        <f t="shared" si="2"/>
        <v/>
      </c>
      <c r="AA11" s="511" t="str">
        <f t="shared" ref="AA11:AL11" si="10">IF(AND(AB$2&gt;=EOMONTH($C11,-1)+1,AB$2&lt;=EOMONTH($D11,0)),"█","")</f>
        <v/>
      </c>
      <c r="AB11" s="511" t="str">
        <f t="shared" si="10"/>
        <v/>
      </c>
      <c r="AC11" s="511" t="str">
        <f t="shared" si="10"/>
        <v/>
      </c>
      <c r="AD11" s="511" t="str">
        <f t="shared" si="10"/>
        <v/>
      </c>
      <c r="AE11" s="511" t="str">
        <f t="shared" si="10"/>
        <v/>
      </c>
      <c r="AF11" s="511" t="str">
        <f t="shared" si="10"/>
        <v/>
      </c>
      <c r="AG11" s="511" t="str">
        <f t="shared" si="10"/>
        <v/>
      </c>
      <c r="AH11" s="511" t="str">
        <f t="shared" si="10"/>
        <v/>
      </c>
      <c r="AI11" s="511" t="str">
        <f t="shared" si="10"/>
        <v/>
      </c>
      <c r="AJ11" s="511" t="str">
        <f t="shared" si="10"/>
        <v>█</v>
      </c>
      <c r="AK11" s="511" t="str">
        <f t="shared" si="10"/>
        <v/>
      </c>
      <c r="AL11" s="512" t="str">
        <f t="shared" si="10"/>
        <v/>
      </c>
      <c r="AM11" s="329"/>
      <c r="AN11" s="329"/>
      <c r="AO11" s="329"/>
      <c r="AP11" s="329"/>
      <c r="AQ11" s="329"/>
      <c r="AR11" s="329"/>
      <c r="AS11" s="329"/>
      <c r="AT11" s="329"/>
      <c r="AU11" s="329"/>
      <c r="AV11" s="329"/>
      <c r="AW11" s="329"/>
      <c r="AX11" s="329"/>
      <c r="AY11" s="329"/>
      <c r="AZ11" s="329"/>
      <c r="BA11" s="329"/>
    </row>
    <row r="12" spans="2:53" ht="18" customHeight="1" x14ac:dyDescent="0.35">
      <c r="B12" s="540" t="s">
        <v>1635</v>
      </c>
      <c r="C12" s="514"/>
      <c r="D12" s="514"/>
      <c r="E12" s="514"/>
      <c r="F12" s="514"/>
      <c r="G12" s="514"/>
      <c r="H12" s="541" t="str">
        <f t="shared" ref="H12:Z12" ca="1" si="11">IF(AND(MONTH(TODAY())=MONTH(H$2),YEAR(TODAY())=YEAR(H$2)),"▼","")</f>
        <v/>
      </c>
      <c r="I12" s="541" t="str">
        <f t="shared" ca="1" si="11"/>
        <v/>
      </c>
      <c r="J12" s="541" t="str">
        <f t="shared" ca="1" si="11"/>
        <v/>
      </c>
      <c r="K12" s="541" t="str">
        <f t="shared" ca="1" si="11"/>
        <v/>
      </c>
      <c r="L12" s="541" t="str">
        <f t="shared" ca="1" si="11"/>
        <v/>
      </c>
      <c r="M12" s="541" t="str">
        <f t="shared" ca="1" si="11"/>
        <v/>
      </c>
      <c r="N12" s="541" t="str">
        <f t="shared" ca="1" si="11"/>
        <v/>
      </c>
      <c r="O12" s="541" t="str">
        <f t="shared" ca="1" si="11"/>
        <v/>
      </c>
      <c r="P12" s="541" t="str">
        <f t="shared" ca="1" si="11"/>
        <v/>
      </c>
      <c r="Q12" s="541" t="str">
        <f t="shared" ca="1" si="11"/>
        <v/>
      </c>
      <c r="R12" s="541" t="str">
        <f t="shared" ca="1" si="11"/>
        <v/>
      </c>
      <c r="S12" s="541" t="str">
        <f t="shared" ca="1" si="11"/>
        <v/>
      </c>
      <c r="T12" s="541" t="str">
        <f t="shared" ca="1" si="11"/>
        <v/>
      </c>
      <c r="U12" s="541" t="str">
        <f t="shared" ca="1" si="11"/>
        <v/>
      </c>
      <c r="V12" s="541" t="str">
        <f t="shared" ca="1" si="11"/>
        <v>▼</v>
      </c>
      <c r="W12" s="541" t="str">
        <f t="shared" ca="1" si="11"/>
        <v/>
      </c>
      <c r="X12" s="541" t="str">
        <f t="shared" ca="1" si="11"/>
        <v/>
      </c>
      <c r="Y12" s="541" t="str">
        <f t="shared" ca="1" si="11"/>
        <v/>
      </c>
      <c r="Z12" s="541" t="str">
        <f t="shared" ca="1" si="11"/>
        <v/>
      </c>
      <c r="AA12" s="541" t="str">
        <f t="shared" ref="AA12:AL12" ca="1" si="12">IF(AND(MONTH(TODAY())=MONTH(AB$2),YEAR(TODAY())=YEAR(AB$2)),"▼","")</f>
        <v/>
      </c>
      <c r="AB12" s="541" t="str">
        <f t="shared" ca="1" si="12"/>
        <v/>
      </c>
      <c r="AC12" s="541" t="str">
        <f t="shared" ca="1" si="12"/>
        <v/>
      </c>
      <c r="AD12" s="541" t="str">
        <f t="shared" ca="1" si="12"/>
        <v/>
      </c>
      <c r="AE12" s="541" t="str">
        <f t="shared" ca="1" si="12"/>
        <v/>
      </c>
      <c r="AF12" s="541" t="str">
        <f t="shared" ca="1" si="12"/>
        <v/>
      </c>
      <c r="AG12" s="541" t="str">
        <f t="shared" ca="1" si="12"/>
        <v/>
      </c>
      <c r="AH12" s="541" t="str">
        <f t="shared" ca="1" si="12"/>
        <v/>
      </c>
      <c r="AI12" s="541" t="str">
        <f t="shared" ca="1" si="12"/>
        <v/>
      </c>
      <c r="AJ12" s="541" t="str">
        <f t="shared" ca="1" si="12"/>
        <v/>
      </c>
      <c r="AK12" s="541" t="str">
        <f t="shared" ca="1" si="12"/>
        <v/>
      </c>
      <c r="AL12" s="541" t="str">
        <f t="shared" ca="1" si="12"/>
        <v/>
      </c>
      <c r="AM12" s="329"/>
      <c r="AN12" s="329"/>
      <c r="AO12" s="329"/>
      <c r="AP12" s="329"/>
      <c r="AQ12" s="329"/>
      <c r="AR12" s="329"/>
      <c r="AS12" s="329"/>
      <c r="AT12" s="329"/>
      <c r="AU12" s="329"/>
      <c r="AV12" s="329"/>
      <c r="AW12" s="329"/>
      <c r="AX12" s="329"/>
      <c r="AY12" s="329"/>
      <c r="AZ12" s="329"/>
      <c r="BA12" s="329"/>
    </row>
    <row r="13" spans="2:53" ht="21.75" customHeight="1" x14ac:dyDescent="0.35">
      <c r="B13" s="514"/>
      <c r="C13" s="514"/>
      <c r="D13" s="514"/>
      <c r="E13" s="514"/>
      <c r="F13" s="514"/>
      <c r="G13" s="514"/>
      <c r="H13" s="514"/>
      <c r="I13" s="514"/>
      <c r="J13" s="514"/>
      <c r="K13" s="514"/>
      <c r="L13" s="514"/>
      <c r="M13" s="514"/>
      <c r="N13" s="514"/>
      <c r="O13" s="514"/>
      <c r="P13" s="514"/>
      <c r="Q13" s="514"/>
      <c r="R13" s="514"/>
      <c r="S13" s="514"/>
      <c r="T13" s="514"/>
      <c r="U13" s="514"/>
      <c r="V13" s="514"/>
      <c r="W13" s="514"/>
      <c r="X13" s="514"/>
      <c r="Y13" s="514"/>
      <c r="Z13" s="514"/>
      <c r="AA13" s="514"/>
      <c r="AB13" s="514"/>
      <c r="AC13" s="514"/>
      <c r="AD13" s="514"/>
      <c r="AE13" s="514"/>
      <c r="AF13" s="514"/>
      <c r="AG13" s="514"/>
      <c r="AH13" s="514"/>
      <c r="AI13" s="514"/>
      <c r="AJ13" s="514"/>
      <c r="AK13" s="514"/>
      <c r="AL13" s="514"/>
      <c r="AM13" s="329"/>
      <c r="AN13" s="329"/>
      <c r="AO13" s="329"/>
      <c r="AP13" s="329"/>
      <c r="AQ13" s="329"/>
      <c r="AR13" s="329"/>
      <c r="AS13" s="329"/>
      <c r="AT13" s="329"/>
      <c r="AU13" s="329"/>
      <c r="AV13" s="329"/>
      <c r="AW13" s="329"/>
      <c r="AX13" s="329"/>
      <c r="AY13" s="329"/>
      <c r="AZ13" s="329"/>
      <c r="BA13" s="329"/>
    </row>
    <row r="14" spans="2:53" ht="21.75" customHeight="1" x14ac:dyDescent="0.35">
      <c r="B14" s="545" t="s">
        <v>1636</v>
      </c>
      <c r="C14" s="514"/>
      <c r="D14" s="514"/>
      <c r="E14" s="514"/>
      <c r="F14" s="514"/>
      <c r="G14" s="514"/>
      <c r="H14" s="514"/>
      <c r="I14" s="514"/>
      <c r="J14" s="514"/>
      <c r="K14" s="514"/>
      <c r="L14" s="514"/>
      <c r="M14" s="514"/>
      <c r="N14" s="514"/>
      <c r="O14" s="514"/>
      <c r="P14" s="514"/>
      <c r="Q14" s="514"/>
      <c r="R14" s="514"/>
      <c r="S14" s="514"/>
      <c r="T14" s="514"/>
      <c r="U14" s="514"/>
      <c r="V14" s="514"/>
      <c r="W14" s="514"/>
      <c r="X14" s="514"/>
      <c r="Y14" s="514"/>
      <c r="Z14" s="514"/>
      <c r="AA14" s="514"/>
      <c r="AB14" s="514"/>
      <c r="AC14" s="514"/>
      <c r="AD14" s="514"/>
      <c r="AE14" s="514"/>
      <c r="AF14" s="514"/>
      <c r="AG14" s="514"/>
      <c r="AH14" s="514"/>
      <c r="AI14" s="514"/>
      <c r="AJ14" s="514"/>
      <c r="AK14" s="514"/>
      <c r="AL14" s="514"/>
      <c r="AM14" s="329"/>
      <c r="AN14" s="329"/>
      <c r="AO14" s="329"/>
      <c r="AP14" s="329"/>
      <c r="AQ14" s="329"/>
      <c r="AR14" s="329"/>
      <c r="AS14" s="329"/>
      <c r="AT14" s="329"/>
      <c r="AU14" s="329"/>
      <c r="AV14" s="329"/>
      <c r="AW14" s="329"/>
      <c r="AX14" s="329"/>
      <c r="AY14" s="329"/>
      <c r="AZ14" s="329"/>
      <c r="BA14" s="329"/>
    </row>
    <row r="15" spans="2:53" ht="21.75" customHeight="1" x14ac:dyDescent="0.35">
      <c r="B15" s="546" t="s">
        <v>1637</v>
      </c>
      <c r="C15" s="547" t="s">
        <v>1638</v>
      </c>
      <c r="D15" s="548" t="s">
        <v>1639</v>
      </c>
      <c r="E15" s="549" t="s">
        <v>1640</v>
      </c>
      <c r="F15" s="550" t="s">
        <v>1641</v>
      </c>
      <c r="G15" s="514"/>
      <c r="H15" s="514"/>
      <c r="I15" s="514"/>
      <c r="J15" s="514"/>
      <c r="K15" s="514"/>
      <c r="L15" s="514"/>
      <c r="M15" s="514"/>
      <c r="N15" s="514"/>
      <c r="O15" s="514"/>
      <c r="P15" s="514"/>
      <c r="Q15" s="514"/>
      <c r="R15" s="514"/>
      <c r="S15" s="514"/>
      <c r="T15" s="514"/>
      <c r="U15" s="514"/>
      <c r="V15" s="514"/>
      <c r="W15" s="514"/>
      <c r="X15" s="514"/>
      <c r="Y15" s="514"/>
      <c r="Z15" s="514"/>
      <c r="AA15" s="514"/>
      <c r="AB15" s="514"/>
      <c r="AC15" s="514"/>
      <c r="AD15" s="514"/>
      <c r="AE15" s="514"/>
      <c r="AF15" s="514"/>
      <c r="AG15" s="514"/>
      <c r="AH15" s="514"/>
      <c r="AI15" s="514"/>
      <c r="AJ15" s="514"/>
      <c r="AK15" s="514"/>
      <c r="AL15" s="514"/>
      <c r="AM15" s="329"/>
      <c r="AN15" s="329"/>
      <c r="AO15" s="329"/>
      <c r="AP15" s="329"/>
      <c r="AQ15" s="329"/>
      <c r="AR15" s="329"/>
      <c r="AS15" s="329"/>
      <c r="AT15" s="329"/>
      <c r="AU15" s="329"/>
      <c r="AV15" s="329"/>
      <c r="AW15" s="329"/>
      <c r="AX15" s="329"/>
      <c r="AY15" s="329"/>
      <c r="AZ15" s="329"/>
      <c r="BA15" s="329"/>
    </row>
    <row r="16" spans="2:53" ht="21.75" customHeight="1" x14ac:dyDescent="0.35">
      <c r="B16" s="514"/>
      <c r="C16" s="514"/>
      <c r="D16" s="514"/>
      <c r="E16" s="514"/>
      <c r="F16" s="514"/>
      <c r="G16" s="514"/>
      <c r="H16" s="514"/>
      <c r="I16" s="514"/>
      <c r="J16" s="514"/>
      <c r="K16" s="514"/>
      <c r="L16" s="514"/>
      <c r="M16" s="514"/>
      <c r="N16" s="514"/>
      <c r="O16" s="514"/>
      <c r="P16" s="514"/>
      <c r="Q16" s="514"/>
      <c r="R16" s="514"/>
      <c r="S16" s="514"/>
      <c r="T16" s="514"/>
      <c r="U16" s="514"/>
      <c r="V16" s="514"/>
      <c r="W16" s="514"/>
      <c r="X16" s="514"/>
      <c r="Y16" s="514"/>
      <c r="Z16" s="514"/>
      <c r="AA16" s="514"/>
      <c r="AB16" s="514"/>
      <c r="AC16" s="514"/>
      <c r="AD16" s="514"/>
      <c r="AE16" s="514"/>
      <c r="AF16" s="514"/>
      <c r="AG16" s="514"/>
      <c r="AH16" s="514"/>
      <c r="AI16" s="514"/>
      <c r="AJ16" s="514"/>
      <c r="AK16" s="514"/>
      <c r="AL16" s="514"/>
      <c r="AM16" s="329"/>
      <c r="AN16" s="329"/>
      <c r="AO16" s="329"/>
      <c r="AP16" s="329"/>
      <c r="AQ16" s="329"/>
      <c r="AR16" s="329"/>
      <c r="AS16" s="329"/>
      <c r="AT16" s="329"/>
      <c r="AU16" s="329"/>
      <c r="AV16" s="329"/>
      <c r="AW16" s="329"/>
      <c r="AX16" s="329"/>
      <c r="AY16" s="329"/>
      <c r="AZ16" s="329"/>
      <c r="BA16" s="329"/>
    </row>
    <row r="17" spans="2:53" ht="21.75" customHeight="1" x14ac:dyDescent="0.35">
      <c r="B17" s="545" t="s">
        <v>1642</v>
      </c>
      <c r="C17" s="514"/>
      <c r="D17" s="514"/>
      <c r="E17" s="514"/>
      <c r="F17" s="514"/>
      <c r="G17" s="514"/>
      <c r="H17" s="514"/>
      <c r="I17" s="514"/>
      <c r="J17" s="514"/>
      <c r="K17" s="514"/>
      <c r="L17" s="514"/>
      <c r="M17" s="514"/>
      <c r="N17" s="514"/>
      <c r="O17" s="514"/>
      <c r="P17" s="514"/>
      <c r="Q17" s="514"/>
      <c r="R17" s="514"/>
      <c r="S17" s="514"/>
      <c r="T17" s="514"/>
      <c r="U17" s="514"/>
      <c r="V17" s="514"/>
      <c r="W17" s="514"/>
      <c r="X17" s="514"/>
      <c r="Y17" s="514"/>
      <c r="Z17" s="514"/>
      <c r="AA17" s="514"/>
      <c r="AB17" s="514"/>
      <c r="AC17" s="514"/>
      <c r="AD17" s="514"/>
      <c r="AE17" s="514"/>
      <c r="AF17" s="514"/>
      <c r="AG17" s="514"/>
      <c r="AH17" s="514"/>
      <c r="AI17" s="514"/>
      <c r="AJ17" s="514"/>
      <c r="AK17" s="514"/>
      <c r="AL17" s="514"/>
      <c r="AM17" s="329"/>
      <c r="AN17" s="329"/>
      <c r="AO17" s="329"/>
      <c r="AP17" s="329"/>
      <c r="AQ17" s="329"/>
      <c r="AR17" s="329"/>
      <c r="AS17" s="329"/>
      <c r="AT17" s="329"/>
      <c r="AU17" s="329"/>
      <c r="AV17" s="329"/>
      <c r="AW17" s="329"/>
      <c r="AX17" s="329"/>
      <c r="AY17" s="329"/>
      <c r="AZ17" s="329"/>
      <c r="BA17" s="329"/>
    </row>
    <row r="18" spans="2:53" ht="21.75" customHeight="1" x14ac:dyDescent="0.35">
      <c r="B18" s="551" t="s">
        <v>1643</v>
      </c>
      <c r="C18" s="552">
        <f ca="1">C6-TODAY()</f>
        <v>56</v>
      </c>
      <c r="D18" s="514"/>
      <c r="E18" s="551" t="s">
        <v>1644</v>
      </c>
      <c r="F18" s="552">
        <f ca="1">C11-TODAY()</f>
        <v>451</v>
      </c>
      <c r="G18" s="514"/>
      <c r="H18" s="514"/>
      <c r="I18" s="514"/>
      <c r="J18" s="514"/>
      <c r="K18" s="514"/>
      <c r="L18" s="514"/>
      <c r="M18" s="514"/>
      <c r="N18" s="514"/>
      <c r="O18" s="514"/>
      <c r="P18" s="514"/>
      <c r="Q18" s="514"/>
      <c r="R18" s="514"/>
      <c r="S18" s="514"/>
      <c r="T18" s="514"/>
      <c r="U18" s="514"/>
      <c r="V18" s="514"/>
      <c r="W18" s="514"/>
      <c r="X18" s="514"/>
      <c r="Y18" s="514"/>
      <c r="Z18" s="514"/>
      <c r="AA18" s="514"/>
      <c r="AB18" s="514"/>
      <c r="AC18" s="514"/>
      <c r="AD18" s="514"/>
      <c r="AE18" s="514"/>
      <c r="AF18" s="514"/>
      <c r="AG18" s="514"/>
      <c r="AH18" s="514"/>
      <c r="AI18" s="514"/>
      <c r="AJ18" s="514"/>
      <c r="AK18" s="514"/>
      <c r="AL18" s="514"/>
      <c r="AM18" s="329"/>
      <c r="AN18" s="329"/>
      <c r="AO18" s="329"/>
      <c r="AP18" s="329"/>
      <c r="AQ18" s="329"/>
      <c r="AR18" s="329"/>
      <c r="AS18" s="329"/>
      <c r="AT18" s="329"/>
      <c r="AU18" s="329"/>
      <c r="AV18" s="329"/>
      <c r="AW18" s="329"/>
      <c r="AX18" s="329"/>
      <c r="AY18" s="329"/>
      <c r="AZ18" s="329"/>
      <c r="BA18" s="329"/>
    </row>
    <row r="19" spans="2:53" ht="21.75" customHeight="1" x14ac:dyDescent="0.35">
      <c r="B19" s="514"/>
      <c r="C19" s="514"/>
      <c r="D19" s="514"/>
      <c r="E19" s="514"/>
      <c r="F19" s="514"/>
      <c r="G19" s="514"/>
      <c r="H19" s="514"/>
      <c r="I19" s="514"/>
      <c r="J19" s="514"/>
      <c r="K19" s="514"/>
      <c r="L19" s="514"/>
      <c r="M19" s="514"/>
      <c r="N19" s="514"/>
      <c r="O19" s="514"/>
      <c r="P19" s="514"/>
      <c r="Q19" s="514"/>
      <c r="R19" s="514"/>
      <c r="S19" s="514"/>
      <c r="T19" s="514"/>
      <c r="U19" s="514"/>
      <c r="V19" s="514"/>
      <c r="W19" s="514"/>
      <c r="X19" s="514"/>
      <c r="Y19" s="514"/>
      <c r="Z19" s="514"/>
      <c r="AA19" s="514"/>
      <c r="AB19" s="514"/>
      <c r="AC19" s="514"/>
      <c r="AD19" s="514"/>
      <c r="AE19" s="514"/>
      <c r="AF19" s="514"/>
      <c r="AG19" s="514"/>
      <c r="AH19" s="514"/>
      <c r="AI19" s="514"/>
      <c r="AJ19" s="514"/>
      <c r="AK19" s="514"/>
      <c r="AL19" s="514"/>
      <c r="AM19" s="329"/>
      <c r="AN19" s="329"/>
      <c r="AO19" s="329"/>
      <c r="AP19" s="329"/>
      <c r="AQ19" s="329"/>
      <c r="AR19" s="329"/>
      <c r="AS19" s="329"/>
      <c r="AT19" s="329"/>
      <c r="AU19" s="329"/>
      <c r="AV19" s="329"/>
      <c r="AW19" s="329"/>
      <c r="AX19" s="329"/>
      <c r="AY19" s="329"/>
      <c r="AZ19" s="329"/>
      <c r="BA19" s="329"/>
    </row>
    <row r="20" spans="2:53" ht="21.75" customHeight="1" x14ac:dyDescent="0.35">
      <c r="B20" s="514"/>
      <c r="C20" s="514"/>
      <c r="D20" s="514"/>
      <c r="E20" s="514"/>
      <c r="F20" s="514"/>
      <c r="G20" s="514"/>
      <c r="H20" s="514"/>
      <c r="I20" s="514"/>
      <c r="J20" s="514"/>
      <c r="K20" s="514"/>
      <c r="L20" s="514"/>
      <c r="M20" s="514"/>
      <c r="N20" s="514"/>
      <c r="O20" s="514"/>
      <c r="P20" s="514"/>
      <c r="Q20" s="514"/>
      <c r="R20" s="514"/>
      <c r="S20" s="514"/>
      <c r="T20" s="514"/>
      <c r="U20" s="514"/>
      <c r="V20" s="514"/>
      <c r="W20" s="514"/>
      <c r="X20" s="514"/>
      <c r="Y20" s="514"/>
      <c r="Z20" s="514"/>
      <c r="AA20" s="514"/>
      <c r="AB20" s="514"/>
      <c r="AC20" s="514"/>
      <c r="AD20" s="514"/>
      <c r="AE20" s="514"/>
      <c r="AF20" s="514"/>
      <c r="AG20" s="514"/>
      <c r="AH20" s="514"/>
      <c r="AI20" s="514"/>
      <c r="AJ20" s="514"/>
      <c r="AK20" s="514"/>
      <c r="AL20" s="514"/>
      <c r="AM20" s="329"/>
      <c r="AN20" s="329"/>
      <c r="AO20" s="329"/>
      <c r="AP20" s="329"/>
      <c r="AQ20" s="329"/>
      <c r="AR20" s="329"/>
      <c r="AS20" s="329"/>
      <c r="AT20" s="329"/>
      <c r="AU20" s="329"/>
      <c r="AV20" s="329"/>
      <c r="AW20" s="329"/>
      <c r="AX20" s="329"/>
      <c r="AY20" s="329"/>
      <c r="AZ20" s="329"/>
      <c r="BA20" s="329"/>
    </row>
    <row r="21" spans="2:53" ht="21.75" customHeight="1" x14ac:dyDescent="0.35">
      <c r="B21" s="329"/>
      <c r="C21" s="329"/>
      <c r="D21" s="329"/>
      <c r="E21" s="329"/>
      <c r="F21" s="329"/>
      <c r="G21" s="329"/>
      <c r="H21" s="329"/>
      <c r="I21" s="329"/>
      <c r="J21" s="329"/>
      <c r="K21" s="329"/>
      <c r="L21" s="329"/>
      <c r="M21" s="329"/>
      <c r="N21" s="329"/>
      <c r="O21" s="329"/>
      <c r="P21" s="329"/>
      <c r="Q21" s="329"/>
      <c r="R21" s="329"/>
      <c r="S21" s="329"/>
      <c r="T21" s="329"/>
      <c r="U21" s="329"/>
      <c r="V21" s="329"/>
      <c r="W21" s="329"/>
      <c r="X21" s="329"/>
      <c r="Y21" s="329"/>
      <c r="Z21" s="329"/>
      <c r="AA21" s="329"/>
      <c r="AB21" s="329"/>
      <c r="AC21" s="329"/>
      <c r="AD21" s="329"/>
      <c r="AE21" s="329"/>
      <c r="AF21" s="329"/>
      <c r="AG21" s="329"/>
      <c r="AH21" s="329"/>
      <c r="AI21" s="329"/>
      <c r="AJ21" s="329"/>
      <c r="AK21" s="329"/>
      <c r="AL21" s="329"/>
      <c r="AM21" s="329"/>
      <c r="AN21" s="329"/>
      <c r="AO21" s="329"/>
      <c r="AP21" s="329"/>
      <c r="AQ21" s="329"/>
      <c r="AR21" s="329"/>
      <c r="AS21" s="329"/>
      <c r="AT21" s="329"/>
      <c r="AU21" s="329"/>
      <c r="AV21" s="329"/>
      <c r="AW21" s="329"/>
      <c r="AX21" s="329"/>
      <c r="AY21" s="329"/>
      <c r="AZ21" s="329"/>
      <c r="BA21" s="329"/>
    </row>
    <row r="22" spans="2:53" ht="21.75" customHeight="1" x14ac:dyDescent="0.35">
      <c r="B22" s="329"/>
      <c r="C22" s="329"/>
      <c r="D22" s="329"/>
      <c r="E22" s="329"/>
      <c r="F22" s="329"/>
      <c r="G22" s="329"/>
      <c r="H22" s="329"/>
      <c r="I22" s="329"/>
      <c r="J22" s="329"/>
      <c r="K22" s="329"/>
      <c r="L22" s="329"/>
      <c r="M22" s="329"/>
      <c r="N22" s="329"/>
      <c r="O22" s="329"/>
      <c r="P22" s="329"/>
      <c r="Q22" s="329"/>
      <c r="R22" s="329"/>
      <c r="S22" s="329"/>
      <c r="T22" s="329"/>
      <c r="U22" s="329"/>
      <c r="V22" s="329"/>
      <c r="W22" s="329"/>
      <c r="X22" s="329"/>
      <c r="Y22" s="329"/>
      <c r="Z22" s="329"/>
      <c r="AA22" s="329"/>
      <c r="AB22" s="329"/>
      <c r="AC22" s="329"/>
      <c r="AD22" s="329"/>
      <c r="AE22" s="329"/>
      <c r="AF22" s="329"/>
      <c r="AG22" s="329"/>
      <c r="AH22" s="329"/>
      <c r="AI22" s="329"/>
      <c r="AJ22" s="329"/>
      <c r="AK22" s="329"/>
      <c r="AL22" s="329"/>
      <c r="AM22" s="329"/>
      <c r="AN22" s="329"/>
      <c r="AO22" s="329"/>
      <c r="AP22" s="329"/>
      <c r="AQ22" s="329"/>
      <c r="AR22" s="329"/>
      <c r="AS22" s="329"/>
      <c r="AT22" s="329"/>
      <c r="AU22" s="329"/>
      <c r="AV22" s="329"/>
      <c r="AW22" s="329"/>
      <c r="AX22" s="329"/>
      <c r="AY22" s="329"/>
      <c r="AZ22" s="329"/>
      <c r="BA22" s="329"/>
    </row>
    <row r="23" spans="2:53" ht="21.75" customHeight="1" x14ac:dyDescent="0.35">
      <c r="B23" s="329"/>
      <c r="C23" s="329"/>
      <c r="D23" s="329"/>
      <c r="E23" s="329"/>
      <c r="F23" s="329"/>
      <c r="G23" s="329"/>
      <c r="H23" s="329"/>
      <c r="I23" s="329"/>
      <c r="J23" s="329"/>
      <c r="K23" s="329"/>
      <c r="L23" s="329"/>
      <c r="M23" s="329"/>
      <c r="N23" s="329"/>
      <c r="O23" s="329"/>
      <c r="P23" s="329"/>
      <c r="Q23" s="329"/>
      <c r="R23" s="329"/>
      <c r="S23" s="329"/>
      <c r="T23" s="329"/>
      <c r="U23" s="329"/>
      <c r="V23" s="329"/>
      <c r="W23" s="329"/>
      <c r="X23" s="329"/>
      <c r="Y23" s="329"/>
      <c r="Z23" s="329"/>
      <c r="AA23" s="329"/>
      <c r="AB23" s="329"/>
      <c r="AC23" s="329"/>
      <c r="AD23" s="329"/>
      <c r="AE23" s="329"/>
      <c r="AF23" s="329"/>
      <c r="AG23" s="329"/>
      <c r="AH23" s="329"/>
      <c r="AI23" s="329"/>
      <c r="AJ23" s="329"/>
      <c r="AK23" s="329"/>
      <c r="AL23" s="329"/>
      <c r="AM23" s="329"/>
      <c r="AN23" s="329"/>
      <c r="AO23" s="329"/>
      <c r="AP23" s="329"/>
      <c r="AQ23" s="329"/>
      <c r="AR23" s="329"/>
      <c r="AS23" s="329"/>
      <c r="AT23" s="329"/>
      <c r="AU23" s="329"/>
      <c r="AV23" s="329"/>
      <c r="AW23" s="329"/>
      <c r="AX23" s="329"/>
      <c r="AY23" s="329"/>
      <c r="AZ23" s="329"/>
      <c r="BA23" s="329"/>
    </row>
    <row r="24" spans="2:53" ht="21.75" customHeight="1" x14ac:dyDescent="0.35">
      <c r="B24" s="329"/>
      <c r="C24" s="329"/>
      <c r="D24" s="329"/>
      <c r="E24" s="329"/>
      <c r="F24" s="329"/>
      <c r="G24" s="329"/>
      <c r="H24" s="329"/>
      <c r="I24" s="329"/>
      <c r="J24" s="329"/>
      <c r="K24" s="329"/>
      <c r="L24" s="329"/>
      <c r="M24" s="329"/>
      <c r="N24" s="329"/>
      <c r="O24" s="329"/>
      <c r="P24" s="329"/>
      <c r="Q24" s="329"/>
      <c r="R24" s="329"/>
      <c r="S24" s="329"/>
      <c r="T24" s="329"/>
      <c r="U24" s="329"/>
      <c r="V24" s="329"/>
      <c r="W24" s="329"/>
      <c r="X24" s="329"/>
      <c r="Y24" s="329"/>
      <c r="Z24" s="329"/>
      <c r="AA24" s="329"/>
      <c r="AB24" s="329"/>
      <c r="AC24" s="329"/>
      <c r="AD24" s="329"/>
      <c r="AE24" s="329"/>
      <c r="AF24" s="329"/>
      <c r="AG24" s="329"/>
      <c r="AH24" s="329"/>
      <c r="AI24" s="329"/>
      <c r="AJ24" s="329"/>
      <c r="AK24" s="329"/>
      <c r="AL24" s="329"/>
      <c r="AM24" s="329"/>
      <c r="AN24" s="329"/>
      <c r="AO24" s="329"/>
      <c r="AP24" s="329"/>
      <c r="AQ24" s="329"/>
      <c r="AR24" s="329"/>
      <c r="AS24" s="329"/>
      <c r="AT24" s="329"/>
      <c r="AU24" s="329"/>
      <c r="AV24" s="329"/>
      <c r="AW24" s="329"/>
      <c r="AX24" s="329"/>
      <c r="AY24" s="329"/>
      <c r="AZ24" s="329"/>
      <c r="BA24" s="329"/>
    </row>
    <row r="25" spans="2:53" ht="21.75" customHeight="1" x14ac:dyDescent="0.35">
      <c r="B25" s="329"/>
      <c r="C25" s="329"/>
      <c r="D25" s="329"/>
      <c r="E25" s="329"/>
      <c r="F25" s="329"/>
      <c r="G25" s="329"/>
      <c r="H25" s="329"/>
      <c r="I25" s="329"/>
      <c r="J25" s="329"/>
      <c r="K25" s="329"/>
      <c r="L25" s="329"/>
      <c r="M25" s="329"/>
      <c r="N25" s="329"/>
      <c r="O25" s="329"/>
      <c r="P25" s="329"/>
      <c r="Q25" s="329"/>
      <c r="R25" s="329"/>
      <c r="S25" s="329"/>
      <c r="T25" s="329"/>
      <c r="U25" s="329"/>
      <c r="V25" s="329"/>
      <c r="W25" s="329"/>
      <c r="X25" s="329"/>
      <c r="Y25" s="329"/>
      <c r="Z25" s="329"/>
      <c r="AA25" s="329"/>
      <c r="AB25" s="329"/>
      <c r="AC25" s="329"/>
      <c r="AD25" s="329"/>
      <c r="AE25" s="329"/>
      <c r="AF25" s="329"/>
      <c r="AG25" s="329"/>
      <c r="AH25" s="329"/>
      <c r="AI25" s="329"/>
      <c r="AJ25" s="329"/>
      <c r="AK25" s="329"/>
      <c r="AL25" s="329"/>
      <c r="AM25" s="329"/>
      <c r="AN25" s="329"/>
      <c r="AO25" s="329"/>
      <c r="AP25" s="329"/>
      <c r="AQ25" s="329"/>
      <c r="AR25" s="329"/>
      <c r="AS25" s="329"/>
      <c r="AT25" s="329"/>
      <c r="AU25" s="329"/>
      <c r="AV25" s="329"/>
      <c r="AW25" s="329"/>
      <c r="AX25" s="329"/>
      <c r="AY25" s="329"/>
      <c r="AZ25" s="329"/>
      <c r="BA25" s="329"/>
    </row>
    <row r="26" spans="2:53" x14ac:dyDescent="0.35">
      <c r="B26" s="329"/>
      <c r="C26" s="329"/>
      <c r="D26" s="329"/>
      <c r="E26" s="329"/>
      <c r="F26" s="329"/>
      <c r="G26" s="329"/>
      <c r="H26" s="329"/>
      <c r="I26" s="329"/>
      <c r="J26" s="329"/>
      <c r="K26" s="329"/>
      <c r="L26" s="329"/>
      <c r="M26" s="329"/>
      <c r="N26" s="329"/>
      <c r="O26" s="329"/>
      <c r="P26" s="329"/>
      <c r="Q26" s="329"/>
      <c r="R26" s="329"/>
      <c r="S26" s="329"/>
      <c r="T26" s="329"/>
      <c r="U26" s="329"/>
      <c r="V26" s="329"/>
      <c r="W26" s="329"/>
      <c r="X26" s="329"/>
      <c r="Y26" s="329"/>
      <c r="Z26" s="329"/>
      <c r="AA26" s="329"/>
      <c r="AB26" s="329"/>
      <c r="AC26" s="329"/>
      <c r="AD26" s="329"/>
      <c r="AE26" s="329"/>
      <c r="AF26" s="329"/>
      <c r="AG26" s="329"/>
      <c r="AH26" s="329"/>
      <c r="AI26" s="329"/>
      <c r="AJ26" s="329"/>
      <c r="AK26" s="329"/>
      <c r="AL26" s="329"/>
      <c r="AM26" s="329"/>
      <c r="AN26" s="329"/>
      <c r="AO26" s="329"/>
      <c r="AP26" s="329"/>
      <c r="AQ26" s="329"/>
      <c r="AR26" s="329"/>
      <c r="AS26" s="329"/>
      <c r="AT26" s="329"/>
      <c r="AU26" s="329"/>
      <c r="AV26" s="329"/>
      <c r="AW26" s="329"/>
      <c r="AX26" s="329"/>
      <c r="AY26" s="329"/>
      <c r="AZ26" s="329"/>
      <c r="BA26" s="329"/>
    </row>
    <row r="27" spans="2:53" x14ac:dyDescent="0.35">
      <c r="B27" s="329"/>
      <c r="C27" s="329"/>
      <c r="D27" s="329"/>
      <c r="E27" s="329"/>
      <c r="F27" s="329"/>
      <c r="G27" s="329"/>
      <c r="H27" s="329"/>
      <c r="I27" s="329"/>
      <c r="J27" s="329"/>
      <c r="K27" s="329"/>
      <c r="L27" s="329"/>
      <c r="M27" s="329"/>
      <c r="N27" s="329"/>
      <c r="O27" s="329"/>
      <c r="P27" s="329"/>
      <c r="Q27" s="329"/>
      <c r="R27" s="329"/>
      <c r="S27" s="329"/>
      <c r="T27" s="329"/>
      <c r="U27" s="329"/>
      <c r="V27" s="329"/>
      <c r="W27" s="329"/>
      <c r="X27" s="329"/>
      <c r="Y27" s="329"/>
      <c r="Z27" s="329"/>
      <c r="AA27" s="329"/>
      <c r="AB27" s="329"/>
      <c r="AC27" s="329"/>
      <c r="AD27" s="329"/>
      <c r="AE27" s="329"/>
      <c r="AF27" s="329"/>
      <c r="AG27" s="329"/>
      <c r="AH27" s="329"/>
      <c r="AI27" s="329"/>
      <c r="AJ27" s="329"/>
      <c r="AK27" s="329"/>
      <c r="AL27" s="329"/>
      <c r="AM27" s="329"/>
      <c r="AN27" s="329"/>
      <c r="AO27" s="329"/>
      <c r="AP27" s="329"/>
      <c r="AQ27" s="329"/>
      <c r="AR27" s="329"/>
      <c r="AS27" s="329"/>
      <c r="AT27" s="329"/>
      <c r="AU27" s="329"/>
      <c r="AV27" s="329"/>
      <c r="AW27" s="329"/>
      <c r="AX27" s="329"/>
      <c r="AY27" s="329"/>
      <c r="AZ27" s="329"/>
      <c r="BA27" s="329"/>
    </row>
    <row r="28" spans="2:53" x14ac:dyDescent="0.35">
      <c r="B28" s="329"/>
      <c r="C28" s="329"/>
      <c r="D28" s="329"/>
      <c r="E28" s="329"/>
      <c r="F28" s="329"/>
      <c r="G28" s="329"/>
      <c r="H28" s="329"/>
      <c r="I28" s="329"/>
      <c r="J28" s="329"/>
      <c r="K28" s="329"/>
      <c r="L28" s="329"/>
      <c r="M28" s="329"/>
      <c r="N28" s="329"/>
      <c r="O28" s="329"/>
      <c r="P28" s="329"/>
      <c r="Q28" s="329"/>
      <c r="R28" s="329"/>
      <c r="S28" s="329"/>
      <c r="T28" s="329"/>
      <c r="U28" s="329"/>
      <c r="V28" s="329"/>
      <c r="W28" s="329"/>
      <c r="X28" s="329"/>
      <c r="Y28" s="329"/>
      <c r="Z28" s="329"/>
      <c r="AA28" s="329"/>
      <c r="AB28" s="329"/>
      <c r="AC28" s="329"/>
      <c r="AD28" s="329"/>
      <c r="AE28" s="329"/>
      <c r="AF28" s="329"/>
      <c r="AG28" s="329"/>
      <c r="AH28" s="329"/>
      <c r="AI28" s="329"/>
      <c r="AJ28" s="329"/>
      <c r="AK28" s="329"/>
      <c r="AL28" s="329"/>
      <c r="AM28" s="329"/>
      <c r="AN28" s="329"/>
      <c r="AO28" s="329"/>
      <c r="AP28" s="329"/>
      <c r="AQ28" s="329"/>
      <c r="AR28" s="329"/>
      <c r="AS28" s="329"/>
      <c r="AT28" s="329"/>
      <c r="AU28" s="329"/>
      <c r="AV28" s="329"/>
      <c r="AW28" s="329"/>
      <c r="AX28" s="329"/>
      <c r="AY28" s="329"/>
      <c r="AZ28" s="329"/>
      <c r="BA28" s="329"/>
    </row>
    <row r="29" spans="2:53" x14ac:dyDescent="0.35">
      <c r="B29" s="329"/>
      <c r="C29" s="329"/>
      <c r="D29" s="329"/>
      <c r="E29" s="329"/>
      <c r="F29" s="329"/>
      <c r="G29" s="329"/>
      <c r="H29" s="329"/>
      <c r="I29" s="329"/>
      <c r="J29" s="329"/>
      <c r="K29" s="329"/>
      <c r="L29" s="329"/>
      <c r="M29" s="329"/>
      <c r="N29" s="329"/>
      <c r="O29" s="329"/>
      <c r="P29" s="329"/>
      <c r="Q29" s="329"/>
      <c r="R29" s="329"/>
      <c r="S29" s="329"/>
      <c r="T29" s="329"/>
      <c r="U29" s="329"/>
      <c r="V29" s="329"/>
      <c r="W29" s="329"/>
      <c r="X29" s="329"/>
      <c r="Y29" s="329"/>
      <c r="Z29" s="329"/>
      <c r="AA29" s="329"/>
      <c r="AB29" s="329"/>
      <c r="AC29" s="329"/>
      <c r="AD29" s="329"/>
      <c r="AE29" s="329"/>
      <c r="AF29" s="329"/>
      <c r="AG29" s="329"/>
      <c r="AH29" s="329"/>
      <c r="AI29" s="329"/>
      <c r="AJ29" s="329"/>
      <c r="AK29" s="329"/>
      <c r="AL29" s="329"/>
      <c r="AM29" s="329"/>
      <c r="AN29" s="329"/>
      <c r="AO29" s="329"/>
      <c r="AP29" s="329"/>
      <c r="AQ29" s="329"/>
      <c r="AR29" s="329"/>
      <c r="AS29" s="329"/>
      <c r="AT29" s="329"/>
      <c r="AU29" s="329"/>
      <c r="AV29" s="329"/>
      <c r="AW29" s="329"/>
      <c r="AX29" s="329"/>
      <c r="AY29" s="329"/>
      <c r="AZ29" s="329"/>
      <c r="BA29" s="329"/>
    </row>
    <row r="30" spans="2:53" x14ac:dyDescent="0.35">
      <c r="B30" s="329"/>
      <c r="C30" s="329"/>
      <c r="D30" s="329"/>
      <c r="E30" s="329"/>
      <c r="F30" s="329"/>
      <c r="G30" s="329"/>
      <c r="H30" s="329"/>
      <c r="I30" s="329"/>
      <c r="J30" s="329"/>
      <c r="K30" s="329"/>
      <c r="L30" s="329"/>
      <c r="M30" s="329"/>
      <c r="N30" s="329"/>
      <c r="O30" s="329"/>
      <c r="P30" s="329"/>
      <c r="Q30" s="329"/>
      <c r="R30" s="329"/>
      <c r="S30" s="329"/>
      <c r="T30" s="329"/>
      <c r="U30" s="329"/>
      <c r="V30" s="329"/>
      <c r="W30" s="329"/>
      <c r="X30" s="329"/>
      <c r="Y30" s="329"/>
      <c r="Z30" s="329"/>
      <c r="AA30" s="329"/>
      <c r="AB30" s="329"/>
      <c r="AC30" s="329"/>
      <c r="AD30" s="329"/>
      <c r="AE30" s="329"/>
      <c r="AF30" s="329"/>
      <c r="AG30" s="329"/>
      <c r="AH30" s="329"/>
      <c r="AI30" s="329"/>
      <c r="AJ30" s="329"/>
      <c r="AK30" s="329"/>
      <c r="AL30" s="329"/>
      <c r="AM30" s="329"/>
      <c r="AN30" s="329"/>
      <c r="AO30" s="329"/>
      <c r="AP30" s="329"/>
      <c r="AQ30" s="329"/>
      <c r="AR30" s="329"/>
      <c r="AS30" s="329"/>
      <c r="AT30" s="329"/>
      <c r="AU30" s="329"/>
      <c r="AV30" s="329"/>
      <c r="AW30" s="329"/>
      <c r="AX30" s="329"/>
      <c r="AY30" s="329"/>
      <c r="AZ30" s="329"/>
      <c r="BA30" s="329"/>
    </row>
    <row r="31" spans="2:53" x14ac:dyDescent="0.35">
      <c r="B31" s="329"/>
      <c r="C31" s="329"/>
      <c r="D31" s="329"/>
      <c r="E31" s="329"/>
      <c r="F31" s="329"/>
      <c r="G31" s="329"/>
      <c r="H31" s="329"/>
      <c r="I31" s="329"/>
      <c r="J31" s="329"/>
      <c r="K31" s="329"/>
      <c r="L31" s="329"/>
      <c r="M31" s="329"/>
      <c r="N31" s="329"/>
      <c r="O31" s="329"/>
      <c r="P31" s="329"/>
      <c r="Q31" s="329"/>
      <c r="R31" s="329"/>
      <c r="S31" s="329"/>
      <c r="T31" s="329"/>
      <c r="U31" s="329"/>
      <c r="V31" s="329"/>
      <c r="W31" s="329"/>
      <c r="X31" s="329"/>
      <c r="Y31" s="329"/>
      <c r="Z31" s="329"/>
      <c r="AA31" s="329"/>
      <c r="AB31" s="329"/>
      <c r="AC31" s="329"/>
      <c r="AD31" s="329"/>
      <c r="AE31" s="329"/>
      <c r="AF31" s="329"/>
      <c r="AG31" s="329"/>
      <c r="AH31" s="329"/>
      <c r="AI31" s="329"/>
      <c r="AJ31" s="329"/>
      <c r="AK31" s="329"/>
      <c r="AL31" s="329"/>
      <c r="AM31" s="329"/>
      <c r="AN31" s="329"/>
      <c r="AO31" s="329"/>
      <c r="AP31" s="329"/>
      <c r="AQ31" s="329"/>
      <c r="AR31" s="329"/>
      <c r="AS31" s="329"/>
      <c r="AT31" s="329"/>
      <c r="AU31" s="329"/>
      <c r="AV31" s="329"/>
      <c r="AW31" s="329"/>
      <c r="AX31" s="329"/>
      <c r="AY31" s="329"/>
      <c r="AZ31" s="329"/>
      <c r="BA31" s="329"/>
    </row>
    <row r="32" spans="2:53" x14ac:dyDescent="0.35">
      <c r="B32" s="329"/>
      <c r="C32" s="329"/>
      <c r="D32" s="329"/>
      <c r="E32" s="329"/>
      <c r="F32" s="329"/>
      <c r="G32" s="329"/>
      <c r="H32" s="329"/>
      <c r="I32" s="329"/>
      <c r="J32" s="329"/>
      <c r="K32" s="329"/>
      <c r="L32" s="329"/>
      <c r="M32" s="329"/>
      <c r="N32" s="329"/>
      <c r="O32" s="329"/>
      <c r="P32" s="329"/>
      <c r="Q32" s="329"/>
      <c r="R32" s="329"/>
      <c r="S32" s="329"/>
      <c r="T32" s="329"/>
      <c r="U32" s="329"/>
      <c r="V32" s="329"/>
      <c r="W32" s="329"/>
      <c r="X32" s="329"/>
      <c r="Y32" s="329"/>
      <c r="Z32" s="329"/>
      <c r="AA32" s="329"/>
      <c r="AB32" s="329"/>
      <c r="AC32" s="329"/>
      <c r="AD32" s="329"/>
      <c r="AE32" s="329"/>
      <c r="AF32" s="329"/>
      <c r="AG32" s="329"/>
      <c r="AH32" s="329"/>
      <c r="AI32" s="329"/>
      <c r="AJ32" s="329"/>
      <c r="AK32" s="329"/>
      <c r="AL32" s="329"/>
      <c r="AM32" s="329"/>
      <c r="AN32" s="329"/>
      <c r="AO32" s="329"/>
      <c r="AP32" s="329"/>
      <c r="AQ32" s="329"/>
      <c r="AR32" s="329"/>
      <c r="AS32" s="329"/>
      <c r="AT32" s="329"/>
      <c r="AU32" s="329"/>
      <c r="AV32" s="329"/>
      <c r="AW32" s="329"/>
      <c r="AX32" s="329"/>
      <c r="AY32" s="329"/>
      <c r="AZ32" s="329"/>
      <c r="BA32" s="329"/>
    </row>
    <row r="33" spans="2:53" ht="15" customHeight="1" x14ac:dyDescent="0.35">
      <c r="B33" s="329"/>
      <c r="C33" s="329"/>
      <c r="D33" s="329"/>
      <c r="E33" s="329"/>
      <c r="F33" s="329"/>
      <c r="G33" s="329"/>
      <c r="H33" s="329"/>
      <c r="I33" s="329"/>
      <c r="J33" s="329"/>
      <c r="K33" s="329"/>
      <c r="L33" s="329"/>
      <c r="M33" s="329"/>
      <c r="N33" s="329"/>
      <c r="O33" s="329"/>
      <c r="P33" s="329"/>
      <c r="Q33" s="329"/>
      <c r="R33" s="329"/>
      <c r="S33" s="329"/>
      <c r="T33" s="329"/>
      <c r="U33" s="329"/>
      <c r="V33" s="329"/>
      <c r="W33" s="329"/>
      <c r="X33" s="329"/>
      <c r="Y33" s="329"/>
      <c r="Z33" s="329"/>
      <c r="AA33" s="329"/>
      <c r="AB33" s="329"/>
      <c r="AC33" s="329"/>
      <c r="AD33" s="329"/>
      <c r="AE33" s="329"/>
      <c r="AF33" s="329"/>
      <c r="AG33" s="329"/>
      <c r="AH33" s="329"/>
      <c r="AI33" s="329"/>
      <c r="AJ33" s="329"/>
      <c r="AK33" s="329"/>
      <c r="AL33" s="329"/>
      <c r="AM33" s="329"/>
      <c r="AN33" s="329"/>
      <c r="AO33" s="329"/>
      <c r="AP33" s="329"/>
      <c r="AQ33" s="329"/>
      <c r="AR33" s="329"/>
      <c r="AS33" s="329"/>
      <c r="AT33" s="329"/>
      <c r="AU33" s="329"/>
      <c r="AV33" s="329"/>
      <c r="AW33" s="329"/>
      <c r="AX33" s="329"/>
      <c r="AY33" s="329"/>
      <c r="AZ33" s="329"/>
      <c r="BA33" s="329"/>
    </row>
    <row r="34" spans="2:53" ht="15" customHeight="1" x14ac:dyDescent="0.35">
      <c r="B34" s="329"/>
      <c r="C34" s="329"/>
      <c r="D34" s="329"/>
      <c r="E34" s="329"/>
      <c r="F34" s="329"/>
      <c r="G34" s="329"/>
      <c r="H34" s="329"/>
      <c r="I34" s="329"/>
      <c r="J34" s="329"/>
      <c r="K34" s="329"/>
      <c r="L34" s="329"/>
      <c r="M34" s="329"/>
      <c r="N34" s="329"/>
      <c r="O34" s="329"/>
      <c r="P34" s="329"/>
      <c r="Q34" s="329"/>
      <c r="R34" s="329"/>
      <c r="S34" s="329"/>
      <c r="T34" s="329"/>
      <c r="U34" s="329"/>
      <c r="V34" s="329"/>
      <c r="W34" s="329"/>
      <c r="X34" s="329"/>
      <c r="Y34" s="329"/>
      <c r="Z34" s="329"/>
      <c r="AA34" s="329"/>
      <c r="AB34" s="329"/>
      <c r="AC34" s="329"/>
      <c r="AD34" s="329"/>
      <c r="AE34" s="329"/>
      <c r="AF34" s="329"/>
      <c r="AG34" s="329"/>
      <c r="AH34" s="329"/>
      <c r="AI34" s="329"/>
      <c r="AJ34" s="329"/>
      <c r="AK34" s="329"/>
      <c r="AL34" s="329"/>
      <c r="AM34" s="329"/>
      <c r="AN34" s="329"/>
      <c r="AO34" s="329"/>
      <c r="AP34" s="329"/>
      <c r="AQ34" s="329"/>
      <c r="AR34" s="329"/>
      <c r="AS34" s="329"/>
      <c r="AT34" s="329"/>
      <c r="AU34" s="329"/>
      <c r="AV34" s="329"/>
      <c r="AW34" s="329"/>
      <c r="AX34" s="329"/>
      <c r="AY34" s="329"/>
      <c r="AZ34" s="329"/>
      <c r="BA34" s="329"/>
    </row>
    <row r="35" spans="2:53" ht="15" customHeight="1" x14ac:dyDescent="0.35">
      <c r="B35" s="329"/>
      <c r="C35" s="329"/>
      <c r="D35" s="329"/>
      <c r="E35" s="329"/>
      <c r="F35" s="329"/>
      <c r="G35" s="329"/>
      <c r="H35" s="329"/>
      <c r="I35" s="329"/>
      <c r="J35" s="329"/>
      <c r="K35" s="329"/>
      <c r="L35" s="329"/>
      <c r="M35" s="329"/>
      <c r="N35" s="329"/>
      <c r="O35" s="329"/>
      <c r="P35" s="329"/>
      <c r="Q35" s="329"/>
      <c r="R35" s="329"/>
      <c r="S35" s="329"/>
      <c r="T35" s="329"/>
      <c r="U35" s="329"/>
      <c r="V35" s="329"/>
      <c r="W35" s="329"/>
      <c r="X35" s="329"/>
      <c r="Y35" s="329"/>
      <c r="Z35" s="329"/>
      <c r="AA35" s="329"/>
      <c r="AB35" s="329"/>
      <c r="AC35" s="329"/>
      <c r="AD35" s="329"/>
      <c r="AE35" s="329"/>
      <c r="AF35" s="329"/>
      <c r="AG35" s="329"/>
      <c r="AH35" s="329"/>
      <c r="AI35" s="329"/>
      <c r="AJ35" s="329"/>
      <c r="AK35" s="329"/>
      <c r="AL35" s="329"/>
      <c r="AM35" s="329"/>
      <c r="AN35" s="329"/>
      <c r="AO35" s="329"/>
      <c r="AP35" s="329"/>
      <c r="AQ35" s="329"/>
      <c r="AR35" s="329"/>
      <c r="AS35" s="329"/>
      <c r="AT35" s="329"/>
      <c r="AU35" s="329"/>
      <c r="AV35" s="329"/>
      <c r="AW35" s="329"/>
      <c r="AX35" s="329"/>
      <c r="AY35" s="329"/>
      <c r="AZ35" s="329"/>
      <c r="BA35" s="329"/>
    </row>
    <row r="36" spans="2:53" ht="15" customHeight="1" x14ac:dyDescent="0.35">
      <c r="B36" s="329"/>
      <c r="C36" s="329"/>
      <c r="D36" s="329"/>
      <c r="E36" s="329"/>
      <c r="F36" s="329"/>
      <c r="G36" s="329"/>
      <c r="H36" s="329"/>
      <c r="I36" s="329"/>
      <c r="J36" s="329"/>
      <c r="K36" s="329"/>
      <c r="L36" s="329"/>
      <c r="M36" s="329"/>
      <c r="N36" s="329"/>
      <c r="O36" s="329"/>
      <c r="P36" s="329"/>
      <c r="Q36" s="329"/>
      <c r="R36" s="329"/>
      <c r="S36" s="329"/>
      <c r="T36" s="329"/>
      <c r="U36" s="329"/>
      <c r="V36" s="329"/>
      <c r="W36" s="329"/>
      <c r="X36" s="329"/>
      <c r="Y36" s="329"/>
      <c r="Z36" s="329"/>
      <c r="AA36" s="329"/>
      <c r="AB36" s="329"/>
      <c r="AC36" s="329"/>
      <c r="AD36" s="329"/>
      <c r="AE36" s="329"/>
      <c r="AF36" s="329"/>
      <c r="AG36" s="329"/>
      <c r="AH36" s="329"/>
      <c r="AI36" s="329"/>
      <c r="AJ36" s="329"/>
      <c r="AK36" s="329"/>
      <c r="AL36" s="329"/>
      <c r="AM36" s="329"/>
      <c r="AN36" s="329"/>
      <c r="AO36" s="329"/>
      <c r="AP36" s="329"/>
      <c r="AQ36" s="329"/>
      <c r="AR36" s="329"/>
      <c r="AS36" s="329"/>
      <c r="AT36" s="329"/>
      <c r="AU36" s="329"/>
      <c r="AV36" s="329"/>
      <c r="AW36" s="329"/>
      <c r="AX36" s="329"/>
      <c r="AY36" s="329"/>
      <c r="AZ36" s="329"/>
      <c r="BA36" s="329"/>
    </row>
    <row r="37" spans="2:53" ht="15" customHeight="1" x14ac:dyDescent="0.35">
      <c r="B37" s="329"/>
      <c r="C37" s="329"/>
      <c r="D37" s="329"/>
      <c r="E37" s="329"/>
      <c r="F37" s="329"/>
      <c r="G37" s="329"/>
      <c r="H37" s="329"/>
      <c r="I37" s="329"/>
      <c r="J37" s="329"/>
      <c r="K37" s="329"/>
      <c r="L37" s="329"/>
      <c r="M37" s="329"/>
      <c r="N37" s="329"/>
      <c r="O37" s="329"/>
      <c r="P37" s="329"/>
      <c r="Q37" s="329"/>
      <c r="R37" s="329"/>
      <c r="S37" s="329"/>
      <c r="T37" s="329"/>
      <c r="U37" s="329"/>
      <c r="V37" s="329"/>
      <c r="W37" s="329"/>
      <c r="X37" s="329"/>
      <c r="Y37" s="329"/>
      <c r="Z37" s="329"/>
      <c r="AA37" s="329"/>
      <c r="AB37" s="329"/>
      <c r="AC37" s="329"/>
      <c r="AD37" s="329"/>
      <c r="AE37" s="329"/>
      <c r="AF37" s="329"/>
      <c r="AG37" s="329"/>
      <c r="AH37" s="329"/>
      <c r="AI37" s="329"/>
      <c r="AJ37" s="329"/>
      <c r="AK37" s="329"/>
      <c r="AL37" s="329"/>
      <c r="AM37" s="329"/>
      <c r="AN37" s="329"/>
      <c r="AO37" s="329"/>
      <c r="AP37" s="329"/>
      <c r="AQ37" s="329"/>
      <c r="AR37" s="329"/>
      <c r="AS37" s="329"/>
      <c r="AT37" s="329"/>
      <c r="AU37" s="329"/>
      <c r="AV37" s="329"/>
      <c r="AW37" s="329"/>
      <c r="AX37" s="329"/>
      <c r="AY37" s="329"/>
      <c r="AZ37" s="329"/>
      <c r="BA37" s="329"/>
    </row>
    <row r="38" spans="2:53" ht="15" customHeight="1" x14ac:dyDescent="0.35">
      <c r="B38" s="329"/>
      <c r="C38" s="329"/>
      <c r="D38" s="329"/>
      <c r="E38" s="329"/>
      <c r="F38" s="329"/>
      <c r="G38" s="329"/>
      <c r="H38" s="329"/>
      <c r="I38" s="329"/>
      <c r="J38" s="329"/>
      <c r="K38" s="329"/>
      <c r="L38" s="329"/>
      <c r="M38" s="329"/>
      <c r="N38" s="329"/>
      <c r="O38" s="329"/>
      <c r="P38" s="329"/>
      <c r="Q38" s="329"/>
      <c r="R38" s="329"/>
      <c r="S38" s="329"/>
      <c r="T38" s="329"/>
      <c r="U38" s="329"/>
      <c r="V38" s="329"/>
      <c r="W38" s="329"/>
      <c r="X38" s="329"/>
      <c r="Y38" s="329"/>
      <c r="Z38" s="329"/>
      <c r="AA38" s="329"/>
      <c r="AB38" s="329"/>
      <c r="AC38" s="329"/>
      <c r="AD38" s="329"/>
      <c r="AE38" s="329"/>
      <c r="AF38" s="329"/>
      <c r="AG38" s="329"/>
      <c r="AH38" s="329"/>
      <c r="AI38" s="329"/>
      <c r="AJ38" s="329"/>
      <c r="AK38" s="329"/>
      <c r="AL38" s="329"/>
      <c r="AM38" s="329"/>
      <c r="AN38" s="329"/>
      <c r="AO38" s="329"/>
      <c r="AP38" s="329"/>
      <c r="AQ38" s="329"/>
      <c r="AR38" s="329"/>
      <c r="AS38" s="329"/>
      <c r="AT38" s="329"/>
      <c r="AU38" s="329"/>
      <c r="AV38" s="329"/>
      <c r="AW38" s="329"/>
      <c r="AX38" s="329"/>
      <c r="AY38" s="329"/>
      <c r="AZ38" s="329"/>
      <c r="BA38" s="329"/>
    </row>
    <row r="39" spans="2:53" ht="15" customHeight="1" x14ac:dyDescent="0.35">
      <c r="B39" s="329"/>
      <c r="C39" s="329"/>
      <c r="D39" s="329"/>
      <c r="E39" s="329"/>
      <c r="F39" s="329"/>
      <c r="G39" s="329"/>
      <c r="H39" s="329"/>
      <c r="I39" s="329"/>
      <c r="J39" s="329"/>
      <c r="K39" s="329"/>
      <c r="L39" s="329"/>
      <c r="M39" s="329"/>
      <c r="N39" s="329"/>
      <c r="O39" s="329"/>
      <c r="P39" s="329"/>
      <c r="Q39" s="329"/>
      <c r="R39" s="329"/>
      <c r="S39" s="329"/>
      <c r="T39" s="329"/>
      <c r="U39" s="329"/>
      <c r="V39" s="329"/>
      <c r="W39" s="329"/>
      <c r="X39" s="329"/>
      <c r="Y39" s="329"/>
      <c r="Z39" s="329"/>
      <c r="AA39" s="329"/>
      <c r="AB39" s="329"/>
      <c r="AC39" s="329"/>
      <c r="AD39" s="329"/>
      <c r="AE39" s="329"/>
      <c r="AF39" s="329"/>
      <c r="AG39" s="329"/>
      <c r="AH39" s="329"/>
      <c r="AI39" s="329"/>
      <c r="AJ39" s="329"/>
      <c r="AK39" s="329"/>
      <c r="AL39" s="329"/>
      <c r="AM39" s="329"/>
      <c r="AN39" s="329"/>
      <c r="AO39" s="329"/>
      <c r="AP39" s="329"/>
      <c r="AQ39" s="329"/>
      <c r="AR39" s="329"/>
      <c r="AS39" s="329"/>
      <c r="AT39" s="329"/>
      <c r="AU39" s="329"/>
      <c r="AV39" s="329"/>
      <c r="AW39" s="329"/>
      <c r="AX39" s="329"/>
      <c r="AY39" s="329"/>
      <c r="AZ39" s="329"/>
      <c r="BA39" s="329"/>
    </row>
    <row r="40" spans="2:53" ht="15" customHeight="1" x14ac:dyDescent="0.35">
      <c r="B40" s="329"/>
      <c r="C40" s="329"/>
      <c r="D40" s="329"/>
      <c r="E40" s="329"/>
      <c r="F40" s="329"/>
      <c r="G40" s="329"/>
      <c r="H40" s="329"/>
      <c r="I40" s="329"/>
      <c r="J40" s="329"/>
      <c r="K40" s="329"/>
      <c r="L40" s="329"/>
      <c r="M40" s="329"/>
      <c r="N40" s="329"/>
      <c r="O40" s="329"/>
      <c r="P40" s="329"/>
      <c r="Q40" s="329"/>
      <c r="R40" s="329"/>
      <c r="S40" s="329"/>
      <c r="T40" s="329"/>
      <c r="U40" s="329"/>
      <c r="V40" s="329"/>
      <c r="W40" s="329"/>
      <c r="X40" s="329"/>
      <c r="Y40" s="329"/>
      <c r="Z40" s="329"/>
      <c r="AA40" s="329"/>
      <c r="AB40" s="329"/>
      <c r="AC40" s="329"/>
      <c r="AD40" s="329"/>
      <c r="AE40" s="329"/>
      <c r="AF40" s="329"/>
      <c r="AG40" s="329"/>
      <c r="AH40" s="329"/>
      <c r="AI40" s="329"/>
      <c r="AJ40" s="329"/>
      <c r="AK40" s="329"/>
      <c r="AL40" s="329"/>
      <c r="AM40" s="329"/>
      <c r="AN40" s="329"/>
      <c r="AO40" s="329"/>
      <c r="AP40" s="329"/>
      <c r="AQ40" s="329"/>
      <c r="AR40" s="329"/>
      <c r="AS40" s="329"/>
      <c r="AT40" s="329"/>
      <c r="AU40" s="329"/>
      <c r="AV40" s="329"/>
      <c r="AW40" s="329"/>
      <c r="AX40" s="329"/>
      <c r="AY40" s="329"/>
      <c r="AZ40" s="329"/>
      <c r="BA40" s="329"/>
    </row>
    <row r="41" spans="2:53" ht="15" customHeight="1" x14ac:dyDescent="0.35">
      <c r="B41" s="329"/>
      <c r="C41" s="329"/>
      <c r="D41" s="329"/>
      <c r="E41" s="329"/>
      <c r="F41" s="329"/>
      <c r="G41" s="329"/>
      <c r="H41" s="329"/>
      <c r="I41" s="329"/>
      <c r="J41" s="329"/>
      <c r="K41" s="329"/>
      <c r="L41" s="329"/>
      <c r="M41" s="329"/>
      <c r="N41" s="329"/>
      <c r="O41" s="329"/>
      <c r="P41" s="329"/>
      <c r="Q41" s="329"/>
      <c r="R41" s="329"/>
      <c r="S41" s="329"/>
      <c r="T41" s="329"/>
      <c r="U41" s="329"/>
      <c r="V41" s="329"/>
      <c r="W41" s="329"/>
      <c r="X41" s="329"/>
      <c r="Y41" s="329"/>
      <c r="Z41" s="329"/>
      <c r="AA41" s="329"/>
      <c r="AB41" s="329"/>
      <c r="AC41" s="329"/>
      <c r="AD41" s="329"/>
      <c r="AE41" s="329"/>
      <c r="AF41" s="329"/>
      <c r="AG41" s="329"/>
      <c r="AH41" s="329"/>
      <c r="AI41" s="329"/>
      <c r="AJ41" s="329"/>
      <c r="AK41" s="329"/>
      <c r="AL41" s="329"/>
      <c r="AM41" s="329"/>
      <c r="AN41" s="329"/>
      <c r="AO41" s="329"/>
      <c r="AP41" s="329"/>
      <c r="AQ41" s="329"/>
      <c r="AR41" s="329"/>
      <c r="AS41" s="329"/>
      <c r="AT41" s="329"/>
      <c r="AU41" s="329"/>
      <c r="AV41" s="329"/>
      <c r="AW41" s="329"/>
      <c r="AX41" s="329"/>
      <c r="AY41" s="329"/>
      <c r="AZ41" s="329"/>
      <c r="BA41" s="329"/>
    </row>
    <row r="42" spans="2:53" ht="15" customHeight="1" x14ac:dyDescent="0.35">
      <c r="B42" s="329"/>
      <c r="C42" s="329"/>
      <c r="D42" s="329"/>
      <c r="E42" s="329"/>
      <c r="F42" s="329"/>
      <c r="G42" s="329"/>
      <c r="H42" s="329"/>
      <c r="I42" s="329"/>
      <c r="J42" s="329"/>
      <c r="K42" s="329"/>
      <c r="L42" s="329"/>
      <c r="M42" s="329"/>
      <c r="N42" s="329"/>
      <c r="O42" s="329"/>
      <c r="P42" s="329"/>
      <c r="Q42" s="329"/>
      <c r="R42" s="329"/>
      <c r="S42" s="329"/>
      <c r="T42" s="329"/>
      <c r="U42" s="329"/>
      <c r="V42" s="329"/>
      <c r="W42" s="329"/>
      <c r="X42" s="329"/>
      <c r="Y42" s="329"/>
      <c r="Z42" s="329"/>
      <c r="AA42" s="329"/>
      <c r="AB42" s="329"/>
      <c r="AC42" s="329"/>
      <c r="AD42" s="329"/>
      <c r="AE42" s="329"/>
      <c r="AF42" s="329"/>
      <c r="AG42" s="329"/>
      <c r="AH42" s="329"/>
      <c r="AI42" s="329"/>
      <c r="AJ42" s="329"/>
      <c r="AK42" s="329"/>
      <c r="AL42" s="329"/>
      <c r="AM42" s="329"/>
      <c r="AN42" s="329"/>
      <c r="AO42" s="329"/>
      <c r="AP42" s="329"/>
      <c r="AQ42" s="329"/>
      <c r="AR42" s="329"/>
      <c r="AS42" s="329"/>
      <c r="AT42" s="329"/>
      <c r="AU42" s="329"/>
      <c r="AV42" s="329"/>
      <c r="AW42" s="329"/>
      <c r="AX42" s="329"/>
      <c r="AY42" s="329"/>
      <c r="AZ42" s="329"/>
      <c r="BA42" s="329"/>
    </row>
    <row r="43" spans="2:53" ht="15" customHeight="1" x14ac:dyDescent="0.35">
      <c r="B43" s="329"/>
      <c r="C43" s="329"/>
      <c r="D43" s="329"/>
      <c r="E43" s="329"/>
      <c r="F43" s="329"/>
      <c r="G43" s="329"/>
      <c r="H43" s="329"/>
      <c r="I43" s="329"/>
      <c r="J43" s="329"/>
      <c r="K43" s="329"/>
      <c r="L43" s="329"/>
      <c r="M43" s="329"/>
      <c r="N43" s="329"/>
      <c r="O43" s="329"/>
      <c r="P43" s="329"/>
      <c r="Q43" s="329"/>
      <c r="R43" s="329"/>
      <c r="S43" s="329"/>
      <c r="T43" s="329"/>
      <c r="U43" s="329"/>
      <c r="V43" s="329"/>
      <c r="W43" s="329"/>
      <c r="X43" s="329"/>
      <c r="Y43" s="329"/>
      <c r="Z43" s="329"/>
      <c r="AA43" s="329"/>
      <c r="AB43" s="329"/>
      <c r="AC43" s="329"/>
      <c r="AD43" s="329"/>
      <c r="AE43" s="329"/>
      <c r="AF43" s="329"/>
      <c r="AG43" s="329"/>
      <c r="AH43" s="329"/>
      <c r="AI43" s="329"/>
      <c r="AJ43" s="329"/>
      <c r="AK43" s="329"/>
      <c r="AL43" s="329"/>
      <c r="AM43" s="329"/>
      <c r="AN43" s="329"/>
      <c r="AO43" s="329"/>
      <c r="AP43" s="329"/>
      <c r="AQ43" s="329"/>
      <c r="AR43" s="329"/>
      <c r="AS43" s="329"/>
      <c r="AT43" s="329"/>
      <c r="AU43" s="329"/>
      <c r="AV43" s="329"/>
      <c r="AW43" s="329"/>
      <c r="AX43" s="329"/>
      <c r="AY43" s="329"/>
      <c r="AZ43" s="329"/>
      <c r="BA43" s="329"/>
    </row>
    <row r="44" spans="2:53" ht="15" customHeight="1" x14ac:dyDescent="0.35">
      <c r="B44" s="329"/>
      <c r="C44" s="329"/>
      <c r="D44" s="329"/>
      <c r="E44" s="329"/>
      <c r="F44" s="329"/>
      <c r="G44" s="329"/>
      <c r="H44" s="329"/>
      <c r="I44" s="329"/>
      <c r="J44" s="329"/>
      <c r="K44" s="329"/>
      <c r="L44" s="329"/>
      <c r="M44" s="329"/>
      <c r="N44" s="329"/>
      <c r="O44" s="329"/>
      <c r="P44" s="329"/>
      <c r="Q44" s="329"/>
      <c r="R44" s="329"/>
      <c r="S44" s="329"/>
      <c r="T44" s="329"/>
      <c r="U44" s="329"/>
      <c r="V44" s="329"/>
      <c r="W44" s="329"/>
      <c r="X44" s="329"/>
      <c r="Y44" s="329"/>
      <c r="Z44" s="329"/>
      <c r="AA44" s="329"/>
      <c r="AB44" s="329"/>
      <c r="AC44" s="329"/>
      <c r="AD44" s="329"/>
      <c r="AE44" s="329"/>
      <c r="AF44" s="329"/>
      <c r="AG44" s="329"/>
      <c r="AH44" s="329"/>
      <c r="AI44" s="329"/>
      <c r="AJ44" s="329"/>
      <c r="AK44" s="329"/>
      <c r="AL44" s="329"/>
      <c r="AM44" s="329"/>
      <c r="AN44" s="329"/>
      <c r="AO44" s="329"/>
      <c r="AP44" s="329"/>
      <c r="AQ44" s="329"/>
      <c r="AR44" s="329"/>
      <c r="AS44" s="329"/>
      <c r="AT44" s="329"/>
      <c r="AU44" s="329"/>
      <c r="AV44" s="329"/>
      <c r="AW44" s="329"/>
      <c r="AX44" s="329"/>
      <c r="AY44" s="329"/>
      <c r="AZ44" s="329"/>
      <c r="BA44" s="329"/>
    </row>
    <row r="45" spans="2:53" ht="15" customHeight="1" x14ac:dyDescent="0.35">
      <c r="B45" s="329"/>
      <c r="C45" s="329"/>
      <c r="D45" s="329"/>
      <c r="E45" s="329"/>
      <c r="F45" s="329"/>
      <c r="G45" s="329"/>
      <c r="H45" s="329"/>
      <c r="I45" s="329"/>
      <c r="J45" s="329"/>
      <c r="K45" s="329"/>
      <c r="L45" s="329"/>
      <c r="M45" s="329"/>
      <c r="N45" s="329"/>
      <c r="O45" s="329"/>
      <c r="P45" s="329"/>
      <c r="Q45" s="329"/>
      <c r="R45" s="329"/>
      <c r="S45" s="329"/>
      <c r="T45" s="329"/>
      <c r="U45" s="329"/>
      <c r="V45" s="329"/>
      <c r="W45" s="329"/>
      <c r="X45" s="329"/>
      <c r="Y45" s="329"/>
      <c r="Z45" s="329"/>
      <c r="AA45" s="329"/>
      <c r="AB45" s="329"/>
      <c r="AC45" s="329"/>
      <c r="AD45" s="329"/>
      <c r="AE45" s="329"/>
      <c r="AF45" s="329"/>
      <c r="AG45" s="329"/>
      <c r="AH45" s="329"/>
      <c r="AI45" s="329"/>
      <c r="AJ45" s="329"/>
      <c r="AK45" s="329"/>
      <c r="AL45" s="329"/>
      <c r="AM45" s="329"/>
      <c r="AN45" s="329"/>
      <c r="AO45" s="329"/>
      <c r="AP45" s="329"/>
      <c r="AQ45" s="329"/>
      <c r="AR45" s="329"/>
      <c r="AS45" s="329"/>
      <c r="AT45" s="329"/>
      <c r="AU45" s="329"/>
      <c r="AV45" s="329"/>
      <c r="AW45" s="329"/>
      <c r="AX45" s="329"/>
      <c r="AY45" s="329"/>
      <c r="AZ45" s="329"/>
      <c r="BA45" s="329"/>
    </row>
    <row r="46" spans="2:53" ht="15" customHeight="1" x14ac:dyDescent="0.35">
      <c r="B46" s="329"/>
      <c r="C46" s="329"/>
      <c r="D46" s="329"/>
      <c r="E46" s="329"/>
      <c r="F46" s="329"/>
      <c r="G46" s="329"/>
      <c r="H46" s="329"/>
      <c r="I46" s="329"/>
      <c r="J46" s="329"/>
      <c r="K46" s="329"/>
      <c r="L46" s="329"/>
      <c r="M46" s="329"/>
      <c r="N46" s="329"/>
      <c r="O46" s="329"/>
      <c r="P46" s="329"/>
      <c r="Q46" s="329"/>
      <c r="R46" s="329"/>
      <c r="S46" s="329"/>
      <c r="T46" s="329"/>
      <c r="U46" s="329"/>
      <c r="V46" s="329"/>
      <c r="W46" s="329"/>
      <c r="X46" s="329"/>
      <c r="Y46" s="329"/>
      <c r="Z46" s="329"/>
      <c r="AA46" s="329"/>
      <c r="AB46" s="329"/>
      <c r="AC46" s="329"/>
      <c r="AD46" s="329"/>
      <c r="AE46" s="329"/>
      <c r="AF46" s="329"/>
      <c r="AG46" s="329"/>
      <c r="AH46" s="329"/>
      <c r="AI46" s="329"/>
      <c r="AJ46" s="329"/>
      <c r="AK46" s="329"/>
      <c r="AL46" s="329"/>
      <c r="AM46" s="329"/>
      <c r="AN46" s="329"/>
      <c r="AO46" s="329"/>
      <c r="AP46" s="329"/>
      <c r="AQ46" s="329"/>
      <c r="AR46" s="329"/>
      <c r="AS46" s="329"/>
      <c r="AT46" s="329"/>
      <c r="AU46" s="329"/>
      <c r="AV46" s="329"/>
      <c r="AW46" s="329"/>
      <c r="AX46" s="329"/>
      <c r="AY46" s="329"/>
      <c r="AZ46" s="329"/>
      <c r="BA46" s="329"/>
    </row>
    <row r="47" spans="2:53" x14ac:dyDescent="0.35">
      <c r="B47" s="329"/>
      <c r="C47" s="329"/>
      <c r="D47" s="329"/>
      <c r="E47" s="329"/>
      <c r="F47" s="329"/>
      <c r="G47" s="329"/>
      <c r="H47" s="329"/>
      <c r="I47" s="329"/>
      <c r="J47" s="329"/>
      <c r="K47" s="329"/>
      <c r="L47" s="329"/>
      <c r="M47" s="329"/>
      <c r="N47" s="329"/>
      <c r="O47" s="329"/>
      <c r="P47" s="329"/>
      <c r="Q47" s="329"/>
      <c r="R47" s="329"/>
      <c r="S47" s="329"/>
      <c r="T47" s="329"/>
      <c r="U47" s="329"/>
      <c r="V47" s="329"/>
      <c r="W47" s="329"/>
      <c r="X47" s="329"/>
      <c r="Y47" s="329"/>
      <c r="Z47" s="329"/>
      <c r="AA47" s="329"/>
      <c r="AB47" s="329"/>
      <c r="AC47" s="329"/>
      <c r="AD47" s="329"/>
      <c r="AE47" s="329"/>
      <c r="AF47" s="329"/>
      <c r="AG47" s="329"/>
      <c r="AH47" s="329"/>
      <c r="AI47" s="329"/>
      <c r="AJ47" s="329"/>
      <c r="AK47" s="329"/>
      <c r="AL47" s="329"/>
      <c r="AM47" s="329"/>
      <c r="AN47" s="329"/>
      <c r="AO47" s="329"/>
      <c r="AP47" s="329"/>
      <c r="AQ47" s="329"/>
      <c r="AR47" s="329"/>
      <c r="AS47" s="329"/>
      <c r="AT47" s="329"/>
      <c r="AU47" s="329"/>
      <c r="AV47" s="329"/>
      <c r="AW47" s="329"/>
      <c r="AX47" s="329"/>
      <c r="AY47" s="329"/>
      <c r="AZ47" s="329"/>
      <c r="BA47" s="329"/>
    </row>
    <row r="48" spans="2:53" x14ac:dyDescent="0.35">
      <c r="B48" s="329"/>
      <c r="C48" s="329"/>
      <c r="D48" s="329"/>
      <c r="E48" s="329"/>
      <c r="F48" s="329"/>
      <c r="G48" s="329"/>
      <c r="H48" s="329"/>
      <c r="I48" s="329"/>
      <c r="J48" s="329"/>
      <c r="K48" s="329"/>
      <c r="L48" s="329"/>
      <c r="M48" s="329"/>
      <c r="N48" s="329"/>
      <c r="O48" s="329"/>
      <c r="P48" s="329"/>
      <c r="Q48" s="329"/>
      <c r="R48" s="329"/>
      <c r="S48" s="329"/>
      <c r="T48" s="329"/>
      <c r="U48" s="329"/>
      <c r="V48" s="329"/>
      <c r="W48" s="329"/>
      <c r="X48" s="329"/>
      <c r="Y48" s="329"/>
      <c r="Z48" s="329"/>
      <c r="AA48" s="329"/>
      <c r="AB48" s="329"/>
      <c r="AC48" s="329"/>
      <c r="AD48" s="329"/>
      <c r="AE48" s="329"/>
      <c r="AF48" s="329"/>
      <c r="AG48" s="329"/>
      <c r="AH48" s="329"/>
      <c r="AI48" s="329"/>
      <c r="AJ48" s="329"/>
      <c r="AK48" s="329"/>
      <c r="AL48" s="329"/>
      <c r="AM48" s="329"/>
      <c r="AN48" s="329"/>
      <c r="AO48" s="329"/>
      <c r="AP48" s="329"/>
      <c r="AQ48" s="329"/>
      <c r="AR48" s="329"/>
      <c r="AS48" s="329"/>
      <c r="AT48" s="329"/>
      <c r="AU48" s="329"/>
      <c r="AV48" s="329"/>
      <c r="AW48" s="329"/>
      <c r="AX48" s="329"/>
      <c r="AY48" s="329"/>
      <c r="AZ48" s="329"/>
      <c r="BA48" s="329"/>
    </row>
    <row r="49" spans="2:53" x14ac:dyDescent="0.35">
      <c r="B49" s="329"/>
      <c r="C49" s="329"/>
      <c r="D49" s="329"/>
      <c r="E49" s="329"/>
      <c r="F49" s="329"/>
      <c r="G49" s="329"/>
      <c r="H49" s="329"/>
      <c r="I49" s="329"/>
      <c r="J49" s="329"/>
      <c r="K49" s="329"/>
      <c r="L49" s="329"/>
      <c r="M49" s="329"/>
      <c r="N49" s="329"/>
      <c r="O49" s="329"/>
      <c r="P49" s="329"/>
      <c r="Q49" s="329"/>
      <c r="R49" s="329"/>
      <c r="S49" s="329"/>
      <c r="T49" s="329"/>
      <c r="U49" s="329"/>
      <c r="V49" s="329"/>
      <c r="W49" s="329"/>
      <c r="X49" s="329"/>
      <c r="Y49" s="329"/>
      <c r="Z49" s="329"/>
      <c r="AA49" s="329"/>
      <c r="AB49" s="329"/>
      <c r="AC49" s="329"/>
      <c r="AD49" s="329"/>
      <c r="AE49" s="329"/>
      <c r="AF49" s="329"/>
      <c r="AG49" s="329"/>
      <c r="AH49" s="329"/>
      <c r="AI49" s="329"/>
      <c r="AJ49" s="329"/>
      <c r="AK49" s="329"/>
      <c r="AL49" s="329"/>
      <c r="AM49" s="329"/>
      <c r="AN49" s="329"/>
      <c r="AO49" s="329"/>
      <c r="AP49" s="329"/>
      <c r="AQ49" s="329"/>
      <c r="AR49" s="329"/>
      <c r="AS49" s="329"/>
      <c r="AT49" s="329"/>
      <c r="AU49" s="329"/>
      <c r="AV49" s="329"/>
      <c r="AW49" s="329"/>
      <c r="AX49" s="329"/>
      <c r="AY49" s="329"/>
      <c r="AZ49" s="329"/>
      <c r="BA49" s="329"/>
    </row>
    <row r="50" spans="2:53" x14ac:dyDescent="0.35">
      <c r="B50" s="329"/>
      <c r="C50" s="329"/>
      <c r="D50" s="329"/>
      <c r="E50" s="329"/>
      <c r="F50" s="329"/>
      <c r="G50" s="329"/>
      <c r="H50" s="329"/>
      <c r="I50" s="329"/>
      <c r="J50" s="329"/>
      <c r="K50" s="329"/>
      <c r="L50" s="329"/>
      <c r="M50" s="329"/>
      <c r="N50" s="329"/>
      <c r="O50" s="329"/>
      <c r="P50" s="329"/>
      <c r="Q50" s="329"/>
      <c r="R50" s="329"/>
      <c r="S50" s="329"/>
      <c r="T50" s="329"/>
      <c r="U50" s="329"/>
      <c r="V50" s="329"/>
      <c r="W50" s="329"/>
      <c r="X50" s="329"/>
      <c r="Y50" s="329"/>
      <c r="Z50" s="329"/>
      <c r="AA50" s="329"/>
      <c r="AB50" s="329"/>
      <c r="AC50" s="329"/>
      <c r="AD50" s="329"/>
      <c r="AE50" s="329"/>
      <c r="AF50" s="329"/>
      <c r="AG50" s="329"/>
      <c r="AH50" s="329"/>
      <c r="AI50" s="329"/>
      <c r="AJ50" s="329"/>
      <c r="AK50" s="329"/>
      <c r="AL50" s="329"/>
      <c r="AM50" s="329"/>
      <c r="AN50" s="329"/>
      <c r="AO50" s="329"/>
      <c r="AP50" s="329"/>
      <c r="AQ50" s="329"/>
      <c r="AR50" s="329"/>
      <c r="AS50" s="329"/>
      <c r="AT50" s="329"/>
      <c r="AU50" s="329"/>
      <c r="AV50" s="329"/>
      <c r="AW50" s="329"/>
      <c r="AX50" s="329"/>
      <c r="AY50" s="329"/>
      <c r="AZ50" s="329"/>
      <c r="BA50" s="329"/>
    </row>
    <row r="51" spans="2:53" x14ac:dyDescent="0.35">
      <c r="B51" s="329"/>
      <c r="C51" s="329"/>
      <c r="D51" s="329"/>
      <c r="E51" s="329"/>
      <c r="F51" s="329"/>
      <c r="G51" s="329"/>
      <c r="H51" s="329"/>
      <c r="I51" s="329"/>
      <c r="J51" s="329"/>
      <c r="K51" s="329"/>
      <c r="L51" s="329"/>
      <c r="M51" s="329"/>
      <c r="N51" s="329"/>
      <c r="O51" s="329"/>
      <c r="P51" s="329"/>
      <c r="Q51" s="329"/>
      <c r="R51" s="329"/>
      <c r="S51" s="329"/>
      <c r="T51" s="329"/>
      <c r="U51" s="329"/>
      <c r="V51" s="329"/>
      <c r="W51" s="329"/>
      <c r="X51" s="329"/>
      <c r="Y51" s="329"/>
      <c r="Z51" s="329"/>
      <c r="AA51" s="329"/>
      <c r="AB51" s="329"/>
      <c r="AC51" s="329"/>
      <c r="AD51" s="329"/>
      <c r="AE51" s="329"/>
      <c r="AF51" s="329"/>
      <c r="AG51" s="329"/>
      <c r="AH51" s="329"/>
      <c r="AI51" s="329"/>
      <c r="AJ51" s="329"/>
      <c r="AK51" s="329"/>
      <c r="AL51" s="329"/>
      <c r="AM51" s="329"/>
      <c r="AN51" s="329"/>
      <c r="AO51" s="329"/>
      <c r="AP51" s="329"/>
      <c r="AQ51" s="329"/>
      <c r="AR51" s="329"/>
      <c r="AS51" s="329"/>
      <c r="AT51" s="329"/>
      <c r="AU51" s="329"/>
      <c r="AV51" s="329"/>
      <c r="AW51" s="329"/>
      <c r="AX51" s="329"/>
      <c r="AY51" s="329"/>
      <c r="AZ51" s="329"/>
      <c r="BA51" s="329"/>
    </row>
    <row r="52" spans="2:53" x14ac:dyDescent="0.35">
      <c r="B52" s="329"/>
      <c r="C52" s="329"/>
      <c r="D52" s="329"/>
      <c r="E52" s="329"/>
      <c r="F52" s="329"/>
      <c r="G52" s="329"/>
      <c r="H52" s="329"/>
      <c r="I52" s="329"/>
      <c r="J52" s="329"/>
      <c r="K52" s="329"/>
      <c r="L52" s="329"/>
      <c r="M52" s="329"/>
      <c r="N52" s="329"/>
      <c r="O52" s="329"/>
      <c r="P52" s="329"/>
      <c r="Q52" s="329"/>
      <c r="R52" s="329"/>
      <c r="S52" s="329"/>
      <c r="T52" s="329"/>
      <c r="U52" s="329"/>
      <c r="V52" s="329"/>
      <c r="W52" s="329"/>
      <c r="X52" s="329"/>
      <c r="Y52" s="329"/>
      <c r="Z52" s="329"/>
      <c r="AA52" s="329"/>
      <c r="AB52" s="329"/>
      <c r="AC52" s="329"/>
      <c r="AD52" s="329"/>
      <c r="AE52" s="329"/>
      <c r="AF52" s="329"/>
      <c r="AG52" s="329"/>
      <c r="AH52" s="329"/>
      <c r="AI52" s="329"/>
      <c r="AJ52" s="329"/>
      <c r="AK52" s="329"/>
      <c r="AL52" s="329"/>
      <c r="AM52" s="329"/>
      <c r="AN52" s="329"/>
      <c r="AO52" s="329"/>
      <c r="AP52" s="329"/>
      <c r="AQ52" s="329"/>
      <c r="AR52" s="329"/>
      <c r="AS52" s="329"/>
      <c r="AT52" s="329"/>
      <c r="AU52" s="329"/>
      <c r="AV52" s="329"/>
      <c r="AW52" s="329"/>
      <c r="AX52" s="329"/>
      <c r="AY52" s="329"/>
      <c r="AZ52" s="329"/>
      <c r="BA52" s="329"/>
    </row>
    <row r="53" spans="2:53" x14ac:dyDescent="0.35">
      <c r="B53" s="329"/>
      <c r="C53" s="329"/>
      <c r="D53" s="329"/>
      <c r="E53" s="329"/>
      <c r="F53" s="329"/>
      <c r="G53" s="329"/>
      <c r="H53" s="329"/>
      <c r="I53" s="329"/>
      <c r="J53" s="329"/>
      <c r="K53" s="329"/>
      <c r="L53" s="329"/>
      <c r="M53" s="329"/>
      <c r="N53" s="329"/>
      <c r="O53" s="329"/>
      <c r="P53" s="329"/>
      <c r="Q53" s="329"/>
      <c r="R53" s="329"/>
      <c r="S53" s="329"/>
      <c r="T53" s="329"/>
      <c r="U53" s="329"/>
      <c r="V53" s="329"/>
      <c r="W53" s="329"/>
      <c r="X53" s="329"/>
      <c r="Y53" s="329"/>
      <c r="Z53" s="329"/>
      <c r="AA53" s="329"/>
      <c r="AB53" s="329"/>
      <c r="AC53" s="329"/>
      <c r="AD53" s="329"/>
      <c r="AE53" s="329"/>
      <c r="AF53" s="329"/>
      <c r="AG53" s="329"/>
      <c r="AH53" s="329"/>
      <c r="AI53" s="329"/>
      <c r="AJ53" s="329"/>
      <c r="AK53" s="329"/>
      <c r="AL53" s="329"/>
      <c r="AM53" s="329"/>
      <c r="AN53" s="329"/>
      <c r="AO53" s="329"/>
      <c r="AP53" s="329"/>
      <c r="AQ53" s="329"/>
      <c r="AR53" s="329"/>
      <c r="AS53" s="329"/>
      <c r="AT53" s="329"/>
      <c r="AU53" s="329"/>
      <c r="AV53" s="329"/>
      <c r="AW53" s="329"/>
      <c r="AX53" s="329"/>
      <c r="AY53" s="329"/>
      <c r="AZ53" s="329"/>
      <c r="BA53" s="329"/>
    </row>
    <row r="54" spans="2:53" x14ac:dyDescent="0.35">
      <c r="B54" s="329"/>
      <c r="C54" s="329"/>
      <c r="D54" s="329"/>
      <c r="E54" s="329"/>
      <c r="F54" s="329"/>
      <c r="G54" s="329"/>
      <c r="H54" s="329"/>
      <c r="I54" s="329"/>
      <c r="J54" s="329"/>
      <c r="K54" s="329"/>
      <c r="L54" s="329"/>
      <c r="M54" s="329"/>
      <c r="N54" s="329"/>
      <c r="O54" s="329"/>
      <c r="P54" s="329"/>
      <c r="Q54" s="329"/>
      <c r="R54" s="329"/>
      <c r="S54" s="329"/>
      <c r="T54" s="329"/>
      <c r="U54" s="329"/>
      <c r="V54" s="329"/>
      <c r="W54" s="329"/>
      <c r="X54" s="329"/>
      <c r="Y54" s="329"/>
      <c r="Z54" s="329"/>
      <c r="AA54" s="329"/>
      <c r="AB54" s="329"/>
      <c r="AC54" s="329"/>
      <c r="AD54" s="329"/>
      <c r="AE54" s="329"/>
      <c r="AF54" s="329"/>
      <c r="AG54" s="329"/>
      <c r="AH54" s="329"/>
      <c r="AI54" s="329"/>
      <c r="AJ54" s="329"/>
      <c r="AK54" s="329"/>
      <c r="AL54" s="329"/>
      <c r="AM54" s="329"/>
      <c r="AN54" s="329"/>
      <c r="AO54" s="329"/>
      <c r="AP54" s="329"/>
      <c r="AQ54" s="329"/>
      <c r="AR54" s="329"/>
      <c r="AS54" s="329"/>
      <c r="AT54" s="329"/>
      <c r="AU54" s="329"/>
      <c r="AV54" s="329"/>
      <c r="AW54" s="329"/>
      <c r="AX54" s="329"/>
      <c r="AY54" s="329"/>
      <c r="AZ54" s="329"/>
      <c r="BA54" s="329"/>
    </row>
    <row r="55" spans="2:53" x14ac:dyDescent="0.35">
      <c r="B55" s="329"/>
      <c r="C55" s="329"/>
      <c r="D55" s="329"/>
      <c r="E55" s="329"/>
      <c r="F55" s="329"/>
      <c r="G55" s="329"/>
      <c r="H55" s="329"/>
      <c r="I55" s="329"/>
      <c r="J55" s="329"/>
      <c r="K55" s="329"/>
      <c r="L55" s="329"/>
      <c r="M55" s="329"/>
      <c r="N55" s="329"/>
      <c r="O55" s="329"/>
      <c r="P55" s="329"/>
      <c r="Q55" s="329"/>
      <c r="R55" s="329"/>
      <c r="S55" s="329"/>
      <c r="T55" s="329"/>
      <c r="U55" s="329"/>
      <c r="V55" s="329"/>
      <c r="W55" s="329"/>
      <c r="X55" s="329"/>
      <c r="Y55" s="329"/>
      <c r="Z55" s="329"/>
      <c r="AA55" s="329"/>
      <c r="AB55" s="329"/>
      <c r="AC55" s="329"/>
      <c r="AD55" s="329"/>
      <c r="AE55" s="329"/>
      <c r="AF55" s="329"/>
      <c r="AG55" s="329"/>
      <c r="AH55" s="329"/>
      <c r="AI55" s="329"/>
      <c r="AJ55" s="329"/>
      <c r="AK55" s="329"/>
      <c r="AL55" s="329"/>
      <c r="AM55" s="329"/>
      <c r="AN55" s="329"/>
      <c r="AO55" s="329"/>
      <c r="AP55" s="329"/>
      <c r="AQ55" s="329"/>
      <c r="AR55" s="329"/>
      <c r="AS55" s="329"/>
      <c r="AT55" s="329"/>
      <c r="AU55" s="329"/>
      <c r="AV55" s="329"/>
      <c r="AW55" s="329"/>
      <c r="AX55" s="329"/>
      <c r="AY55" s="329"/>
      <c r="AZ55" s="329"/>
      <c r="BA55" s="329"/>
    </row>
    <row r="56" spans="2:53" x14ac:dyDescent="0.35">
      <c r="B56" s="329"/>
      <c r="C56" s="329"/>
      <c r="D56" s="329"/>
      <c r="E56" s="329"/>
      <c r="F56" s="329"/>
      <c r="G56" s="329"/>
      <c r="H56" s="329"/>
      <c r="I56" s="329"/>
      <c r="J56" s="329"/>
      <c r="K56" s="329"/>
      <c r="L56" s="329"/>
      <c r="M56" s="329"/>
      <c r="N56" s="329"/>
      <c r="O56" s="329"/>
      <c r="P56" s="329"/>
      <c r="Q56" s="329"/>
      <c r="R56" s="329"/>
      <c r="S56" s="329"/>
      <c r="T56" s="329"/>
      <c r="U56" s="329"/>
      <c r="V56" s="329"/>
      <c r="W56" s="329"/>
      <c r="X56" s="329"/>
      <c r="Y56" s="329"/>
      <c r="Z56" s="329"/>
      <c r="AA56" s="329"/>
      <c r="AB56" s="329"/>
      <c r="AC56" s="329"/>
      <c r="AD56" s="329"/>
      <c r="AE56" s="329"/>
      <c r="AF56" s="329"/>
      <c r="AG56" s="329"/>
      <c r="AH56" s="329"/>
      <c r="AI56" s="329"/>
      <c r="AJ56" s="329"/>
      <c r="AK56" s="329"/>
      <c r="AL56" s="329"/>
      <c r="AM56" s="329"/>
      <c r="AN56" s="329"/>
      <c r="AO56" s="329"/>
      <c r="AP56" s="329"/>
      <c r="AQ56" s="329"/>
      <c r="AR56" s="329"/>
      <c r="AS56" s="329"/>
      <c r="AT56" s="329"/>
      <c r="AU56" s="329"/>
      <c r="AV56" s="329"/>
      <c r="AW56" s="329"/>
      <c r="AX56" s="329"/>
      <c r="AY56" s="329"/>
      <c r="AZ56" s="329"/>
      <c r="BA56" s="329"/>
    </row>
    <row r="57" spans="2:53" x14ac:dyDescent="0.35">
      <c r="B57" s="329"/>
      <c r="C57" s="329"/>
      <c r="D57" s="329"/>
      <c r="E57" s="329"/>
      <c r="F57" s="329"/>
      <c r="G57" s="329"/>
      <c r="H57" s="329"/>
      <c r="I57" s="329"/>
      <c r="J57" s="329"/>
      <c r="K57" s="329"/>
      <c r="L57" s="329"/>
      <c r="M57" s="329"/>
      <c r="N57" s="329"/>
      <c r="O57" s="329"/>
      <c r="P57" s="329"/>
      <c r="Q57" s="329"/>
      <c r="R57" s="329"/>
      <c r="S57" s="329"/>
      <c r="T57" s="329"/>
      <c r="U57" s="329"/>
      <c r="V57" s="329"/>
      <c r="W57" s="329"/>
      <c r="X57" s="329"/>
      <c r="Y57" s="329"/>
      <c r="Z57" s="329"/>
      <c r="AA57" s="329"/>
      <c r="AB57" s="329"/>
      <c r="AC57" s="329"/>
      <c r="AD57" s="329"/>
      <c r="AE57" s="329"/>
      <c r="AF57" s="329"/>
      <c r="AG57" s="329"/>
      <c r="AH57" s="329"/>
      <c r="AI57" s="329"/>
      <c r="AJ57" s="329"/>
      <c r="AK57" s="329"/>
      <c r="AL57" s="329"/>
      <c r="AM57" s="329"/>
      <c r="AN57" s="329"/>
      <c r="AO57" s="329"/>
      <c r="AP57" s="329"/>
      <c r="AQ57" s="329"/>
      <c r="AR57" s="329"/>
      <c r="AS57" s="329"/>
      <c r="AT57" s="329"/>
      <c r="AU57" s="329"/>
      <c r="AV57" s="329"/>
      <c r="AW57" s="329"/>
      <c r="AX57" s="329"/>
      <c r="AY57" s="329"/>
      <c r="AZ57" s="329"/>
      <c r="BA57" s="329"/>
    </row>
    <row r="58" spans="2:53" x14ac:dyDescent="0.35">
      <c r="B58" s="329"/>
      <c r="C58" s="329"/>
      <c r="D58" s="329"/>
      <c r="E58" s="329"/>
      <c r="F58" s="329"/>
      <c r="G58" s="329"/>
      <c r="H58" s="329"/>
      <c r="I58" s="329"/>
      <c r="J58" s="329"/>
      <c r="K58" s="329"/>
      <c r="L58" s="329"/>
      <c r="M58" s="329"/>
      <c r="N58" s="329"/>
      <c r="O58" s="329"/>
      <c r="P58" s="329"/>
      <c r="Q58" s="329"/>
      <c r="R58" s="329"/>
      <c r="S58" s="329"/>
      <c r="T58" s="329"/>
      <c r="U58" s="329"/>
      <c r="V58" s="329"/>
      <c r="W58" s="329"/>
      <c r="X58" s="329"/>
      <c r="Y58" s="329"/>
      <c r="Z58" s="329"/>
      <c r="AA58" s="329"/>
      <c r="AB58" s="329"/>
      <c r="AC58" s="329"/>
      <c r="AD58" s="329"/>
      <c r="AE58" s="329"/>
      <c r="AF58" s="329"/>
      <c r="AG58" s="329"/>
      <c r="AH58" s="329"/>
      <c r="AI58" s="329"/>
      <c r="AJ58" s="329"/>
      <c r="AK58" s="329"/>
      <c r="AL58" s="329"/>
      <c r="AM58" s="329"/>
      <c r="AN58" s="329"/>
      <c r="AO58" s="329"/>
      <c r="AP58" s="329"/>
      <c r="AQ58" s="329"/>
      <c r="AR58" s="329"/>
      <c r="AS58" s="329"/>
      <c r="AT58" s="329"/>
      <c r="AU58" s="329"/>
      <c r="AV58" s="329"/>
      <c r="AW58" s="329"/>
      <c r="AX58" s="329"/>
      <c r="AY58" s="329"/>
      <c r="AZ58" s="329"/>
      <c r="BA58" s="329"/>
    </row>
    <row r="59" spans="2:53" x14ac:dyDescent="0.35">
      <c r="B59" s="329"/>
      <c r="C59" s="329"/>
      <c r="D59" s="329"/>
      <c r="E59" s="329"/>
      <c r="F59" s="329"/>
      <c r="G59" s="329"/>
      <c r="H59" s="329"/>
      <c r="I59" s="329"/>
      <c r="J59" s="329"/>
      <c r="K59" s="329"/>
      <c r="L59" s="329"/>
      <c r="M59" s="329"/>
      <c r="N59" s="329"/>
      <c r="O59" s="329"/>
      <c r="P59" s="329"/>
      <c r="Q59" s="329"/>
      <c r="R59" s="329"/>
      <c r="S59" s="329"/>
      <c r="T59" s="329"/>
      <c r="U59" s="329"/>
      <c r="V59" s="329"/>
      <c r="W59" s="329"/>
      <c r="X59" s="329"/>
      <c r="Y59" s="329"/>
      <c r="Z59" s="329"/>
      <c r="AA59" s="329"/>
      <c r="AB59" s="329"/>
      <c r="AC59" s="329"/>
      <c r="AD59" s="329"/>
      <c r="AE59" s="329"/>
      <c r="AF59" s="329"/>
      <c r="AG59" s="329"/>
      <c r="AH59" s="329"/>
      <c r="AI59" s="329"/>
      <c r="AJ59" s="329"/>
      <c r="AK59" s="329"/>
      <c r="AL59" s="329"/>
      <c r="AM59" s="329"/>
      <c r="AN59" s="329"/>
      <c r="AO59" s="329"/>
      <c r="AP59" s="329"/>
      <c r="AQ59" s="329"/>
      <c r="AR59" s="329"/>
      <c r="AS59" s="329"/>
      <c r="AT59" s="329"/>
      <c r="AU59" s="329"/>
      <c r="AV59" s="329"/>
      <c r="AW59" s="329"/>
      <c r="AX59" s="329"/>
      <c r="AY59" s="329"/>
      <c r="AZ59" s="329"/>
      <c r="BA59" s="329"/>
    </row>
    <row r="60" spans="2:53" x14ac:dyDescent="0.35">
      <c r="B60" s="329"/>
      <c r="C60" s="329"/>
      <c r="D60" s="329"/>
      <c r="E60" s="329"/>
      <c r="F60" s="329"/>
      <c r="G60" s="329"/>
      <c r="H60" s="329"/>
      <c r="I60" s="329"/>
      <c r="J60" s="329"/>
      <c r="K60" s="329"/>
      <c r="L60" s="329"/>
      <c r="M60" s="329"/>
      <c r="N60" s="329"/>
      <c r="O60" s="329"/>
      <c r="P60" s="329"/>
      <c r="Q60" s="329"/>
      <c r="R60" s="329"/>
      <c r="S60" s="329"/>
      <c r="T60" s="329"/>
      <c r="U60" s="329"/>
      <c r="V60" s="329"/>
      <c r="W60" s="329"/>
      <c r="X60" s="329"/>
      <c r="Y60" s="329"/>
      <c r="Z60" s="329"/>
      <c r="AA60" s="329"/>
      <c r="AB60" s="329"/>
      <c r="AC60" s="329"/>
      <c r="AD60" s="329"/>
      <c r="AE60" s="329"/>
      <c r="AF60" s="329"/>
      <c r="AG60" s="329"/>
      <c r="AH60" s="329"/>
      <c r="AI60" s="329"/>
      <c r="AJ60" s="329"/>
      <c r="AK60" s="329"/>
      <c r="AL60" s="329"/>
      <c r="AM60" s="329"/>
      <c r="AN60" s="329"/>
      <c r="AO60" s="329"/>
      <c r="AP60" s="329"/>
      <c r="AQ60" s="329"/>
      <c r="AR60" s="329"/>
      <c r="AS60" s="329"/>
      <c r="AT60" s="329"/>
      <c r="AU60" s="329"/>
      <c r="AV60" s="329"/>
      <c r="AW60" s="329"/>
      <c r="AX60" s="329"/>
      <c r="AY60" s="329"/>
      <c r="AZ60" s="329"/>
      <c r="BA60" s="329"/>
    </row>
  </sheetData>
  <conditionalFormatting sqref="H4:AL5">
    <cfRule type="containsText" dxfId="6" priority="1" operator="containsText" text="█">
      <formula>NOT(ISERROR(SEARCH("█",H4)))</formula>
    </cfRule>
  </conditionalFormatting>
  <conditionalFormatting sqref="H6:AL6">
    <cfRule type="containsText" dxfId="5" priority="2" operator="containsText" text="█">
      <formula>NOT(ISERROR(SEARCH("█",H6)))</formula>
    </cfRule>
  </conditionalFormatting>
  <conditionalFormatting sqref="H7:AL9">
    <cfRule type="containsText" dxfId="4" priority="3" operator="containsText" text="█">
      <formula>NOT(ISERROR(SEARCH("█",H7)))</formula>
    </cfRule>
  </conditionalFormatting>
  <conditionalFormatting sqref="H10:AL10">
    <cfRule type="containsText" dxfId="3" priority="4" operator="containsText" text="█">
      <formula>NOT(ISERROR(SEARCH("█",H10)))</formula>
    </cfRule>
  </conditionalFormatting>
  <conditionalFormatting sqref="H11:AL11">
    <cfRule type="containsText" dxfId="2" priority="5" operator="containsText" text="█">
      <formula>NOT(ISERROR(SEARCH("█",H11)))</formula>
    </cfRule>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N20"/>
  <sheetViews>
    <sheetView showGridLines="0" topLeftCell="BJ1" zoomScale="70" zoomScaleNormal="70" workbookViewId="0">
      <selection activeCell="CF17" sqref="CF17"/>
    </sheetView>
  </sheetViews>
  <sheetFormatPr defaultRowHeight="14.5" x14ac:dyDescent="0.35"/>
  <cols>
    <col min="1" max="1" width="34" customWidth="1"/>
    <col min="2" max="2" width="13.54296875" bestFit="1" customWidth="1"/>
    <col min="3" max="3" width="13" customWidth="1"/>
    <col min="4" max="4" width="18.81640625" customWidth="1"/>
    <col min="5" max="5" width="13.54296875" bestFit="1" customWidth="1"/>
    <col min="6" max="6" width="13.81640625" bestFit="1" customWidth="1"/>
    <col min="7" max="7" width="13.1796875" bestFit="1" customWidth="1"/>
    <col min="8" max="8" width="13.81640625" bestFit="1" customWidth="1"/>
    <col min="9" max="9" width="13.54296875" bestFit="1" customWidth="1"/>
    <col min="10" max="10" width="15.81640625" customWidth="1"/>
    <col min="11" max="11" width="13.54296875" bestFit="1" customWidth="1"/>
    <col min="12" max="15" width="13" customWidth="1"/>
    <col min="16" max="17" width="13.54296875" bestFit="1" customWidth="1"/>
    <col min="18" max="18" width="13.81640625" bestFit="1" customWidth="1"/>
    <col min="19" max="19" width="13.1796875" bestFit="1" customWidth="1"/>
    <col min="20" max="20" width="13.81640625" bestFit="1" customWidth="1"/>
    <col min="21" max="21" width="13.54296875" bestFit="1" customWidth="1"/>
    <col min="22" max="23" width="13.81640625" bestFit="1" customWidth="1"/>
    <col min="24" max="24" width="13.1796875" bestFit="1" customWidth="1"/>
    <col min="25" max="25" width="13.453125" bestFit="1" customWidth="1"/>
    <col min="26" max="26" width="13.54296875" bestFit="1" customWidth="1"/>
    <col min="27" max="27" width="13" customWidth="1"/>
    <col min="28" max="28" width="12.453125" bestFit="1" customWidth="1"/>
    <col min="29" max="29" width="13.54296875" bestFit="1" customWidth="1"/>
    <col min="30" max="30" width="13.81640625" bestFit="1" customWidth="1"/>
    <col min="31" max="31" width="13.1796875" bestFit="1" customWidth="1"/>
    <col min="32" max="32" width="13.81640625" bestFit="1" customWidth="1"/>
    <col min="33" max="33" width="13.54296875" bestFit="1" customWidth="1"/>
    <col min="34" max="34" width="13.1796875" bestFit="1" customWidth="1"/>
    <col min="35" max="35" width="13.81640625" bestFit="1" customWidth="1"/>
    <col min="36" max="36" width="13.1796875" bestFit="1" customWidth="1"/>
    <col min="37" max="37" width="13.453125" bestFit="1" customWidth="1"/>
    <col min="38" max="38" width="13.54296875" bestFit="1" customWidth="1"/>
    <col min="39" max="39" width="13" customWidth="1"/>
    <col min="40" max="40" width="12.453125" bestFit="1" customWidth="1"/>
    <col min="41" max="41" width="13.54296875" bestFit="1" customWidth="1"/>
    <col min="42" max="42" width="13.81640625" bestFit="1" customWidth="1"/>
    <col min="43" max="43" width="13.1796875" bestFit="1" customWidth="1"/>
    <col min="44" max="44" width="13.81640625" bestFit="1" customWidth="1"/>
    <col min="45" max="45" width="13.54296875" bestFit="1" customWidth="1"/>
    <col min="46" max="46" width="13.1796875" bestFit="1" customWidth="1"/>
    <col min="47" max="47" width="13.81640625" bestFit="1" customWidth="1"/>
    <col min="48" max="48" width="13.1796875" bestFit="1" customWidth="1"/>
    <col min="49" max="49" width="13.453125" bestFit="1" customWidth="1"/>
    <col min="50" max="50" width="13.54296875" bestFit="1" customWidth="1"/>
    <col min="51" max="51" width="13" customWidth="1"/>
    <col min="52" max="52" width="12.453125" bestFit="1" customWidth="1"/>
    <col min="53" max="53" width="13.54296875" bestFit="1" customWidth="1"/>
    <col min="54" max="54" width="13.81640625" bestFit="1" customWidth="1"/>
    <col min="55" max="55" width="13.1796875" bestFit="1" customWidth="1"/>
    <col min="56" max="56" width="13.81640625" bestFit="1" customWidth="1"/>
    <col min="57" max="57" width="13.54296875" bestFit="1" customWidth="1"/>
    <col min="58" max="58" width="12.81640625" bestFit="1" customWidth="1"/>
    <col min="59" max="59" width="13.453125" bestFit="1" customWidth="1"/>
    <col min="60" max="61" width="12.81640625" bestFit="1" customWidth="1"/>
    <col min="62" max="144" width="13" customWidth="1"/>
  </cols>
  <sheetData>
    <row r="1" spans="1:144" ht="24" customHeight="1" x14ac:dyDescent="0.35">
      <c r="A1" s="71" t="s">
        <v>1645</v>
      </c>
      <c r="B1" s="75"/>
      <c r="C1" s="75"/>
      <c r="D1" s="75"/>
      <c r="E1" s="75"/>
      <c r="F1" s="75"/>
      <c r="G1" s="75"/>
      <c r="H1" s="75"/>
      <c r="I1" s="75"/>
      <c r="J1" s="75"/>
      <c r="K1" s="75"/>
      <c r="L1" s="75"/>
      <c r="M1" s="75"/>
      <c r="N1" s="75"/>
      <c r="O1" s="75"/>
      <c r="P1" s="75"/>
      <c r="Q1" s="75"/>
      <c r="R1" s="75"/>
      <c r="S1" s="75"/>
      <c r="T1" s="75"/>
      <c r="U1" s="75"/>
      <c r="V1" s="75"/>
      <c r="W1" s="75"/>
      <c r="X1" s="75"/>
      <c r="Y1" s="75"/>
      <c r="Z1" s="75"/>
      <c r="AA1" s="75"/>
      <c r="AB1" s="75"/>
      <c r="AC1" s="75"/>
      <c r="AD1" s="75"/>
      <c r="AE1" s="75"/>
      <c r="AF1" s="75"/>
      <c r="AG1" s="75"/>
      <c r="AH1" s="75"/>
      <c r="AI1" s="75"/>
      <c r="AJ1" s="75"/>
      <c r="AK1" s="75"/>
      <c r="AL1" s="75"/>
      <c r="AM1" s="75"/>
      <c r="AN1" s="75"/>
      <c r="AO1" s="75"/>
      <c r="AP1" s="75"/>
      <c r="AQ1" s="75"/>
      <c r="AR1" s="75"/>
      <c r="AS1" s="75"/>
      <c r="AT1" s="75"/>
      <c r="AU1" s="75"/>
      <c r="AV1" s="75"/>
      <c r="AW1" s="75"/>
      <c r="AX1" s="75"/>
      <c r="AY1" s="75"/>
      <c r="AZ1" s="75"/>
      <c r="BA1" s="75"/>
      <c r="BB1" s="75"/>
      <c r="BC1" s="75"/>
      <c r="BD1" s="75"/>
      <c r="BE1" s="75"/>
      <c r="BF1" s="75"/>
      <c r="BG1" s="75"/>
      <c r="BH1" s="75"/>
      <c r="BI1" s="75"/>
      <c r="BJ1" s="75"/>
      <c r="BK1" s="75"/>
      <c r="BL1" s="75"/>
      <c r="BM1" s="75"/>
      <c r="BN1" s="75"/>
      <c r="BO1" s="75"/>
      <c r="BP1" s="75"/>
      <c r="BQ1" s="75"/>
      <c r="BR1" s="75"/>
      <c r="BS1" s="75"/>
      <c r="BT1" s="75"/>
      <c r="BU1" s="75"/>
      <c r="BV1" s="75"/>
      <c r="BW1" s="75"/>
      <c r="BX1" s="75"/>
      <c r="BY1" s="75"/>
      <c r="BZ1" s="75"/>
      <c r="CA1" s="75"/>
      <c r="CB1" s="75"/>
      <c r="CC1" s="75"/>
      <c r="CD1" s="75"/>
      <c r="CE1" s="75"/>
      <c r="CF1" s="75"/>
      <c r="CG1" s="75"/>
      <c r="CH1" s="75"/>
      <c r="CI1" s="75"/>
      <c r="CJ1" s="75"/>
      <c r="CK1" s="75"/>
      <c r="CL1" s="75"/>
      <c r="CM1" s="75"/>
      <c r="CN1" s="75"/>
      <c r="CO1" s="75"/>
      <c r="CP1" s="75"/>
      <c r="CQ1" s="75"/>
      <c r="CR1" s="75"/>
      <c r="CS1" s="75"/>
      <c r="CT1" s="75"/>
      <c r="CU1" s="75"/>
      <c r="CV1" s="75"/>
      <c r="CW1" s="75"/>
      <c r="CX1" s="75"/>
      <c r="CY1" s="75"/>
      <c r="CZ1" s="75"/>
      <c r="DA1" s="75"/>
      <c r="DB1" s="75"/>
      <c r="DC1" s="75"/>
      <c r="DD1" s="75"/>
      <c r="DE1" s="75"/>
      <c r="DF1" s="75"/>
      <c r="DG1" s="75"/>
      <c r="DH1" s="75"/>
      <c r="DI1" s="75"/>
      <c r="DJ1" s="75"/>
      <c r="DK1" s="75"/>
      <c r="DL1" s="75"/>
      <c r="DM1" s="75"/>
      <c r="DN1" s="75"/>
      <c r="DO1" s="75"/>
      <c r="DP1" s="75"/>
      <c r="DQ1" s="75"/>
      <c r="DR1" s="75"/>
      <c r="DS1" s="75"/>
      <c r="DT1" s="75"/>
      <c r="DU1" s="75"/>
      <c r="DV1" s="75"/>
      <c r="DW1" s="75"/>
      <c r="DX1" s="75"/>
      <c r="DY1" s="75"/>
      <c r="DZ1" s="75"/>
      <c r="EA1" s="75"/>
      <c r="EB1" s="75"/>
      <c r="EC1" s="75"/>
      <c r="ED1" s="75"/>
      <c r="EE1" s="75"/>
      <c r="EF1" s="75"/>
      <c r="EG1" s="75"/>
      <c r="EH1" s="75"/>
      <c r="EI1" s="75"/>
      <c r="EJ1" s="75"/>
      <c r="EK1" s="75"/>
      <c r="EL1" s="75"/>
      <c r="EM1" s="75"/>
      <c r="EN1" s="75"/>
    </row>
    <row r="2" spans="1:144" x14ac:dyDescent="0.35">
      <c r="A2" s="331"/>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1"/>
      <c r="AV2" s="331"/>
      <c r="AW2" s="331"/>
      <c r="AX2" s="331"/>
      <c r="AY2" s="331"/>
      <c r="AZ2" s="331"/>
      <c r="BA2" s="331"/>
      <c r="BB2" s="331"/>
      <c r="BC2" s="331"/>
      <c r="BD2" s="331"/>
      <c r="BE2" s="331"/>
      <c r="BF2" s="331"/>
      <c r="BG2" s="331"/>
      <c r="BH2" s="331"/>
      <c r="BI2" s="331"/>
      <c r="BJ2" s="331"/>
      <c r="BK2" s="331"/>
      <c r="BL2" s="331"/>
      <c r="BM2" s="331"/>
      <c r="BN2" s="331"/>
      <c r="BO2" s="331"/>
      <c r="BP2" s="331"/>
      <c r="BQ2" s="331"/>
      <c r="BR2" s="331"/>
      <c r="BS2" s="331"/>
      <c r="BT2" s="331"/>
      <c r="BU2" s="331"/>
      <c r="BV2" s="331"/>
      <c r="BW2" s="331"/>
      <c r="BX2" s="331"/>
      <c r="BY2" s="331"/>
      <c r="BZ2" s="331"/>
      <c r="CA2" s="331"/>
      <c r="CB2" s="331"/>
      <c r="CC2" s="331"/>
      <c r="CD2" s="331"/>
      <c r="CE2" s="331"/>
      <c r="CF2" s="331"/>
      <c r="CG2" s="331"/>
      <c r="CH2" s="331"/>
      <c r="CI2" s="331"/>
      <c r="CJ2" s="331"/>
      <c r="CK2" s="331"/>
      <c r="CL2" s="331"/>
      <c r="CM2" s="331"/>
      <c r="CN2" s="331"/>
      <c r="CO2" s="331"/>
      <c r="CP2" s="331"/>
      <c r="CQ2" s="331"/>
      <c r="CR2" s="331"/>
      <c r="CS2" s="331"/>
      <c r="CT2" s="331"/>
      <c r="CU2" s="331"/>
      <c r="CV2" s="331"/>
      <c r="CW2" s="331"/>
      <c r="CX2" s="331"/>
      <c r="CY2" s="331"/>
      <c r="CZ2" s="331"/>
      <c r="DA2" s="331"/>
      <c r="DB2" s="331"/>
      <c r="DC2" s="331"/>
      <c r="DD2" s="331"/>
      <c r="DE2" s="331"/>
      <c r="DF2" s="331"/>
      <c r="DG2" s="331"/>
      <c r="DH2" s="331"/>
      <c r="DI2" s="331"/>
      <c r="DJ2" s="331"/>
      <c r="DK2" s="331"/>
      <c r="DL2" s="331"/>
      <c r="DM2" s="331"/>
      <c r="DN2" s="331"/>
      <c r="DO2" s="331"/>
      <c r="DP2" s="331"/>
      <c r="DQ2" s="331"/>
      <c r="DR2" s="331"/>
      <c r="DS2" s="331"/>
      <c r="DT2" s="331"/>
      <c r="DU2" s="331"/>
      <c r="DV2" s="331"/>
      <c r="DW2" s="331"/>
      <c r="DX2" s="331"/>
      <c r="DY2" s="331"/>
      <c r="DZ2" s="331"/>
      <c r="EA2" s="331"/>
      <c r="EB2" s="331"/>
      <c r="EC2" s="331"/>
      <c r="ED2" s="331"/>
      <c r="EE2" s="331"/>
      <c r="EF2" s="331"/>
      <c r="EG2" s="331"/>
      <c r="EH2" s="331"/>
      <c r="EI2" s="331"/>
      <c r="EJ2" s="331"/>
      <c r="EK2" s="331"/>
      <c r="EL2" s="331"/>
      <c r="EM2" s="331"/>
      <c r="EN2" s="331"/>
    </row>
    <row r="3" spans="1:144" x14ac:dyDescent="0.35">
      <c r="A3" s="72" t="s">
        <v>1646</v>
      </c>
      <c r="B3" s="81">
        <v>1</v>
      </c>
      <c r="C3" s="331"/>
      <c r="D3" s="331"/>
      <c r="E3" s="331"/>
      <c r="F3" s="331"/>
      <c r="G3" s="331"/>
      <c r="H3" s="331"/>
      <c r="I3" s="331"/>
      <c r="J3" s="331"/>
      <c r="K3" s="331"/>
      <c r="L3" s="331"/>
      <c r="M3" s="331"/>
      <c r="N3" s="331"/>
      <c r="O3" s="331"/>
      <c r="P3" s="331"/>
      <c r="Q3" s="331"/>
      <c r="R3" s="331"/>
      <c r="S3" s="331"/>
      <c r="T3" s="331"/>
      <c r="U3" s="331"/>
      <c r="V3" s="331"/>
      <c r="W3" s="331"/>
      <c r="X3" s="331"/>
      <c r="Y3" s="331"/>
      <c r="Z3" s="331"/>
      <c r="AA3" s="331"/>
      <c r="AB3" s="331"/>
      <c r="AC3" s="331"/>
      <c r="AD3" s="331"/>
      <c r="AE3" s="331"/>
      <c r="AF3" s="331"/>
      <c r="AG3" s="331"/>
      <c r="AH3" s="331"/>
      <c r="AI3" s="331"/>
      <c r="AJ3" s="331"/>
      <c r="AK3" s="331"/>
      <c r="AL3" s="331"/>
      <c r="AM3" s="331"/>
      <c r="AN3" s="331"/>
      <c r="AO3" s="331"/>
      <c r="AP3" s="331"/>
      <c r="AQ3" s="331"/>
      <c r="AR3" s="331"/>
      <c r="AS3" s="331"/>
      <c r="AT3" s="331"/>
      <c r="AU3" s="331"/>
      <c r="AV3" s="331"/>
      <c r="AW3" s="331"/>
      <c r="AX3" s="331"/>
      <c r="AY3" s="331"/>
      <c r="AZ3" s="331"/>
      <c r="BA3" s="331"/>
      <c r="BB3" s="331"/>
      <c r="BC3" s="331"/>
      <c r="BD3" s="331"/>
      <c r="BE3" s="331"/>
      <c r="BF3" s="331"/>
      <c r="BG3" s="331"/>
      <c r="BH3" s="331"/>
      <c r="BI3" s="331"/>
      <c r="BJ3" s="331"/>
      <c r="BK3" s="331"/>
      <c r="BL3" s="331"/>
      <c r="BM3" s="331"/>
      <c r="BN3" s="331"/>
      <c r="BO3" s="331"/>
      <c r="BP3" s="331"/>
      <c r="BQ3" s="331"/>
      <c r="BR3" s="331"/>
      <c r="BS3" s="331"/>
      <c r="BT3" s="331"/>
      <c r="BU3" s="331"/>
      <c r="BV3" s="331"/>
      <c r="BW3" s="331"/>
      <c r="BX3" s="331"/>
      <c r="BY3" s="331"/>
      <c r="BZ3" s="331"/>
      <c r="CA3" s="331"/>
      <c r="CB3" s="331"/>
      <c r="CC3" s="331"/>
      <c r="CD3" s="331"/>
      <c r="CE3" s="331"/>
      <c r="CF3" s="331"/>
      <c r="CG3" s="331"/>
      <c r="CH3" s="331"/>
      <c r="CI3" s="331"/>
      <c r="CJ3" s="331"/>
      <c r="CK3" s="331"/>
      <c r="CL3" s="331"/>
      <c r="CM3" s="331"/>
      <c r="CN3" s="331"/>
      <c r="CO3" s="331"/>
      <c r="CP3" s="331"/>
      <c r="CQ3" s="331"/>
      <c r="CR3" s="331"/>
      <c r="CS3" s="331"/>
      <c r="CT3" s="331"/>
      <c r="CU3" s="331"/>
      <c r="CV3" s="331"/>
      <c r="CW3" s="331"/>
      <c r="CX3" s="331"/>
      <c r="CY3" s="331"/>
      <c r="CZ3" s="331"/>
      <c r="DA3" s="331"/>
      <c r="DB3" s="331"/>
      <c r="DC3" s="331"/>
      <c r="DD3" s="331"/>
      <c r="DE3" s="331"/>
      <c r="DF3" s="331"/>
      <c r="DG3" s="331"/>
      <c r="DH3" s="331"/>
      <c r="DI3" s="331"/>
      <c r="DJ3" s="331"/>
      <c r="DK3" s="331"/>
      <c r="DL3" s="331"/>
      <c r="DM3" s="331"/>
      <c r="DN3" s="331"/>
      <c r="DO3" s="331"/>
      <c r="DP3" s="331"/>
      <c r="DQ3" s="331"/>
      <c r="DR3" s="331"/>
      <c r="DS3" s="331"/>
      <c r="DT3" s="331"/>
      <c r="DU3" s="331"/>
      <c r="DV3" s="331"/>
      <c r="DW3" s="331"/>
      <c r="DX3" s="331"/>
      <c r="DY3" s="331"/>
      <c r="DZ3" s="331"/>
      <c r="EA3" s="331"/>
      <c r="EB3" s="331"/>
      <c r="EC3" s="331"/>
      <c r="ED3" s="331"/>
      <c r="EE3" s="331"/>
      <c r="EF3" s="331"/>
      <c r="EG3" s="331"/>
      <c r="EH3" s="331"/>
      <c r="EI3" s="331"/>
      <c r="EJ3" s="331"/>
      <c r="EK3" s="331"/>
      <c r="EL3" s="331"/>
      <c r="EM3" s="331"/>
      <c r="EN3" s="331"/>
    </row>
    <row r="4" spans="1:144" x14ac:dyDescent="0.35">
      <c r="A4" s="72" t="s">
        <v>1647</v>
      </c>
      <c r="B4" s="81">
        <v>6</v>
      </c>
      <c r="C4" s="488">
        <f>Inputs!$E$9</f>
        <v>45715</v>
      </c>
      <c r="D4" s="488">
        <f t="shared" ref="D4:AI4" si="0">IFERROR(EOMONTH(C4,0)+1,"")</f>
        <v>45717</v>
      </c>
      <c r="E4" s="488">
        <f t="shared" si="0"/>
        <v>45748</v>
      </c>
      <c r="F4" s="488">
        <f t="shared" si="0"/>
        <v>45778</v>
      </c>
      <c r="G4" s="488">
        <f t="shared" si="0"/>
        <v>45809</v>
      </c>
      <c r="H4" s="488">
        <f t="shared" si="0"/>
        <v>45839</v>
      </c>
      <c r="I4" s="488">
        <f t="shared" si="0"/>
        <v>45870</v>
      </c>
      <c r="J4" s="488">
        <f t="shared" si="0"/>
        <v>45901</v>
      </c>
      <c r="K4" s="488">
        <f t="shared" si="0"/>
        <v>45931</v>
      </c>
      <c r="L4" s="488">
        <f t="shared" si="0"/>
        <v>45962</v>
      </c>
      <c r="M4" s="488">
        <f t="shared" si="0"/>
        <v>45992</v>
      </c>
      <c r="N4" s="488">
        <f t="shared" si="0"/>
        <v>46023</v>
      </c>
      <c r="O4" s="488">
        <f t="shared" si="0"/>
        <v>46054</v>
      </c>
      <c r="P4" s="488">
        <f t="shared" si="0"/>
        <v>46082</v>
      </c>
      <c r="Q4" s="488">
        <f t="shared" si="0"/>
        <v>46113</v>
      </c>
      <c r="R4" s="488">
        <f t="shared" si="0"/>
        <v>46143</v>
      </c>
      <c r="S4" s="488">
        <f t="shared" si="0"/>
        <v>46174</v>
      </c>
      <c r="T4" s="488">
        <f t="shared" si="0"/>
        <v>46204</v>
      </c>
      <c r="U4" s="488">
        <f t="shared" si="0"/>
        <v>46235</v>
      </c>
      <c r="V4" s="488">
        <f t="shared" si="0"/>
        <v>46266</v>
      </c>
      <c r="W4" s="488">
        <f t="shared" si="0"/>
        <v>46296</v>
      </c>
      <c r="X4" s="488">
        <f t="shared" si="0"/>
        <v>46327</v>
      </c>
      <c r="Y4" s="488">
        <f t="shared" si="0"/>
        <v>46357</v>
      </c>
      <c r="Z4" s="488">
        <f t="shared" si="0"/>
        <v>46388</v>
      </c>
      <c r="AA4" s="488">
        <f t="shared" si="0"/>
        <v>46419</v>
      </c>
      <c r="AB4" s="488">
        <f t="shared" si="0"/>
        <v>46447</v>
      </c>
      <c r="AC4" s="488">
        <f t="shared" si="0"/>
        <v>46478</v>
      </c>
      <c r="AD4" s="488">
        <f t="shared" si="0"/>
        <v>46508</v>
      </c>
      <c r="AE4" s="488">
        <f t="shared" si="0"/>
        <v>46539</v>
      </c>
      <c r="AF4" s="488">
        <f t="shared" si="0"/>
        <v>46569</v>
      </c>
      <c r="AG4" s="488">
        <f t="shared" si="0"/>
        <v>46600</v>
      </c>
      <c r="AH4" s="488">
        <f t="shared" si="0"/>
        <v>46631</v>
      </c>
      <c r="AI4" s="488">
        <f t="shared" si="0"/>
        <v>46661</v>
      </c>
      <c r="AJ4" s="488">
        <f t="shared" ref="AJ4:BO4" si="1">IFERROR(EOMONTH(AI4,0)+1,"")</f>
        <v>46692</v>
      </c>
      <c r="AK4" s="488">
        <f t="shared" si="1"/>
        <v>46722</v>
      </c>
      <c r="AL4" s="488">
        <f t="shared" si="1"/>
        <v>46753</v>
      </c>
      <c r="AM4" s="488">
        <f t="shared" si="1"/>
        <v>46784</v>
      </c>
      <c r="AN4" s="488">
        <f t="shared" si="1"/>
        <v>46813</v>
      </c>
      <c r="AO4" s="488">
        <f t="shared" si="1"/>
        <v>46844</v>
      </c>
      <c r="AP4" s="488">
        <f t="shared" si="1"/>
        <v>46874</v>
      </c>
      <c r="AQ4" s="488">
        <f t="shared" si="1"/>
        <v>46905</v>
      </c>
      <c r="AR4" s="488">
        <f t="shared" si="1"/>
        <v>46935</v>
      </c>
      <c r="AS4" s="488">
        <f t="shared" si="1"/>
        <v>46966</v>
      </c>
      <c r="AT4" s="488">
        <f t="shared" si="1"/>
        <v>46997</v>
      </c>
      <c r="AU4" s="488">
        <f t="shared" si="1"/>
        <v>47027</v>
      </c>
      <c r="AV4" s="488">
        <f t="shared" si="1"/>
        <v>47058</v>
      </c>
      <c r="AW4" s="488">
        <f t="shared" si="1"/>
        <v>47088</v>
      </c>
      <c r="AX4" s="488">
        <f t="shared" si="1"/>
        <v>47119</v>
      </c>
      <c r="AY4" s="488">
        <f t="shared" si="1"/>
        <v>47150</v>
      </c>
      <c r="AZ4" s="488">
        <f t="shared" si="1"/>
        <v>47178</v>
      </c>
      <c r="BA4" s="488">
        <f t="shared" si="1"/>
        <v>47209</v>
      </c>
      <c r="BB4" s="488">
        <f t="shared" si="1"/>
        <v>47239</v>
      </c>
      <c r="BC4" s="488">
        <f t="shared" si="1"/>
        <v>47270</v>
      </c>
      <c r="BD4" s="488">
        <f t="shared" si="1"/>
        <v>47300</v>
      </c>
      <c r="BE4" s="488">
        <f t="shared" si="1"/>
        <v>47331</v>
      </c>
      <c r="BF4" s="488">
        <f t="shared" si="1"/>
        <v>47362</v>
      </c>
      <c r="BG4" s="488">
        <f t="shared" si="1"/>
        <v>47392</v>
      </c>
      <c r="BH4" s="488">
        <f t="shared" si="1"/>
        <v>47423</v>
      </c>
      <c r="BI4" s="488">
        <f t="shared" si="1"/>
        <v>47453</v>
      </c>
      <c r="BJ4" s="488">
        <f t="shared" si="1"/>
        <v>47484</v>
      </c>
      <c r="BK4" s="488">
        <f t="shared" si="1"/>
        <v>47515</v>
      </c>
      <c r="BL4" s="488">
        <f t="shared" si="1"/>
        <v>47543</v>
      </c>
      <c r="BM4" s="488">
        <f t="shared" si="1"/>
        <v>47574</v>
      </c>
      <c r="BN4" s="488">
        <f t="shared" si="1"/>
        <v>47604</v>
      </c>
      <c r="BO4" s="488">
        <f t="shared" si="1"/>
        <v>47635</v>
      </c>
      <c r="BP4" s="488">
        <f t="shared" ref="BP4:CU4" si="2">IFERROR(EOMONTH(BO4,0)+1,"")</f>
        <v>47665</v>
      </c>
      <c r="BQ4" s="488">
        <f t="shared" si="2"/>
        <v>47696</v>
      </c>
      <c r="BR4" s="488">
        <f t="shared" si="2"/>
        <v>47727</v>
      </c>
      <c r="BS4" s="488">
        <f t="shared" si="2"/>
        <v>47757</v>
      </c>
      <c r="BT4" s="488">
        <f t="shared" si="2"/>
        <v>47788</v>
      </c>
      <c r="BU4" s="488">
        <f t="shared" si="2"/>
        <v>47818</v>
      </c>
      <c r="BV4" s="488">
        <f t="shared" si="2"/>
        <v>47849</v>
      </c>
      <c r="BW4" s="488">
        <f t="shared" si="2"/>
        <v>47880</v>
      </c>
      <c r="BX4" s="488">
        <f t="shared" si="2"/>
        <v>47908</v>
      </c>
      <c r="BY4" s="488">
        <f t="shared" si="2"/>
        <v>47939</v>
      </c>
      <c r="BZ4" s="488">
        <f t="shared" si="2"/>
        <v>47969</v>
      </c>
      <c r="CA4" s="488">
        <f t="shared" si="2"/>
        <v>48000</v>
      </c>
      <c r="CB4" s="488">
        <f t="shared" si="2"/>
        <v>48030</v>
      </c>
      <c r="CC4" s="488">
        <f t="shared" si="2"/>
        <v>48061</v>
      </c>
      <c r="CD4" s="488">
        <f t="shared" si="2"/>
        <v>48092</v>
      </c>
      <c r="CE4" s="488">
        <f t="shared" si="2"/>
        <v>48122</v>
      </c>
      <c r="CF4" s="488">
        <f t="shared" si="2"/>
        <v>48153</v>
      </c>
      <c r="CG4" s="488">
        <f t="shared" si="2"/>
        <v>48183</v>
      </c>
      <c r="CH4" s="488">
        <f t="shared" si="2"/>
        <v>48214</v>
      </c>
      <c r="CI4" s="488">
        <f t="shared" si="2"/>
        <v>48245</v>
      </c>
      <c r="CJ4" s="488">
        <f t="shared" si="2"/>
        <v>48274</v>
      </c>
      <c r="CK4" s="488">
        <f t="shared" si="2"/>
        <v>48305</v>
      </c>
      <c r="CL4" s="488">
        <f t="shared" si="2"/>
        <v>48335</v>
      </c>
      <c r="CM4" s="488">
        <f t="shared" si="2"/>
        <v>48366</v>
      </c>
      <c r="CN4" s="488">
        <f t="shared" si="2"/>
        <v>48396</v>
      </c>
      <c r="CO4" s="488">
        <f t="shared" si="2"/>
        <v>48427</v>
      </c>
      <c r="CP4" s="488">
        <f t="shared" si="2"/>
        <v>48458</v>
      </c>
      <c r="CQ4" s="488">
        <f t="shared" si="2"/>
        <v>48488</v>
      </c>
      <c r="CR4" s="488">
        <f t="shared" si="2"/>
        <v>48519</v>
      </c>
      <c r="CS4" s="488">
        <f t="shared" si="2"/>
        <v>48549</v>
      </c>
      <c r="CT4" s="488">
        <f t="shared" si="2"/>
        <v>48580</v>
      </c>
      <c r="CU4" s="488">
        <f t="shared" si="2"/>
        <v>48611</v>
      </c>
      <c r="CV4" s="488">
        <f t="shared" ref="CV4:EA4" si="3">IFERROR(EOMONTH(CU4,0)+1,"")</f>
        <v>48639</v>
      </c>
      <c r="CW4" s="488">
        <f t="shared" si="3"/>
        <v>48670</v>
      </c>
      <c r="CX4" s="488">
        <f t="shared" si="3"/>
        <v>48700</v>
      </c>
      <c r="CY4" s="488">
        <f t="shared" si="3"/>
        <v>48731</v>
      </c>
      <c r="CZ4" s="488">
        <f t="shared" si="3"/>
        <v>48761</v>
      </c>
      <c r="DA4" s="488">
        <f t="shared" si="3"/>
        <v>48792</v>
      </c>
      <c r="DB4" s="488">
        <f t="shared" si="3"/>
        <v>48823</v>
      </c>
      <c r="DC4" s="488">
        <f t="shared" si="3"/>
        <v>48853</v>
      </c>
      <c r="DD4" s="488">
        <f t="shared" si="3"/>
        <v>48884</v>
      </c>
      <c r="DE4" s="488">
        <f t="shared" si="3"/>
        <v>48914</v>
      </c>
      <c r="DF4" s="488">
        <f t="shared" si="3"/>
        <v>48945</v>
      </c>
      <c r="DG4" s="488">
        <f t="shared" si="3"/>
        <v>48976</v>
      </c>
      <c r="DH4" s="488">
        <f t="shared" si="3"/>
        <v>49004</v>
      </c>
      <c r="DI4" s="488">
        <f t="shared" si="3"/>
        <v>49035</v>
      </c>
      <c r="DJ4" s="488">
        <f t="shared" si="3"/>
        <v>49065</v>
      </c>
      <c r="DK4" s="488">
        <f t="shared" si="3"/>
        <v>49096</v>
      </c>
      <c r="DL4" s="488">
        <f t="shared" si="3"/>
        <v>49126</v>
      </c>
      <c r="DM4" s="488">
        <f t="shared" si="3"/>
        <v>49157</v>
      </c>
      <c r="DN4" s="488">
        <f t="shared" si="3"/>
        <v>49188</v>
      </c>
      <c r="DO4" s="488">
        <f t="shared" si="3"/>
        <v>49218</v>
      </c>
      <c r="DP4" s="488">
        <f t="shared" si="3"/>
        <v>49249</v>
      </c>
      <c r="DQ4" s="488">
        <f t="shared" si="3"/>
        <v>49279</v>
      </c>
      <c r="DR4" s="488">
        <f t="shared" si="3"/>
        <v>49310</v>
      </c>
      <c r="DS4" s="488">
        <f t="shared" si="3"/>
        <v>49341</v>
      </c>
      <c r="DT4" s="488">
        <f t="shared" si="3"/>
        <v>49369</v>
      </c>
      <c r="DU4" s="488">
        <f t="shared" si="3"/>
        <v>49400</v>
      </c>
      <c r="DV4" s="488">
        <f t="shared" si="3"/>
        <v>49430</v>
      </c>
      <c r="DW4" s="488">
        <f t="shared" si="3"/>
        <v>49461</v>
      </c>
      <c r="DX4" s="488">
        <f t="shared" si="3"/>
        <v>49491</v>
      </c>
      <c r="DY4" s="488">
        <f t="shared" si="3"/>
        <v>49522</v>
      </c>
      <c r="DZ4" s="488">
        <f t="shared" si="3"/>
        <v>49553</v>
      </c>
      <c r="EA4" s="488">
        <f t="shared" si="3"/>
        <v>49583</v>
      </c>
      <c r="EB4" s="488">
        <f t="shared" ref="EB4:EN4" si="4">IFERROR(EOMONTH(EA4,0)+1,"")</f>
        <v>49614</v>
      </c>
      <c r="EC4" s="488">
        <f t="shared" si="4"/>
        <v>49644</v>
      </c>
      <c r="ED4" s="488">
        <f t="shared" si="4"/>
        <v>49675</v>
      </c>
      <c r="EE4" s="488">
        <f t="shared" si="4"/>
        <v>49706</v>
      </c>
      <c r="EF4" s="488">
        <f t="shared" si="4"/>
        <v>49735</v>
      </c>
      <c r="EG4" s="488">
        <f t="shared" si="4"/>
        <v>49766</v>
      </c>
      <c r="EH4" s="488">
        <f t="shared" si="4"/>
        <v>49796</v>
      </c>
      <c r="EI4" s="488">
        <f t="shared" si="4"/>
        <v>49827</v>
      </c>
      <c r="EJ4" s="488">
        <f t="shared" si="4"/>
        <v>49857</v>
      </c>
      <c r="EK4" s="488">
        <f t="shared" si="4"/>
        <v>49888</v>
      </c>
      <c r="EL4" s="488">
        <f t="shared" si="4"/>
        <v>49919</v>
      </c>
      <c r="EM4" s="488">
        <f t="shared" si="4"/>
        <v>49949</v>
      </c>
      <c r="EN4" s="488">
        <f t="shared" si="4"/>
        <v>49980</v>
      </c>
    </row>
    <row r="5" spans="1:144" x14ac:dyDescent="0.35">
      <c r="A5" s="72" t="s">
        <v>1648</v>
      </c>
      <c r="B5" s="81">
        <v>0</v>
      </c>
      <c r="C5" s="488">
        <f t="shared" ref="C5:AH5" si="5">IFERROR(EOMONTH(C4,0),"")</f>
        <v>45716</v>
      </c>
      <c r="D5" s="488">
        <f t="shared" si="5"/>
        <v>45747</v>
      </c>
      <c r="E5" s="488">
        <f t="shared" si="5"/>
        <v>45777</v>
      </c>
      <c r="F5" s="488">
        <f t="shared" si="5"/>
        <v>45808</v>
      </c>
      <c r="G5" s="488">
        <f t="shared" si="5"/>
        <v>45838</v>
      </c>
      <c r="H5" s="488">
        <f t="shared" si="5"/>
        <v>45869</v>
      </c>
      <c r="I5" s="488">
        <f t="shared" si="5"/>
        <v>45900</v>
      </c>
      <c r="J5" s="488">
        <f t="shared" si="5"/>
        <v>45930</v>
      </c>
      <c r="K5" s="488">
        <f t="shared" si="5"/>
        <v>45961</v>
      </c>
      <c r="L5" s="488">
        <f t="shared" si="5"/>
        <v>45991</v>
      </c>
      <c r="M5" s="488">
        <f t="shared" si="5"/>
        <v>46022</v>
      </c>
      <c r="N5" s="488">
        <f t="shared" si="5"/>
        <v>46053</v>
      </c>
      <c r="O5" s="488">
        <f t="shared" si="5"/>
        <v>46081</v>
      </c>
      <c r="P5" s="488">
        <f t="shared" si="5"/>
        <v>46112</v>
      </c>
      <c r="Q5" s="488">
        <f t="shared" si="5"/>
        <v>46142</v>
      </c>
      <c r="R5" s="488">
        <f t="shared" si="5"/>
        <v>46173</v>
      </c>
      <c r="S5" s="488">
        <f t="shared" si="5"/>
        <v>46203</v>
      </c>
      <c r="T5" s="488">
        <f t="shared" si="5"/>
        <v>46234</v>
      </c>
      <c r="U5" s="488">
        <f t="shared" si="5"/>
        <v>46265</v>
      </c>
      <c r="V5" s="488">
        <f t="shared" si="5"/>
        <v>46295</v>
      </c>
      <c r="W5" s="488">
        <f t="shared" si="5"/>
        <v>46326</v>
      </c>
      <c r="X5" s="488">
        <f t="shared" si="5"/>
        <v>46356</v>
      </c>
      <c r="Y5" s="488">
        <f t="shared" si="5"/>
        <v>46387</v>
      </c>
      <c r="Z5" s="488">
        <f t="shared" si="5"/>
        <v>46418</v>
      </c>
      <c r="AA5" s="488">
        <f t="shared" si="5"/>
        <v>46446</v>
      </c>
      <c r="AB5" s="488">
        <f t="shared" si="5"/>
        <v>46477</v>
      </c>
      <c r="AC5" s="488">
        <f t="shared" si="5"/>
        <v>46507</v>
      </c>
      <c r="AD5" s="488">
        <f t="shared" si="5"/>
        <v>46538</v>
      </c>
      <c r="AE5" s="488">
        <f t="shared" si="5"/>
        <v>46568</v>
      </c>
      <c r="AF5" s="488">
        <f t="shared" si="5"/>
        <v>46599</v>
      </c>
      <c r="AG5" s="488">
        <f t="shared" si="5"/>
        <v>46630</v>
      </c>
      <c r="AH5" s="488">
        <f t="shared" si="5"/>
        <v>46660</v>
      </c>
      <c r="AI5" s="488">
        <f t="shared" ref="AI5:BN5" si="6">IFERROR(EOMONTH(AI4,0),"")</f>
        <v>46691</v>
      </c>
      <c r="AJ5" s="488">
        <f t="shared" si="6"/>
        <v>46721</v>
      </c>
      <c r="AK5" s="488">
        <f t="shared" si="6"/>
        <v>46752</v>
      </c>
      <c r="AL5" s="488">
        <f t="shared" si="6"/>
        <v>46783</v>
      </c>
      <c r="AM5" s="488">
        <f t="shared" si="6"/>
        <v>46812</v>
      </c>
      <c r="AN5" s="488">
        <f t="shared" si="6"/>
        <v>46843</v>
      </c>
      <c r="AO5" s="488">
        <f t="shared" si="6"/>
        <v>46873</v>
      </c>
      <c r="AP5" s="488">
        <f t="shared" si="6"/>
        <v>46904</v>
      </c>
      <c r="AQ5" s="488">
        <f t="shared" si="6"/>
        <v>46934</v>
      </c>
      <c r="AR5" s="488">
        <f t="shared" si="6"/>
        <v>46965</v>
      </c>
      <c r="AS5" s="488">
        <f t="shared" si="6"/>
        <v>46996</v>
      </c>
      <c r="AT5" s="488">
        <f t="shared" si="6"/>
        <v>47026</v>
      </c>
      <c r="AU5" s="488">
        <f t="shared" si="6"/>
        <v>47057</v>
      </c>
      <c r="AV5" s="488">
        <f t="shared" si="6"/>
        <v>47087</v>
      </c>
      <c r="AW5" s="488">
        <f t="shared" si="6"/>
        <v>47118</v>
      </c>
      <c r="AX5" s="488">
        <f t="shared" si="6"/>
        <v>47149</v>
      </c>
      <c r="AY5" s="488">
        <f t="shared" si="6"/>
        <v>47177</v>
      </c>
      <c r="AZ5" s="488">
        <f t="shared" si="6"/>
        <v>47208</v>
      </c>
      <c r="BA5" s="488">
        <f t="shared" si="6"/>
        <v>47238</v>
      </c>
      <c r="BB5" s="488">
        <f t="shared" si="6"/>
        <v>47269</v>
      </c>
      <c r="BC5" s="488">
        <f t="shared" si="6"/>
        <v>47299</v>
      </c>
      <c r="BD5" s="488">
        <f t="shared" si="6"/>
        <v>47330</v>
      </c>
      <c r="BE5" s="488">
        <f t="shared" si="6"/>
        <v>47361</v>
      </c>
      <c r="BF5" s="488">
        <f t="shared" si="6"/>
        <v>47391</v>
      </c>
      <c r="BG5" s="488">
        <f t="shared" si="6"/>
        <v>47422</v>
      </c>
      <c r="BH5" s="488">
        <f t="shared" si="6"/>
        <v>47452</v>
      </c>
      <c r="BI5" s="488">
        <f t="shared" si="6"/>
        <v>47483</v>
      </c>
      <c r="BJ5" s="488">
        <f t="shared" si="6"/>
        <v>47514</v>
      </c>
      <c r="BK5" s="488">
        <f t="shared" si="6"/>
        <v>47542</v>
      </c>
      <c r="BL5" s="488">
        <f t="shared" si="6"/>
        <v>47573</v>
      </c>
      <c r="BM5" s="488">
        <f t="shared" si="6"/>
        <v>47603</v>
      </c>
      <c r="BN5" s="488">
        <f t="shared" si="6"/>
        <v>47634</v>
      </c>
      <c r="BO5" s="488">
        <f t="shared" ref="BO5:CT5" si="7">IFERROR(EOMONTH(BO4,0),"")</f>
        <v>47664</v>
      </c>
      <c r="BP5" s="488">
        <f t="shared" si="7"/>
        <v>47695</v>
      </c>
      <c r="BQ5" s="488">
        <f t="shared" si="7"/>
        <v>47726</v>
      </c>
      <c r="BR5" s="488">
        <f t="shared" si="7"/>
        <v>47756</v>
      </c>
      <c r="BS5" s="488">
        <f t="shared" si="7"/>
        <v>47787</v>
      </c>
      <c r="BT5" s="488">
        <f t="shared" si="7"/>
        <v>47817</v>
      </c>
      <c r="BU5" s="488">
        <f t="shared" si="7"/>
        <v>47848</v>
      </c>
      <c r="BV5" s="488">
        <f t="shared" si="7"/>
        <v>47879</v>
      </c>
      <c r="BW5" s="488">
        <f t="shared" si="7"/>
        <v>47907</v>
      </c>
      <c r="BX5" s="488">
        <f t="shared" si="7"/>
        <v>47938</v>
      </c>
      <c r="BY5" s="488">
        <f t="shared" si="7"/>
        <v>47968</v>
      </c>
      <c r="BZ5" s="488">
        <f t="shared" si="7"/>
        <v>47999</v>
      </c>
      <c r="CA5" s="488">
        <f t="shared" si="7"/>
        <v>48029</v>
      </c>
      <c r="CB5" s="488">
        <f t="shared" si="7"/>
        <v>48060</v>
      </c>
      <c r="CC5" s="488">
        <f t="shared" si="7"/>
        <v>48091</v>
      </c>
      <c r="CD5" s="488">
        <f t="shared" si="7"/>
        <v>48121</v>
      </c>
      <c r="CE5" s="488">
        <f t="shared" si="7"/>
        <v>48152</v>
      </c>
      <c r="CF5" s="488">
        <f t="shared" si="7"/>
        <v>48182</v>
      </c>
      <c r="CG5" s="488">
        <f t="shared" si="7"/>
        <v>48213</v>
      </c>
      <c r="CH5" s="488">
        <f t="shared" si="7"/>
        <v>48244</v>
      </c>
      <c r="CI5" s="488">
        <f t="shared" si="7"/>
        <v>48273</v>
      </c>
      <c r="CJ5" s="488">
        <f t="shared" si="7"/>
        <v>48304</v>
      </c>
      <c r="CK5" s="488">
        <f t="shared" si="7"/>
        <v>48334</v>
      </c>
      <c r="CL5" s="488">
        <f t="shared" si="7"/>
        <v>48365</v>
      </c>
      <c r="CM5" s="488">
        <f t="shared" si="7"/>
        <v>48395</v>
      </c>
      <c r="CN5" s="488">
        <f t="shared" si="7"/>
        <v>48426</v>
      </c>
      <c r="CO5" s="488">
        <f t="shared" si="7"/>
        <v>48457</v>
      </c>
      <c r="CP5" s="488">
        <f t="shared" si="7"/>
        <v>48487</v>
      </c>
      <c r="CQ5" s="488">
        <f t="shared" si="7"/>
        <v>48518</v>
      </c>
      <c r="CR5" s="488">
        <f t="shared" si="7"/>
        <v>48548</v>
      </c>
      <c r="CS5" s="488">
        <f t="shared" si="7"/>
        <v>48579</v>
      </c>
      <c r="CT5" s="488">
        <f t="shared" si="7"/>
        <v>48610</v>
      </c>
      <c r="CU5" s="488">
        <f t="shared" ref="CU5:DZ5" si="8">IFERROR(EOMONTH(CU4,0),"")</f>
        <v>48638</v>
      </c>
      <c r="CV5" s="488">
        <f t="shared" si="8"/>
        <v>48669</v>
      </c>
      <c r="CW5" s="488">
        <f t="shared" si="8"/>
        <v>48699</v>
      </c>
      <c r="CX5" s="488">
        <f t="shared" si="8"/>
        <v>48730</v>
      </c>
      <c r="CY5" s="488">
        <f t="shared" si="8"/>
        <v>48760</v>
      </c>
      <c r="CZ5" s="488">
        <f t="shared" si="8"/>
        <v>48791</v>
      </c>
      <c r="DA5" s="488">
        <f t="shared" si="8"/>
        <v>48822</v>
      </c>
      <c r="DB5" s="488">
        <f t="shared" si="8"/>
        <v>48852</v>
      </c>
      <c r="DC5" s="488">
        <f t="shared" si="8"/>
        <v>48883</v>
      </c>
      <c r="DD5" s="488">
        <f t="shared" si="8"/>
        <v>48913</v>
      </c>
      <c r="DE5" s="488">
        <f t="shared" si="8"/>
        <v>48944</v>
      </c>
      <c r="DF5" s="488">
        <f t="shared" si="8"/>
        <v>48975</v>
      </c>
      <c r="DG5" s="488">
        <f t="shared" si="8"/>
        <v>49003</v>
      </c>
      <c r="DH5" s="488">
        <f t="shared" si="8"/>
        <v>49034</v>
      </c>
      <c r="DI5" s="488">
        <f t="shared" si="8"/>
        <v>49064</v>
      </c>
      <c r="DJ5" s="488">
        <f t="shared" si="8"/>
        <v>49095</v>
      </c>
      <c r="DK5" s="488">
        <f t="shared" si="8"/>
        <v>49125</v>
      </c>
      <c r="DL5" s="488">
        <f t="shared" si="8"/>
        <v>49156</v>
      </c>
      <c r="DM5" s="488">
        <f t="shared" si="8"/>
        <v>49187</v>
      </c>
      <c r="DN5" s="488">
        <f t="shared" si="8"/>
        <v>49217</v>
      </c>
      <c r="DO5" s="488">
        <f t="shared" si="8"/>
        <v>49248</v>
      </c>
      <c r="DP5" s="488">
        <f t="shared" si="8"/>
        <v>49278</v>
      </c>
      <c r="DQ5" s="488">
        <f t="shared" si="8"/>
        <v>49309</v>
      </c>
      <c r="DR5" s="488">
        <f t="shared" si="8"/>
        <v>49340</v>
      </c>
      <c r="DS5" s="488">
        <f t="shared" si="8"/>
        <v>49368</v>
      </c>
      <c r="DT5" s="488">
        <f t="shared" si="8"/>
        <v>49399</v>
      </c>
      <c r="DU5" s="488">
        <f t="shared" si="8"/>
        <v>49429</v>
      </c>
      <c r="DV5" s="488">
        <f t="shared" si="8"/>
        <v>49460</v>
      </c>
      <c r="DW5" s="488">
        <f t="shared" si="8"/>
        <v>49490</v>
      </c>
      <c r="DX5" s="488">
        <f t="shared" si="8"/>
        <v>49521</v>
      </c>
      <c r="DY5" s="488">
        <f t="shared" si="8"/>
        <v>49552</v>
      </c>
      <c r="DZ5" s="488">
        <f t="shared" si="8"/>
        <v>49582</v>
      </c>
      <c r="EA5" s="488">
        <f t="shared" ref="EA5:EN5" si="9">IFERROR(EOMONTH(EA4,0),"")</f>
        <v>49613</v>
      </c>
      <c r="EB5" s="488">
        <f t="shared" si="9"/>
        <v>49643</v>
      </c>
      <c r="EC5" s="488">
        <f t="shared" si="9"/>
        <v>49674</v>
      </c>
      <c r="ED5" s="488">
        <f t="shared" si="9"/>
        <v>49705</v>
      </c>
      <c r="EE5" s="488">
        <f t="shared" si="9"/>
        <v>49734</v>
      </c>
      <c r="EF5" s="488">
        <f t="shared" si="9"/>
        <v>49765</v>
      </c>
      <c r="EG5" s="488">
        <f t="shared" si="9"/>
        <v>49795</v>
      </c>
      <c r="EH5" s="488">
        <f t="shared" si="9"/>
        <v>49826</v>
      </c>
      <c r="EI5" s="488">
        <f t="shared" si="9"/>
        <v>49856</v>
      </c>
      <c r="EJ5" s="488">
        <f t="shared" si="9"/>
        <v>49887</v>
      </c>
      <c r="EK5" s="488">
        <f t="shared" si="9"/>
        <v>49918</v>
      </c>
      <c r="EL5" s="488">
        <f t="shared" si="9"/>
        <v>49948</v>
      </c>
      <c r="EM5" s="488">
        <f t="shared" si="9"/>
        <v>49979</v>
      </c>
      <c r="EN5" s="488">
        <f t="shared" si="9"/>
        <v>50009</v>
      </c>
    </row>
    <row r="6" spans="1:144" x14ac:dyDescent="0.35">
      <c r="A6" s="72" t="s">
        <v>15</v>
      </c>
      <c r="B6" s="72">
        <f>IFERROR(B3+B4+B5,"")</f>
        <v>7</v>
      </c>
      <c r="C6" s="72" t="str">
        <f t="shared" ref="C6:AH6" si="10">IFERROR("FY"&amp;RIGHT("0"&amp;MOD(YEAR(C4)+--(MONTH(C4)&gt;=7),100),2),"")</f>
        <v>FY25</v>
      </c>
      <c r="D6" s="72" t="str">
        <f t="shared" si="10"/>
        <v>FY25</v>
      </c>
      <c r="E6" s="72" t="str">
        <f t="shared" si="10"/>
        <v>FY25</v>
      </c>
      <c r="F6" s="72" t="str">
        <f t="shared" si="10"/>
        <v>FY25</v>
      </c>
      <c r="G6" s="72" t="str">
        <f t="shared" si="10"/>
        <v>FY25</v>
      </c>
      <c r="H6" s="72" t="str">
        <f t="shared" si="10"/>
        <v>FY26</v>
      </c>
      <c r="I6" s="72" t="str">
        <f t="shared" si="10"/>
        <v>FY26</v>
      </c>
      <c r="J6" s="72" t="str">
        <f t="shared" si="10"/>
        <v>FY26</v>
      </c>
      <c r="K6" s="72" t="str">
        <f t="shared" si="10"/>
        <v>FY26</v>
      </c>
      <c r="L6" s="72" t="str">
        <f t="shared" si="10"/>
        <v>FY26</v>
      </c>
      <c r="M6" s="72" t="str">
        <f t="shared" si="10"/>
        <v>FY26</v>
      </c>
      <c r="N6" s="72" t="str">
        <f t="shared" si="10"/>
        <v>FY26</v>
      </c>
      <c r="O6" s="72" t="str">
        <f t="shared" si="10"/>
        <v>FY26</v>
      </c>
      <c r="P6" s="72" t="str">
        <f t="shared" si="10"/>
        <v>FY26</v>
      </c>
      <c r="Q6" s="72" t="str">
        <f t="shared" si="10"/>
        <v>FY26</v>
      </c>
      <c r="R6" s="72" t="str">
        <f t="shared" si="10"/>
        <v>FY26</v>
      </c>
      <c r="S6" s="72" t="str">
        <f t="shared" si="10"/>
        <v>FY26</v>
      </c>
      <c r="T6" s="72" t="str">
        <f t="shared" si="10"/>
        <v>FY27</v>
      </c>
      <c r="U6" s="72" t="str">
        <f t="shared" si="10"/>
        <v>FY27</v>
      </c>
      <c r="V6" s="72" t="str">
        <f t="shared" si="10"/>
        <v>FY27</v>
      </c>
      <c r="W6" s="72" t="str">
        <f t="shared" si="10"/>
        <v>FY27</v>
      </c>
      <c r="X6" s="72" t="str">
        <f t="shared" si="10"/>
        <v>FY27</v>
      </c>
      <c r="Y6" s="72" t="str">
        <f t="shared" si="10"/>
        <v>FY27</v>
      </c>
      <c r="Z6" s="72" t="str">
        <f t="shared" si="10"/>
        <v>FY27</v>
      </c>
      <c r="AA6" s="72" t="str">
        <f t="shared" si="10"/>
        <v>FY27</v>
      </c>
      <c r="AB6" s="72" t="str">
        <f t="shared" si="10"/>
        <v>FY27</v>
      </c>
      <c r="AC6" s="72" t="str">
        <f t="shared" si="10"/>
        <v>FY27</v>
      </c>
      <c r="AD6" s="72" t="str">
        <f t="shared" si="10"/>
        <v>FY27</v>
      </c>
      <c r="AE6" s="72" t="str">
        <f t="shared" si="10"/>
        <v>FY27</v>
      </c>
      <c r="AF6" s="72" t="str">
        <f t="shared" si="10"/>
        <v>FY28</v>
      </c>
      <c r="AG6" s="72" t="str">
        <f t="shared" si="10"/>
        <v>FY28</v>
      </c>
      <c r="AH6" s="72" t="str">
        <f t="shared" si="10"/>
        <v>FY28</v>
      </c>
      <c r="AI6" s="72" t="str">
        <f t="shared" ref="AI6:BN6" si="11">IFERROR("FY"&amp;RIGHT("0"&amp;MOD(YEAR(AI4)+--(MONTH(AI4)&gt;=7),100),2),"")</f>
        <v>FY28</v>
      </c>
      <c r="AJ6" s="72" t="str">
        <f t="shared" si="11"/>
        <v>FY28</v>
      </c>
      <c r="AK6" s="72" t="str">
        <f t="shared" si="11"/>
        <v>FY28</v>
      </c>
      <c r="AL6" s="72" t="str">
        <f t="shared" si="11"/>
        <v>FY28</v>
      </c>
      <c r="AM6" s="72" t="str">
        <f t="shared" si="11"/>
        <v>FY28</v>
      </c>
      <c r="AN6" s="72" t="str">
        <f t="shared" si="11"/>
        <v>FY28</v>
      </c>
      <c r="AO6" s="72" t="str">
        <f t="shared" si="11"/>
        <v>FY28</v>
      </c>
      <c r="AP6" s="72" t="str">
        <f t="shared" si="11"/>
        <v>FY28</v>
      </c>
      <c r="AQ6" s="72" t="str">
        <f t="shared" si="11"/>
        <v>FY28</v>
      </c>
      <c r="AR6" s="72" t="str">
        <f t="shared" si="11"/>
        <v>FY29</v>
      </c>
      <c r="AS6" s="72" t="str">
        <f t="shared" si="11"/>
        <v>FY29</v>
      </c>
      <c r="AT6" s="72" t="str">
        <f t="shared" si="11"/>
        <v>FY29</v>
      </c>
      <c r="AU6" s="72" t="str">
        <f t="shared" si="11"/>
        <v>FY29</v>
      </c>
      <c r="AV6" s="72" t="str">
        <f t="shared" si="11"/>
        <v>FY29</v>
      </c>
      <c r="AW6" s="72" t="str">
        <f t="shared" si="11"/>
        <v>FY29</v>
      </c>
      <c r="AX6" s="72" t="str">
        <f t="shared" si="11"/>
        <v>FY29</v>
      </c>
      <c r="AY6" s="72" t="str">
        <f t="shared" si="11"/>
        <v>FY29</v>
      </c>
      <c r="AZ6" s="72" t="str">
        <f t="shared" si="11"/>
        <v>FY29</v>
      </c>
      <c r="BA6" s="72" t="str">
        <f t="shared" si="11"/>
        <v>FY29</v>
      </c>
      <c r="BB6" s="72" t="str">
        <f t="shared" si="11"/>
        <v>FY29</v>
      </c>
      <c r="BC6" s="72" t="str">
        <f t="shared" si="11"/>
        <v>FY29</v>
      </c>
      <c r="BD6" s="72" t="str">
        <f t="shared" si="11"/>
        <v>FY30</v>
      </c>
      <c r="BE6" s="72" t="str">
        <f t="shared" si="11"/>
        <v>FY30</v>
      </c>
      <c r="BF6" s="72" t="str">
        <f t="shared" si="11"/>
        <v>FY30</v>
      </c>
      <c r="BG6" s="72" t="str">
        <f t="shared" si="11"/>
        <v>FY30</v>
      </c>
      <c r="BH6" s="72" t="str">
        <f t="shared" si="11"/>
        <v>FY30</v>
      </c>
      <c r="BI6" s="72" t="str">
        <f t="shared" si="11"/>
        <v>FY30</v>
      </c>
      <c r="BJ6" s="72" t="str">
        <f t="shared" si="11"/>
        <v>FY30</v>
      </c>
      <c r="BK6" s="72" t="str">
        <f t="shared" si="11"/>
        <v>FY30</v>
      </c>
      <c r="BL6" s="72" t="str">
        <f t="shared" si="11"/>
        <v>FY30</v>
      </c>
      <c r="BM6" s="72" t="str">
        <f t="shared" si="11"/>
        <v>FY30</v>
      </c>
      <c r="BN6" s="72" t="str">
        <f t="shared" si="11"/>
        <v>FY30</v>
      </c>
      <c r="BO6" s="72" t="str">
        <f t="shared" ref="BO6:CT6" si="12">IFERROR("FY"&amp;RIGHT("0"&amp;MOD(YEAR(BO4)+--(MONTH(BO4)&gt;=7),100),2),"")</f>
        <v>FY30</v>
      </c>
      <c r="BP6" s="72" t="str">
        <f t="shared" si="12"/>
        <v>FY31</v>
      </c>
      <c r="BQ6" s="72" t="str">
        <f t="shared" si="12"/>
        <v>FY31</v>
      </c>
      <c r="BR6" s="72" t="str">
        <f t="shared" si="12"/>
        <v>FY31</v>
      </c>
      <c r="BS6" s="72" t="str">
        <f t="shared" si="12"/>
        <v>FY31</v>
      </c>
      <c r="BT6" s="72" t="str">
        <f t="shared" si="12"/>
        <v>FY31</v>
      </c>
      <c r="BU6" s="72" t="str">
        <f t="shared" si="12"/>
        <v>FY31</v>
      </c>
      <c r="BV6" s="72" t="str">
        <f t="shared" si="12"/>
        <v>FY31</v>
      </c>
      <c r="BW6" s="72" t="str">
        <f t="shared" si="12"/>
        <v>FY31</v>
      </c>
      <c r="BX6" s="72" t="str">
        <f t="shared" si="12"/>
        <v>FY31</v>
      </c>
      <c r="BY6" s="72" t="str">
        <f t="shared" si="12"/>
        <v>FY31</v>
      </c>
      <c r="BZ6" s="72" t="str">
        <f t="shared" si="12"/>
        <v>FY31</v>
      </c>
      <c r="CA6" s="72" t="str">
        <f t="shared" si="12"/>
        <v>FY31</v>
      </c>
      <c r="CB6" s="72" t="str">
        <f t="shared" si="12"/>
        <v>FY32</v>
      </c>
      <c r="CC6" s="72" t="str">
        <f t="shared" si="12"/>
        <v>FY32</v>
      </c>
      <c r="CD6" s="72" t="str">
        <f t="shared" si="12"/>
        <v>FY32</v>
      </c>
      <c r="CE6" s="72" t="str">
        <f t="shared" si="12"/>
        <v>FY32</v>
      </c>
      <c r="CF6" s="72" t="str">
        <f t="shared" si="12"/>
        <v>FY32</v>
      </c>
      <c r="CG6" s="72" t="str">
        <f t="shared" si="12"/>
        <v>FY32</v>
      </c>
      <c r="CH6" s="72" t="str">
        <f t="shared" si="12"/>
        <v>FY32</v>
      </c>
      <c r="CI6" s="72" t="str">
        <f t="shared" si="12"/>
        <v>FY32</v>
      </c>
      <c r="CJ6" s="72" t="str">
        <f t="shared" si="12"/>
        <v>FY32</v>
      </c>
      <c r="CK6" s="72" t="str">
        <f t="shared" si="12"/>
        <v>FY32</v>
      </c>
      <c r="CL6" s="72" t="str">
        <f t="shared" si="12"/>
        <v>FY32</v>
      </c>
      <c r="CM6" s="72" t="str">
        <f t="shared" si="12"/>
        <v>FY32</v>
      </c>
      <c r="CN6" s="72" t="str">
        <f t="shared" si="12"/>
        <v>FY33</v>
      </c>
      <c r="CO6" s="72" t="str">
        <f t="shared" si="12"/>
        <v>FY33</v>
      </c>
      <c r="CP6" s="72" t="str">
        <f t="shared" si="12"/>
        <v>FY33</v>
      </c>
      <c r="CQ6" s="72" t="str">
        <f t="shared" si="12"/>
        <v>FY33</v>
      </c>
      <c r="CR6" s="72" t="str">
        <f t="shared" si="12"/>
        <v>FY33</v>
      </c>
      <c r="CS6" s="72" t="str">
        <f t="shared" si="12"/>
        <v>FY33</v>
      </c>
      <c r="CT6" s="72" t="str">
        <f t="shared" si="12"/>
        <v>FY33</v>
      </c>
      <c r="CU6" s="72" t="str">
        <f t="shared" ref="CU6:DZ6" si="13">IFERROR("FY"&amp;RIGHT("0"&amp;MOD(YEAR(CU4)+--(MONTH(CU4)&gt;=7),100),2),"")</f>
        <v>FY33</v>
      </c>
      <c r="CV6" s="72" t="str">
        <f t="shared" si="13"/>
        <v>FY33</v>
      </c>
      <c r="CW6" s="72" t="str">
        <f t="shared" si="13"/>
        <v>FY33</v>
      </c>
      <c r="CX6" s="72" t="str">
        <f t="shared" si="13"/>
        <v>FY33</v>
      </c>
      <c r="CY6" s="72" t="str">
        <f t="shared" si="13"/>
        <v>FY33</v>
      </c>
      <c r="CZ6" s="72" t="str">
        <f t="shared" si="13"/>
        <v>FY34</v>
      </c>
      <c r="DA6" s="72" t="str">
        <f t="shared" si="13"/>
        <v>FY34</v>
      </c>
      <c r="DB6" s="72" t="str">
        <f t="shared" si="13"/>
        <v>FY34</v>
      </c>
      <c r="DC6" s="72" t="str">
        <f t="shared" si="13"/>
        <v>FY34</v>
      </c>
      <c r="DD6" s="72" t="str">
        <f t="shared" si="13"/>
        <v>FY34</v>
      </c>
      <c r="DE6" s="72" t="str">
        <f t="shared" si="13"/>
        <v>FY34</v>
      </c>
      <c r="DF6" s="72" t="str">
        <f t="shared" si="13"/>
        <v>FY34</v>
      </c>
      <c r="DG6" s="72" t="str">
        <f t="shared" si="13"/>
        <v>FY34</v>
      </c>
      <c r="DH6" s="72" t="str">
        <f t="shared" si="13"/>
        <v>FY34</v>
      </c>
      <c r="DI6" s="72" t="str">
        <f t="shared" si="13"/>
        <v>FY34</v>
      </c>
      <c r="DJ6" s="72" t="str">
        <f t="shared" si="13"/>
        <v>FY34</v>
      </c>
      <c r="DK6" s="72" t="str">
        <f t="shared" si="13"/>
        <v>FY34</v>
      </c>
      <c r="DL6" s="72" t="str">
        <f t="shared" si="13"/>
        <v>FY35</v>
      </c>
      <c r="DM6" s="72" t="str">
        <f t="shared" si="13"/>
        <v>FY35</v>
      </c>
      <c r="DN6" s="72" t="str">
        <f t="shared" si="13"/>
        <v>FY35</v>
      </c>
      <c r="DO6" s="72" t="str">
        <f t="shared" si="13"/>
        <v>FY35</v>
      </c>
      <c r="DP6" s="72" t="str">
        <f t="shared" si="13"/>
        <v>FY35</v>
      </c>
      <c r="DQ6" s="72" t="str">
        <f t="shared" si="13"/>
        <v>FY35</v>
      </c>
      <c r="DR6" s="72" t="str">
        <f t="shared" si="13"/>
        <v>FY35</v>
      </c>
      <c r="DS6" s="72" t="str">
        <f t="shared" si="13"/>
        <v>FY35</v>
      </c>
      <c r="DT6" s="72" t="str">
        <f t="shared" si="13"/>
        <v>FY35</v>
      </c>
      <c r="DU6" s="72" t="str">
        <f t="shared" si="13"/>
        <v>FY35</v>
      </c>
      <c r="DV6" s="72" t="str">
        <f t="shared" si="13"/>
        <v>FY35</v>
      </c>
      <c r="DW6" s="72" t="str">
        <f t="shared" si="13"/>
        <v>FY35</v>
      </c>
      <c r="DX6" s="72" t="str">
        <f t="shared" si="13"/>
        <v>FY36</v>
      </c>
      <c r="DY6" s="72" t="str">
        <f t="shared" si="13"/>
        <v>FY36</v>
      </c>
      <c r="DZ6" s="72" t="str">
        <f t="shared" si="13"/>
        <v>FY36</v>
      </c>
      <c r="EA6" s="72" t="str">
        <f t="shared" ref="EA6:EN6" si="14">IFERROR("FY"&amp;RIGHT("0"&amp;MOD(YEAR(EA4)+--(MONTH(EA4)&gt;=7),100),2),"")</f>
        <v>FY36</v>
      </c>
      <c r="EB6" s="72" t="str">
        <f t="shared" si="14"/>
        <v>FY36</v>
      </c>
      <c r="EC6" s="72" t="str">
        <f t="shared" si="14"/>
        <v>FY36</v>
      </c>
      <c r="ED6" s="72" t="str">
        <f t="shared" si="14"/>
        <v>FY36</v>
      </c>
      <c r="EE6" s="72" t="str">
        <f t="shared" si="14"/>
        <v>FY36</v>
      </c>
      <c r="EF6" s="72" t="str">
        <f t="shared" si="14"/>
        <v>FY36</v>
      </c>
      <c r="EG6" s="72" t="str">
        <f t="shared" si="14"/>
        <v>FY36</v>
      </c>
      <c r="EH6" s="72" t="str">
        <f t="shared" si="14"/>
        <v>FY36</v>
      </c>
      <c r="EI6" s="72" t="str">
        <f t="shared" si="14"/>
        <v>FY36</v>
      </c>
      <c r="EJ6" s="72" t="str">
        <f t="shared" si="14"/>
        <v>FY37</v>
      </c>
      <c r="EK6" s="72" t="str">
        <f t="shared" si="14"/>
        <v>FY37</v>
      </c>
      <c r="EL6" s="72" t="str">
        <f t="shared" si="14"/>
        <v>FY37</v>
      </c>
      <c r="EM6" s="72" t="str">
        <f t="shared" si="14"/>
        <v>FY37</v>
      </c>
      <c r="EN6" s="72" t="str">
        <f t="shared" si="14"/>
        <v>FY37</v>
      </c>
    </row>
    <row r="7" spans="1:144" x14ac:dyDescent="0.35">
      <c r="A7" s="72" t="s">
        <v>1649</v>
      </c>
      <c r="B7" s="81">
        <v>5</v>
      </c>
      <c r="C7" s="145">
        <f t="shared" ref="C7:AH7" si="15">IFERROR(YEAR(C4)+--(MONTH(C4)&gt;=7),"")</f>
        <v>2025</v>
      </c>
      <c r="D7" s="145">
        <f t="shared" si="15"/>
        <v>2025</v>
      </c>
      <c r="E7" s="145">
        <f t="shared" si="15"/>
        <v>2025</v>
      </c>
      <c r="F7" s="145">
        <f t="shared" si="15"/>
        <v>2025</v>
      </c>
      <c r="G7" s="145">
        <f t="shared" si="15"/>
        <v>2025</v>
      </c>
      <c r="H7" s="145">
        <f t="shared" si="15"/>
        <v>2026</v>
      </c>
      <c r="I7" s="145">
        <f t="shared" si="15"/>
        <v>2026</v>
      </c>
      <c r="J7" s="145">
        <f t="shared" si="15"/>
        <v>2026</v>
      </c>
      <c r="K7" s="145">
        <f t="shared" si="15"/>
        <v>2026</v>
      </c>
      <c r="L7" s="145">
        <f t="shared" si="15"/>
        <v>2026</v>
      </c>
      <c r="M7" s="145">
        <f t="shared" si="15"/>
        <v>2026</v>
      </c>
      <c r="N7" s="145">
        <f t="shared" si="15"/>
        <v>2026</v>
      </c>
      <c r="O7" s="145">
        <f t="shared" si="15"/>
        <v>2026</v>
      </c>
      <c r="P7" s="145">
        <f t="shared" si="15"/>
        <v>2026</v>
      </c>
      <c r="Q7" s="145">
        <f t="shared" si="15"/>
        <v>2026</v>
      </c>
      <c r="R7" s="145">
        <f t="shared" si="15"/>
        <v>2026</v>
      </c>
      <c r="S7" s="145">
        <f t="shared" si="15"/>
        <v>2026</v>
      </c>
      <c r="T7" s="145">
        <f t="shared" si="15"/>
        <v>2027</v>
      </c>
      <c r="U7" s="145">
        <f t="shared" si="15"/>
        <v>2027</v>
      </c>
      <c r="V7" s="145">
        <f t="shared" si="15"/>
        <v>2027</v>
      </c>
      <c r="W7" s="145">
        <f t="shared" si="15"/>
        <v>2027</v>
      </c>
      <c r="X7" s="145">
        <f t="shared" si="15"/>
        <v>2027</v>
      </c>
      <c r="Y7" s="145">
        <f t="shared" si="15"/>
        <v>2027</v>
      </c>
      <c r="Z7" s="145">
        <f t="shared" si="15"/>
        <v>2027</v>
      </c>
      <c r="AA7" s="145">
        <f t="shared" si="15"/>
        <v>2027</v>
      </c>
      <c r="AB7" s="145">
        <f t="shared" si="15"/>
        <v>2027</v>
      </c>
      <c r="AC7" s="145">
        <f t="shared" si="15"/>
        <v>2027</v>
      </c>
      <c r="AD7" s="145">
        <f t="shared" si="15"/>
        <v>2027</v>
      </c>
      <c r="AE7" s="145">
        <f t="shared" si="15"/>
        <v>2027</v>
      </c>
      <c r="AF7" s="145">
        <f t="shared" si="15"/>
        <v>2028</v>
      </c>
      <c r="AG7" s="145">
        <f t="shared" si="15"/>
        <v>2028</v>
      </c>
      <c r="AH7" s="145">
        <f t="shared" si="15"/>
        <v>2028</v>
      </c>
      <c r="AI7" s="145">
        <f t="shared" ref="AI7:BN7" si="16">IFERROR(YEAR(AI4)+--(MONTH(AI4)&gt;=7),"")</f>
        <v>2028</v>
      </c>
      <c r="AJ7" s="145">
        <f t="shared" si="16"/>
        <v>2028</v>
      </c>
      <c r="AK7" s="145">
        <f t="shared" si="16"/>
        <v>2028</v>
      </c>
      <c r="AL7" s="145">
        <f t="shared" si="16"/>
        <v>2028</v>
      </c>
      <c r="AM7" s="145">
        <f t="shared" si="16"/>
        <v>2028</v>
      </c>
      <c r="AN7" s="145">
        <f t="shared" si="16"/>
        <v>2028</v>
      </c>
      <c r="AO7" s="145">
        <f t="shared" si="16"/>
        <v>2028</v>
      </c>
      <c r="AP7" s="145">
        <f t="shared" si="16"/>
        <v>2028</v>
      </c>
      <c r="AQ7" s="145">
        <f t="shared" si="16"/>
        <v>2028</v>
      </c>
      <c r="AR7" s="145">
        <f t="shared" si="16"/>
        <v>2029</v>
      </c>
      <c r="AS7" s="145">
        <f t="shared" si="16"/>
        <v>2029</v>
      </c>
      <c r="AT7" s="145">
        <f t="shared" si="16"/>
        <v>2029</v>
      </c>
      <c r="AU7" s="145">
        <f t="shared" si="16"/>
        <v>2029</v>
      </c>
      <c r="AV7" s="145">
        <f t="shared" si="16"/>
        <v>2029</v>
      </c>
      <c r="AW7" s="145">
        <f t="shared" si="16"/>
        <v>2029</v>
      </c>
      <c r="AX7" s="145">
        <f t="shared" si="16"/>
        <v>2029</v>
      </c>
      <c r="AY7" s="145">
        <f t="shared" si="16"/>
        <v>2029</v>
      </c>
      <c r="AZ7" s="145">
        <f t="shared" si="16"/>
        <v>2029</v>
      </c>
      <c r="BA7" s="145">
        <f t="shared" si="16"/>
        <v>2029</v>
      </c>
      <c r="BB7" s="145">
        <f t="shared" si="16"/>
        <v>2029</v>
      </c>
      <c r="BC7" s="145">
        <f t="shared" si="16"/>
        <v>2029</v>
      </c>
      <c r="BD7" s="145">
        <f t="shared" si="16"/>
        <v>2030</v>
      </c>
      <c r="BE7" s="145">
        <f t="shared" si="16"/>
        <v>2030</v>
      </c>
      <c r="BF7" s="145">
        <f t="shared" si="16"/>
        <v>2030</v>
      </c>
      <c r="BG7" s="145">
        <f t="shared" si="16"/>
        <v>2030</v>
      </c>
      <c r="BH7" s="145">
        <f t="shared" si="16"/>
        <v>2030</v>
      </c>
      <c r="BI7" s="145">
        <f t="shared" si="16"/>
        <v>2030</v>
      </c>
      <c r="BJ7" s="145">
        <f t="shared" si="16"/>
        <v>2030</v>
      </c>
      <c r="BK7" s="145">
        <f t="shared" si="16"/>
        <v>2030</v>
      </c>
      <c r="BL7" s="145">
        <f t="shared" si="16"/>
        <v>2030</v>
      </c>
      <c r="BM7" s="145">
        <f t="shared" si="16"/>
        <v>2030</v>
      </c>
      <c r="BN7" s="145">
        <f t="shared" si="16"/>
        <v>2030</v>
      </c>
      <c r="BO7" s="145">
        <f t="shared" ref="BO7:CT7" si="17">IFERROR(YEAR(BO4)+--(MONTH(BO4)&gt;=7),"")</f>
        <v>2030</v>
      </c>
      <c r="BP7" s="145">
        <f t="shared" si="17"/>
        <v>2031</v>
      </c>
      <c r="BQ7" s="145">
        <f t="shared" si="17"/>
        <v>2031</v>
      </c>
      <c r="BR7" s="145">
        <f t="shared" si="17"/>
        <v>2031</v>
      </c>
      <c r="BS7" s="145">
        <f t="shared" si="17"/>
        <v>2031</v>
      </c>
      <c r="BT7" s="145">
        <f t="shared" si="17"/>
        <v>2031</v>
      </c>
      <c r="BU7" s="145">
        <f t="shared" si="17"/>
        <v>2031</v>
      </c>
      <c r="BV7" s="145">
        <f t="shared" si="17"/>
        <v>2031</v>
      </c>
      <c r="BW7" s="145">
        <f t="shared" si="17"/>
        <v>2031</v>
      </c>
      <c r="BX7" s="145">
        <f t="shared" si="17"/>
        <v>2031</v>
      </c>
      <c r="BY7" s="145">
        <f t="shared" si="17"/>
        <v>2031</v>
      </c>
      <c r="BZ7" s="145">
        <f t="shared" si="17"/>
        <v>2031</v>
      </c>
      <c r="CA7" s="145">
        <f t="shared" si="17"/>
        <v>2031</v>
      </c>
      <c r="CB7" s="145">
        <f t="shared" si="17"/>
        <v>2032</v>
      </c>
      <c r="CC7" s="145">
        <f t="shared" si="17"/>
        <v>2032</v>
      </c>
      <c r="CD7" s="145">
        <f t="shared" si="17"/>
        <v>2032</v>
      </c>
      <c r="CE7" s="145">
        <f t="shared" si="17"/>
        <v>2032</v>
      </c>
      <c r="CF7" s="145">
        <f t="shared" si="17"/>
        <v>2032</v>
      </c>
      <c r="CG7" s="145">
        <f t="shared" si="17"/>
        <v>2032</v>
      </c>
      <c r="CH7" s="145">
        <f t="shared" si="17"/>
        <v>2032</v>
      </c>
      <c r="CI7" s="145">
        <f t="shared" si="17"/>
        <v>2032</v>
      </c>
      <c r="CJ7" s="145">
        <f t="shared" si="17"/>
        <v>2032</v>
      </c>
      <c r="CK7" s="145">
        <f t="shared" si="17"/>
        <v>2032</v>
      </c>
      <c r="CL7" s="145">
        <f t="shared" si="17"/>
        <v>2032</v>
      </c>
      <c r="CM7" s="145">
        <f t="shared" si="17"/>
        <v>2032</v>
      </c>
      <c r="CN7" s="145">
        <f t="shared" si="17"/>
        <v>2033</v>
      </c>
      <c r="CO7" s="145">
        <f t="shared" si="17"/>
        <v>2033</v>
      </c>
      <c r="CP7" s="145">
        <f t="shared" si="17"/>
        <v>2033</v>
      </c>
      <c r="CQ7" s="145">
        <f t="shared" si="17"/>
        <v>2033</v>
      </c>
      <c r="CR7" s="145">
        <f t="shared" si="17"/>
        <v>2033</v>
      </c>
      <c r="CS7" s="145">
        <f t="shared" si="17"/>
        <v>2033</v>
      </c>
      <c r="CT7" s="145">
        <f t="shared" si="17"/>
        <v>2033</v>
      </c>
      <c r="CU7" s="145">
        <f t="shared" ref="CU7:DZ7" si="18">IFERROR(YEAR(CU4)+--(MONTH(CU4)&gt;=7),"")</f>
        <v>2033</v>
      </c>
      <c r="CV7" s="145">
        <f t="shared" si="18"/>
        <v>2033</v>
      </c>
      <c r="CW7" s="145">
        <f t="shared" si="18"/>
        <v>2033</v>
      </c>
      <c r="CX7" s="145">
        <f t="shared" si="18"/>
        <v>2033</v>
      </c>
      <c r="CY7" s="145">
        <f t="shared" si="18"/>
        <v>2033</v>
      </c>
      <c r="CZ7" s="145">
        <f t="shared" si="18"/>
        <v>2034</v>
      </c>
      <c r="DA7" s="145">
        <f t="shared" si="18"/>
        <v>2034</v>
      </c>
      <c r="DB7" s="145">
        <f t="shared" si="18"/>
        <v>2034</v>
      </c>
      <c r="DC7" s="145">
        <f t="shared" si="18"/>
        <v>2034</v>
      </c>
      <c r="DD7" s="145">
        <f t="shared" si="18"/>
        <v>2034</v>
      </c>
      <c r="DE7" s="145">
        <f t="shared" si="18"/>
        <v>2034</v>
      </c>
      <c r="DF7" s="145">
        <f t="shared" si="18"/>
        <v>2034</v>
      </c>
      <c r="DG7" s="145">
        <f t="shared" si="18"/>
        <v>2034</v>
      </c>
      <c r="DH7" s="145">
        <f t="shared" si="18"/>
        <v>2034</v>
      </c>
      <c r="DI7" s="145">
        <f t="shared" si="18"/>
        <v>2034</v>
      </c>
      <c r="DJ7" s="145">
        <f t="shared" si="18"/>
        <v>2034</v>
      </c>
      <c r="DK7" s="145">
        <f t="shared" si="18"/>
        <v>2034</v>
      </c>
      <c r="DL7" s="145">
        <f t="shared" si="18"/>
        <v>2035</v>
      </c>
      <c r="DM7" s="145">
        <f t="shared" si="18"/>
        <v>2035</v>
      </c>
      <c r="DN7" s="145">
        <f t="shared" si="18"/>
        <v>2035</v>
      </c>
      <c r="DO7" s="145">
        <f t="shared" si="18"/>
        <v>2035</v>
      </c>
      <c r="DP7" s="145">
        <f t="shared" si="18"/>
        <v>2035</v>
      </c>
      <c r="DQ7" s="145">
        <f t="shared" si="18"/>
        <v>2035</v>
      </c>
      <c r="DR7" s="145">
        <f t="shared" si="18"/>
        <v>2035</v>
      </c>
      <c r="DS7" s="145">
        <f t="shared" si="18"/>
        <v>2035</v>
      </c>
      <c r="DT7" s="145">
        <f t="shared" si="18"/>
        <v>2035</v>
      </c>
      <c r="DU7" s="145">
        <f t="shared" si="18"/>
        <v>2035</v>
      </c>
      <c r="DV7" s="145">
        <f t="shared" si="18"/>
        <v>2035</v>
      </c>
      <c r="DW7" s="145">
        <f t="shared" si="18"/>
        <v>2035</v>
      </c>
      <c r="DX7" s="145">
        <f t="shared" si="18"/>
        <v>2036</v>
      </c>
      <c r="DY7" s="145">
        <f t="shared" si="18"/>
        <v>2036</v>
      </c>
      <c r="DZ7" s="145">
        <f t="shared" si="18"/>
        <v>2036</v>
      </c>
      <c r="EA7" s="145">
        <f t="shared" ref="EA7:EN7" si="19">IFERROR(YEAR(EA4)+--(MONTH(EA4)&gt;=7),"")</f>
        <v>2036</v>
      </c>
      <c r="EB7" s="145">
        <f t="shared" si="19"/>
        <v>2036</v>
      </c>
      <c r="EC7" s="145">
        <f t="shared" si="19"/>
        <v>2036</v>
      </c>
      <c r="ED7" s="145">
        <f t="shared" si="19"/>
        <v>2036</v>
      </c>
      <c r="EE7" s="145">
        <f t="shared" si="19"/>
        <v>2036</v>
      </c>
      <c r="EF7" s="145">
        <f t="shared" si="19"/>
        <v>2036</v>
      </c>
      <c r="EG7" s="145">
        <f t="shared" si="19"/>
        <v>2036</v>
      </c>
      <c r="EH7" s="145">
        <f t="shared" si="19"/>
        <v>2036</v>
      </c>
      <c r="EI7" s="145">
        <f t="shared" si="19"/>
        <v>2036</v>
      </c>
      <c r="EJ7" s="145">
        <f t="shared" si="19"/>
        <v>2037</v>
      </c>
      <c r="EK7" s="145">
        <f t="shared" si="19"/>
        <v>2037</v>
      </c>
      <c r="EL7" s="145">
        <f t="shared" si="19"/>
        <v>2037</v>
      </c>
      <c r="EM7" s="145">
        <f t="shared" si="19"/>
        <v>2037</v>
      </c>
      <c r="EN7" s="145">
        <f t="shared" si="19"/>
        <v>2037</v>
      </c>
    </row>
    <row r="8" spans="1:144" x14ac:dyDescent="0.35">
      <c r="A8" s="72" t="s">
        <v>1650</v>
      </c>
      <c r="B8" s="331"/>
      <c r="C8" s="72">
        <f>IFERROR(--(C4=EOMONTH(Inputs!$E$14,-1)+1),"")</f>
        <v>0</v>
      </c>
      <c r="D8" s="72">
        <f>IFERROR(--(D4=EOMONTH(Inputs!$E$14,-1)+1),"")</f>
        <v>0</v>
      </c>
      <c r="E8" s="72">
        <f>IFERROR(--(E4=EOMONTH(Inputs!$E$14,-1)+1),"")</f>
        <v>0</v>
      </c>
      <c r="F8" s="72">
        <f>IFERROR(--(F4=EOMONTH(Inputs!$E$14,-1)+1),"")</f>
        <v>0</v>
      </c>
      <c r="G8" s="72">
        <f>IFERROR(--(G4=EOMONTH(Inputs!$E$14,-1)+1),"")</f>
        <v>0</v>
      </c>
      <c r="H8" s="72">
        <f>IFERROR(--(H4=EOMONTH(Inputs!$E$14,-1)+1),"")</f>
        <v>0</v>
      </c>
      <c r="I8" s="72">
        <f>IFERROR(--(I4=EOMONTH(Inputs!$E$14,-1)+1),"")</f>
        <v>0</v>
      </c>
      <c r="J8" s="72">
        <f>IFERROR(--(J4=EOMONTH(Inputs!$E$14,-1)+1),"")</f>
        <v>0</v>
      </c>
      <c r="K8" s="72">
        <f>IFERROR(--(K4=EOMONTH(Inputs!$E$14,-1)+1),"")</f>
        <v>0</v>
      </c>
      <c r="L8" s="72">
        <f>IFERROR(--(L4=EOMONTH(Inputs!$E$14,-1)+1),"")</f>
        <v>0</v>
      </c>
      <c r="M8" s="72">
        <f>IFERROR(--(M4=EOMONTH(Inputs!$E$14,-1)+1),"")</f>
        <v>0</v>
      </c>
      <c r="N8" s="72">
        <f>IFERROR(--(N4=EOMONTH(Inputs!$E$14,-1)+1),"")</f>
        <v>0</v>
      </c>
      <c r="O8" s="72">
        <f>IFERROR(--(O4=EOMONTH(Inputs!$E$14,-1)+1),"")</f>
        <v>0</v>
      </c>
      <c r="P8" s="72">
        <f>IFERROR(--(P4=EOMONTH(Inputs!$E$14,-1)+1),"")</f>
        <v>0</v>
      </c>
      <c r="Q8" s="72">
        <f>IFERROR(--(Q4=EOMONTH(Inputs!$E$14,-1)+1),"")</f>
        <v>0</v>
      </c>
      <c r="R8" s="72">
        <f>IFERROR(--(R4=EOMONTH(Inputs!$E$14,-1)+1),"")</f>
        <v>0</v>
      </c>
      <c r="S8" s="72">
        <f>IFERROR(--(S4=EOMONTH(Inputs!$E$14,-1)+1),"")</f>
        <v>1</v>
      </c>
      <c r="T8" s="72">
        <f>IFERROR(--(T4=EOMONTH(Inputs!$E$14,-1)+1),"")</f>
        <v>0</v>
      </c>
      <c r="U8" s="72">
        <f>IFERROR(--(U4=EOMONTH(Inputs!$E$14,-1)+1),"")</f>
        <v>0</v>
      </c>
      <c r="V8" s="72">
        <f>IFERROR(--(V4=EOMONTH(Inputs!$E$14,-1)+1),"")</f>
        <v>0</v>
      </c>
      <c r="W8" s="72">
        <f>IFERROR(--(W4=EOMONTH(Inputs!$E$14,-1)+1),"")</f>
        <v>0</v>
      </c>
      <c r="X8" s="72">
        <f>IFERROR(--(X4=EOMONTH(Inputs!$E$14,-1)+1),"")</f>
        <v>0</v>
      </c>
      <c r="Y8" s="72">
        <f>IFERROR(--(Y4=EOMONTH(Inputs!$E$14,-1)+1),"")</f>
        <v>0</v>
      </c>
      <c r="Z8" s="72">
        <f>IFERROR(--(Z4=EOMONTH(Inputs!$E$14,-1)+1),"")</f>
        <v>0</v>
      </c>
      <c r="AA8" s="72">
        <f>IFERROR(--(AA4=EOMONTH(Inputs!$E$14,-1)+1),"")</f>
        <v>0</v>
      </c>
      <c r="AB8" s="72">
        <f>IFERROR(--(AB4=EOMONTH(Inputs!$E$14,-1)+1),"")</f>
        <v>0</v>
      </c>
      <c r="AC8" s="72">
        <f>IFERROR(--(AC4=EOMONTH(Inputs!$E$14,-1)+1),"")</f>
        <v>0</v>
      </c>
      <c r="AD8" s="72">
        <f>IFERROR(--(AD4=EOMONTH(Inputs!$E$14,-1)+1),"")</f>
        <v>0</v>
      </c>
      <c r="AE8" s="72">
        <f>IFERROR(--(AE4=EOMONTH(Inputs!$E$14,-1)+1),"")</f>
        <v>0</v>
      </c>
      <c r="AF8" s="72">
        <f>IFERROR(--(AF4=EOMONTH(Inputs!$E$14,-1)+1),"")</f>
        <v>0</v>
      </c>
      <c r="AG8" s="72">
        <f>IFERROR(--(AG4=EOMONTH(Inputs!$E$14,-1)+1),"")</f>
        <v>0</v>
      </c>
      <c r="AH8" s="72">
        <f>IFERROR(--(AH4=EOMONTH(Inputs!$E$14,-1)+1),"")</f>
        <v>0</v>
      </c>
      <c r="AI8" s="72">
        <f>IFERROR(--(AI4=EOMONTH(Inputs!$E$14,-1)+1),"")</f>
        <v>0</v>
      </c>
      <c r="AJ8" s="72">
        <f>IFERROR(--(AJ4=EOMONTH(Inputs!$E$14,-1)+1),"")</f>
        <v>0</v>
      </c>
      <c r="AK8" s="72">
        <f>IFERROR(--(AK4=EOMONTH(Inputs!$E$14,-1)+1),"")</f>
        <v>0</v>
      </c>
      <c r="AL8" s="72">
        <f>IFERROR(--(AL4=EOMONTH(Inputs!$E$14,-1)+1),"")</f>
        <v>0</v>
      </c>
      <c r="AM8" s="72">
        <f>IFERROR(--(AM4=EOMONTH(Inputs!$E$14,-1)+1),"")</f>
        <v>0</v>
      </c>
      <c r="AN8" s="72">
        <f>IFERROR(--(AN4=EOMONTH(Inputs!$E$14,-1)+1),"")</f>
        <v>0</v>
      </c>
      <c r="AO8" s="72">
        <f>IFERROR(--(AO4=EOMONTH(Inputs!$E$14,-1)+1),"")</f>
        <v>0</v>
      </c>
      <c r="AP8" s="72">
        <f>IFERROR(--(AP4=EOMONTH(Inputs!$E$14,-1)+1),"")</f>
        <v>0</v>
      </c>
      <c r="AQ8" s="72">
        <f>IFERROR(--(AQ4=EOMONTH(Inputs!$E$14,-1)+1),"")</f>
        <v>0</v>
      </c>
      <c r="AR8" s="72">
        <f>IFERROR(--(AR4=EOMONTH(Inputs!$E$14,-1)+1),"")</f>
        <v>0</v>
      </c>
      <c r="AS8" s="72">
        <f>IFERROR(--(AS4=EOMONTH(Inputs!$E$14,-1)+1),"")</f>
        <v>0</v>
      </c>
      <c r="AT8" s="72">
        <f>IFERROR(--(AT4=EOMONTH(Inputs!$E$14,-1)+1),"")</f>
        <v>0</v>
      </c>
      <c r="AU8" s="72">
        <f>IFERROR(--(AU4=EOMONTH(Inputs!$E$14,-1)+1),"")</f>
        <v>0</v>
      </c>
      <c r="AV8" s="72">
        <f>IFERROR(--(AV4=EOMONTH(Inputs!$E$14,-1)+1),"")</f>
        <v>0</v>
      </c>
      <c r="AW8" s="72">
        <f>IFERROR(--(AW4=EOMONTH(Inputs!$E$14,-1)+1),"")</f>
        <v>0</v>
      </c>
      <c r="AX8" s="72">
        <f>IFERROR(--(AX4=EOMONTH(Inputs!$E$14,-1)+1),"")</f>
        <v>0</v>
      </c>
      <c r="AY8" s="72">
        <f>IFERROR(--(AY4=EOMONTH(Inputs!$E$14,-1)+1),"")</f>
        <v>0</v>
      </c>
      <c r="AZ8" s="72">
        <f>IFERROR(--(AZ4=EOMONTH(Inputs!$E$14,-1)+1),"")</f>
        <v>0</v>
      </c>
      <c r="BA8" s="72">
        <f>IFERROR(--(BA4=EOMONTH(Inputs!$E$14,-1)+1),"")</f>
        <v>0</v>
      </c>
      <c r="BB8" s="72">
        <f>IFERROR(--(BB4=EOMONTH(Inputs!$E$14,-1)+1),"")</f>
        <v>0</v>
      </c>
      <c r="BC8" s="72">
        <f>IFERROR(--(BC4=EOMONTH(Inputs!$E$14,-1)+1),"")</f>
        <v>0</v>
      </c>
      <c r="BD8" s="72">
        <f>IFERROR(--(BD4=EOMONTH(Inputs!$E$14,-1)+1),"")</f>
        <v>0</v>
      </c>
      <c r="BE8" s="72">
        <f>IFERROR(--(BE4=EOMONTH(Inputs!$E$14,-1)+1),"")</f>
        <v>0</v>
      </c>
      <c r="BF8" s="72">
        <f>IFERROR(--(BF4=EOMONTH(Inputs!$E$14,-1)+1),"")</f>
        <v>0</v>
      </c>
      <c r="BG8" s="72">
        <f>IFERROR(--(BG4=EOMONTH(Inputs!$E$14,-1)+1),"")</f>
        <v>0</v>
      </c>
      <c r="BH8" s="72">
        <f>IFERROR(--(BH4=EOMONTH(Inputs!$E$14,-1)+1),"")</f>
        <v>0</v>
      </c>
      <c r="BI8" s="72">
        <f>IFERROR(--(BI4=EOMONTH(Inputs!$E$14,-1)+1),"")</f>
        <v>0</v>
      </c>
      <c r="BJ8" s="72">
        <f>IFERROR(--(BJ4=EOMONTH(Inputs!$E$14,-1)+1),"")</f>
        <v>0</v>
      </c>
      <c r="BK8" s="72">
        <f>IFERROR(--(BK4=EOMONTH(Inputs!$E$14,-1)+1),"")</f>
        <v>0</v>
      </c>
      <c r="BL8" s="72">
        <f>IFERROR(--(BL4=EOMONTH(Inputs!$E$14,-1)+1),"")</f>
        <v>0</v>
      </c>
      <c r="BM8" s="72">
        <f>IFERROR(--(BM4=EOMONTH(Inputs!$E$14,-1)+1),"")</f>
        <v>0</v>
      </c>
      <c r="BN8" s="72">
        <f>IFERROR(--(BN4=EOMONTH(Inputs!$E$14,-1)+1),"")</f>
        <v>0</v>
      </c>
      <c r="BO8" s="72">
        <f>IFERROR(--(BO4=EOMONTH(Inputs!$E$14,-1)+1),"")</f>
        <v>0</v>
      </c>
      <c r="BP8" s="72">
        <f>IFERROR(--(BP4=EOMONTH(Inputs!$E$14,-1)+1),"")</f>
        <v>0</v>
      </c>
      <c r="BQ8" s="72">
        <f>IFERROR(--(BQ4=EOMONTH(Inputs!$E$14,-1)+1),"")</f>
        <v>0</v>
      </c>
      <c r="BR8" s="72">
        <f>IFERROR(--(BR4=EOMONTH(Inputs!$E$14,-1)+1),"")</f>
        <v>0</v>
      </c>
      <c r="BS8" s="72">
        <f>IFERROR(--(BS4=EOMONTH(Inputs!$E$14,-1)+1),"")</f>
        <v>0</v>
      </c>
      <c r="BT8" s="72">
        <f>IFERROR(--(BT4=EOMONTH(Inputs!$E$14,-1)+1),"")</f>
        <v>0</v>
      </c>
      <c r="BU8" s="72">
        <f>IFERROR(--(BU4=EOMONTH(Inputs!$E$14,-1)+1),"")</f>
        <v>0</v>
      </c>
      <c r="BV8" s="72">
        <f>IFERROR(--(BV4=EOMONTH(Inputs!$E$14,-1)+1),"")</f>
        <v>0</v>
      </c>
      <c r="BW8" s="72">
        <f>IFERROR(--(BW4=EOMONTH(Inputs!$E$14,-1)+1),"")</f>
        <v>0</v>
      </c>
      <c r="BX8" s="72">
        <f>IFERROR(--(BX4=EOMONTH(Inputs!$E$14,-1)+1),"")</f>
        <v>0</v>
      </c>
      <c r="BY8" s="72">
        <f>IFERROR(--(BY4=EOMONTH(Inputs!$E$14,-1)+1),"")</f>
        <v>0</v>
      </c>
      <c r="BZ8" s="72">
        <f>IFERROR(--(BZ4=EOMONTH(Inputs!$E$14,-1)+1),"")</f>
        <v>0</v>
      </c>
      <c r="CA8" s="72">
        <f>IFERROR(--(CA4=EOMONTH(Inputs!$E$14,-1)+1),"")</f>
        <v>0</v>
      </c>
      <c r="CB8" s="72">
        <f>IFERROR(--(CB4=EOMONTH(Inputs!$E$14,-1)+1),"")</f>
        <v>0</v>
      </c>
      <c r="CC8" s="72">
        <f>IFERROR(--(CC4=EOMONTH(Inputs!$E$14,-1)+1),"")</f>
        <v>0</v>
      </c>
      <c r="CD8" s="72">
        <f>IFERROR(--(CD4=EOMONTH(Inputs!$E$14,-1)+1),"")</f>
        <v>0</v>
      </c>
      <c r="CE8" s="72">
        <f>IFERROR(--(CE4=EOMONTH(Inputs!$E$14,-1)+1),"")</f>
        <v>0</v>
      </c>
      <c r="CF8" s="72">
        <f>IFERROR(--(CF4=EOMONTH(Inputs!$E$14,-1)+1),"")</f>
        <v>0</v>
      </c>
      <c r="CG8" s="72">
        <f>IFERROR(--(CG4=EOMONTH(Inputs!$E$14,-1)+1),"")</f>
        <v>0</v>
      </c>
      <c r="CH8" s="72">
        <f>IFERROR(--(CH4=EOMONTH(Inputs!$E$14,-1)+1),"")</f>
        <v>0</v>
      </c>
      <c r="CI8" s="72">
        <f>IFERROR(--(CI4=EOMONTH(Inputs!$E$14,-1)+1),"")</f>
        <v>0</v>
      </c>
      <c r="CJ8" s="72">
        <f>IFERROR(--(CJ4=EOMONTH(Inputs!$E$14,-1)+1),"")</f>
        <v>0</v>
      </c>
      <c r="CK8" s="72">
        <f>IFERROR(--(CK4=EOMONTH(Inputs!$E$14,-1)+1),"")</f>
        <v>0</v>
      </c>
      <c r="CL8" s="72">
        <f>IFERROR(--(CL4=EOMONTH(Inputs!$E$14,-1)+1),"")</f>
        <v>0</v>
      </c>
      <c r="CM8" s="72">
        <f>IFERROR(--(CM4=EOMONTH(Inputs!$E$14,-1)+1),"")</f>
        <v>0</v>
      </c>
      <c r="CN8" s="72">
        <f>IFERROR(--(CN4=EOMONTH(Inputs!$E$14,-1)+1),"")</f>
        <v>0</v>
      </c>
      <c r="CO8" s="72">
        <f>IFERROR(--(CO4=EOMONTH(Inputs!$E$14,-1)+1),"")</f>
        <v>0</v>
      </c>
      <c r="CP8" s="72">
        <f>IFERROR(--(CP4=EOMONTH(Inputs!$E$14,-1)+1),"")</f>
        <v>0</v>
      </c>
      <c r="CQ8" s="72">
        <f>IFERROR(--(CQ4=EOMONTH(Inputs!$E$14,-1)+1),"")</f>
        <v>0</v>
      </c>
      <c r="CR8" s="72">
        <f>IFERROR(--(CR4=EOMONTH(Inputs!$E$14,-1)+1),"")</f>
        <v>0</v>
      </c>
      <c r="CS8" s="72">
        <f>IFERROR(--(CS4=EOMONTH(Inputs!$E$14,-1)+1),"")</f>
        <v>0</v>
      </c>
      <c r="CT8" s="72">
        <f>IFERROR(--(CT4=EOMONTH(Inputs!$E$14,-1)+1),"")</f>
        <v>0</v>
      </c>
      <c r="CU8" s="72">
        <f>IFERROR(--(CU4=EOMONTH(Inputs!$E$14,-1)+1),"")</f>
        <v>0</v>
      </c>
      <c r="CV8" s="72">
        <f>IFERROR(--(CV4=EOMONTH(Inputs!$E$14,-1)+1),"")</f>
        <v>0</v>
      </c>
      <c r="CW8" s="72">
        <f>IFERROR(--(CW4=EOMONTH(Inputs!$E$14,-1)+1),"")</f>
        <v>0</v>
      </c>
      <c r="CX8" s="72">
        <f>IFERROR(--(CX4=EOMONTH(Inputs!$E$14,-1)+1),"")</f>
        <v>0</v>
      </c>
      <c r="CY8" s="72">
        <f>IFERROR(--(CY4=EOMONTH(Inputs!$E$14,-1)+1),"")</f>
        <v>0</v>
      </c>
      <c r="CZ8" s="72">
        <f>IFERROR(--(CZ4=EOMONTH(Inputs!$E$14,-1)+1),"")</f>
        <v>0</v>
      </c>
      <c r="DA8" s="72">
        <f>IFERROR(--(DA4=EOMONTH(Inputs!$E$14,-1)+1),"")</f>
        <v>0</v>
      </c>
      <c r="DB8" s="72">
        <f>IFERROR(--(DB4=EOMONTH(Inputs!$E$14,-1)+1),"")</f>
        <v>0</v>
      </c>
      <c r="DC8" s="72">
        <f>IFERROR(--(DC4=EOMONTH(Inputs!$E$14,-1)+1),"")</f>
        <v>0</v>
      </c>
      <c r="DD8" s="72">
        <f>IFERROR(--(DD4=EOMONTH(Inputs!$E$14,-1)+1),"")</f>
        <v>0</v>
      </c>
      <c r="DE8" s="72">
        <f>IFERROR(--(DE4=EOMONTH(Inputs!$E$14,-1)+1),"")</f>
        <v>0</v>
      </c>
      <c r="DF8" s="72">
        <f>IFERROR(--(DF4=EOMONTH(Inputs!$E$14,-1)+1),"")</f>
        <v>0</v>
      </c>
      <c r="DG8" s="72">
        <f>IFERROR(--(DG4=EOMONTH(Inputs!$E$14,-1)+1),"")</f>
        <v>0</v>
      </c>
      <c r="DH8" s="72">
        <f>IFERROR(--(DH4=EOMONTH(Inputs!$E$14,-1)+1),"")</f>
        <v>0</v>
      </c>
      <c r="DI8" s="72">
        <f>IFERROR(--(DI4=EOMONTH(Inputs!$E$14,-1)+1),"")</f>
        <v>0</v>
      </c>
      <c r="DJ8" s="72">
        <f>IFERROR(--(DJ4=EOMONTH(Inputs!$E$14,-1)+1),"")</f>
        <v>0</v>
      </c>
      <c r="DK8" s="72">
        <f>IFERROR(--(DK4=EOMONTH(Inputs!$E$14,-1)+1),"")</f>
        <v>0</v>
      </c>
      <c r="DL8" s="72">
        <f>IFERROR(--(DL4=EOMONTH(Inputs!$E$14,-1)+1),"")</f>
        <v>0</v>
      </c>
      <c r="DM8" s="72">
        <f>IFERROR(--(DM4=EOMONTH(Inputs!$E$14,-1)+1),"")</f>
        <v>0</v>
      </c>
      <c r="DN8" s="72">
        <f>IFERROR(--(DN4=EOMONTH(Inputs!$E$14,-1)+1),"")</f>
        <v>0</v>
      </c>
      <c r="DO8" s="72">
        <f>IFERROR(--(DO4=EOMONTH(Inputs!$E$14,-1)+1),"")</f>
        <v>0</v>
      </c>
      <c r="DP8" s="72">
        <f>IFERROR(--(DP4=EOMONTH(Inputs!$E$14,-1)+1),"")</f>
        <v>0</v>
      </c>
      <c r="DQ8" s="72">
        <f>IFERROR(--(DQ4=EOMONTH(Inputs!$E$14,-1)+1),"")</f>
        <v>0</v>
      </c>
      <c r="DR8" s="72">
        <f>IFERROR(--(DR4=EOMONTH(Inputs!$E$14,-1)+1),"")</f>
        <v>0</v>
      </c>
      <c r="DS8" s="72">
        <f>IFERROR(--(DS4=EOMONTH(Inputs!$E$14,-1)+1),"")</f>
        <v>0</v>
      </c>
      <c r="DT8" s="72">
        <f>IFERROR(--(DT4=EOMONTH(Inputs!$E$14,-1)+1),"")</f>
        <v>0</v>
      </c>
      <c r="DU8" s="72">
        <f>IFERROR(--(DU4=EOMONTH(Inputs!$E$14,-1)+1),"")</f>
        <v>0</v>
      </c>
      <c r="DV8" s="72">
        <f>IFERROR(--(DV4=EOMONTH(Inputs!$E$14,-1)+1),"")</f>
        <v>0</v>
      </c>
      <c r="DW8" s="72">
        <f>IFERROR(--(DW4=EOMONTH(Inputs!$E$14,-1)+1),"")</f>
        <v>0</v>
      </c>
      <c r="DX8" s="72">
        <f>IFERROR(--(DX4=EOMONTH(Inputs!$E$14,-1)+1),"")</f>
        <v>0</v>
      </c>
      <c r="DY8" s="72">
        <f>IFERROR(--(DY4=EOMONTH(Inputs!$E$14,-1)+1),"")</f>
        <v>0</v>
      </c>
      <c r="DZ8" s="72">
        <f>IFERROR(--(DZ4=EOMONTH(Inputs!$E$14,-1)+1),"")</f>
        <v>0</v>
      </c>
      <c r="EA8" s="72">
        <f>IFERROR(--(EA4=EOMONTH(Inputs!$E$14,-1)+1),"")</f>
        <v>0</v>
      </c>
      <c r="EB8" s="72">
        <f>IFERROR(--(EB4=EOMONTH(Inputs!$E$14,-1)+1),"")</f>
        <v>0</v>
      </c>
      <c r="EC8" s="72">
        <f>IFERROR(--(EC4=EOMONTH(Inputs!$E$14,-1)+1),"")</f>
        <v>0</v>
      </c>
      <c r="ED8" s="72">
        <f>IFERROR(--(ED4=EOMONTH(Inputs!$E$14,-1)+1),"")</f>
        <v>0</v>
      </c>
      <c r="EE8" s="72">
        <f>IFERROR(--(EE4=EOMONTH(Inputs!$E$14,-1)+1),"")</f>
        <v>0</v>
      </c>
      <c r="EF8" s="72">
        <f>IFERROR(--(EF4=EOMONTH(Inputs!$E$14,-1)+1),"")</f>
        <v>0</v>
      </c>
      <c r="EG8" s="72">
        <f>IFERROR(--(EG4=EOMONTH(Inputs!$E$14,-1)+1),"")</f>
        <v>0</v>
      </c>
      <c r="EH8" s="72">
        <f>IFERROR(--(EH4=EOMONTH(Inputs!$E$14,-1)+1),"")</f>
        <v>0</v>
      </c>
      <c r="EI8" s="72">
        <f>IFERROR(--(EI4=EOMONTH(Inputs!$E$14,-1)+1),"")</f>
        <v>0</v>
      </c>
      <c r="EJ8" s="72">
        <f>IFERROR(--(EJ4=EOMONTH(Inputs!$E$14,-1)+1),"")</f>
        <v>0</v>
      </c>
      <c r="EK8" s="72">
        <f>IFERROR(--(EK4=EOMONTH(Inputs!$E$14,-1)+1),"")</f>
        <v>0</v>
      </c>
      <c r="EL8" s="72">
        <f>IFERROR(--(EL4=EOMONTH(Inputs!$E$14,-1)+1),"")</f>
        <v>0</v>
      </c>
      <c r="EM8" s="72">
        <f>IFERROR(--(EM4=EOMONTH(Inputs!$E$14,-1)+1),"")</f>
        <v>0</v>
      </c>
      <c r="EN8" s="72">
        <f>IFERROR(--(EN4=EOMONTH(Inputs!$E$14,-1)+1),"")</f>
        <v>0</v>
      </c>
    </row>
    <row r="9" spans="1:144" x14ac:dyDescent="0.35">
      <c r="A9" s="72" t="s">
        <v>1651</v>
      </c>
      <c r="B9" s="331"/>
      <c r="C9" s="72" t="str">
        <f>IFERROR(--(AND(C4&gt;=EOMONTH(Inputs!$F$15,-1)+1,C4&lt;=EOMONTH(Inputs!$F$18,-1)+1)),"")</f>
        <v/>
      </c>
      <c r="D9" s="72" t="str">
        <f>IFERROR(--(AND(D4&gt;=EOMONTH(Inputs!$F$15,-1)+1,D4&lt;=EOMONTH(Inputs!$F$18,-1)+1)),"")</f>
        <v/>
      </c>
      <c r="E9" s="72" t="str">
        <f>IFERROR(--(AND(E4&gt;=EOMONTH(Inputs!$F$15,-1)+1,E4&lt;=EOMONTH(Inputs!$F$18,-1)+1)),"")</f>
        <v/>
      </c>
      <c r="F9" s="72" t="str">
        <f>IFERROR(--(AND(F4&gt;=EOMONTH(Inputs!$F$15,-1)+1,F4&lt;=EOMONTH(Inputs!$F$18,-1)+1)),"")</f>
        <v/>
      </c>
      <c r="G9" s="72" t="str">
        <f>IFERROR(--(AND(G4&gt;=EOMONTH(Inputs!$F$15,-1)+1,G4&lt;=EOMONTH(Inputs!$F$18,-1)+1)),"")</f>
        <v/>
      </c>
      <c r="H9" s="72" t="str">
        <f>IFERROR(--(AND(H4&gt;=EOMONTH(Inputs!$F$15,-1)+1,H4&lt;=EOMONTH(Inputs!$F$18,-1)+1)),"")</f>
        <v/>
      </c>
      <c r="I9" s="72" t="str">
        <f>IFERROR(--(AND(I4&gt;=EOMONTH(Inputs!$F$15,-1)+1,I4&lt;=EOMONTH(Inputs!$F$18,-1)+1)),"")</f>
        <v/>
      </c>
      <c r="J9" s="72" t="str">
        <f>IFERROR(--(AND(J4&gt;=EOMONTH(Inputs!$F$15,-1)+1,J4&lt;=EOMONTH(Inputs!$F$18,-1)+1)),"")</f>
        <v/>
      </c>
      <c r="K9" s="72" t="str">
        <f>IFERROR(--(AND(K4&gt;=EOMONTH(Inputs!$F$15,-1)+1,K4&lt;=EOMONTH(Inputs!$F$18,-1)+1)),"")</f>
        <v/>
      </c>
      <c r="L9" s="72" t="str">
        <f>IFERROR(--(AND(L4&gt;=EOMONTH(Inputs!$F$15,-1)+1,L4&lt;=EOMONTH(Inputs!$F$18,-1)+1)),"")</f>
        <v/>
      </c>
      <c r="M9" s="72" t="str">
        <f>IFERROR(--(AND(M4&gt;=EOMONTH(Inputs!$F$15,-1)+1,M4&lt;=EOMONTH(Inputs!$F$18,-1)+1)),"")</f>
        <v/>
      </c>
      <c r="N9" s="72" t="str">
        <f>IFERROR(--(AND(N4&gt;=EOMONTH(Inputs!$F$15,-1)+1,N4&lt;=EOMONTH(Inputs!$F$18,-1)+1)),"")</f>
        <v/>
      </c>
      <c r="O9" s="72" t="str">
        <f>IFERROR(--(AND(O4&gt;=EOMONTH(Inputs!$F$15,-1)+1,O4&lt;=EOMONTH(Inputs!$F$18,-1)+1)),"")</f>
        <v/>
      </c>
      <c r="P9" s="72" t="str">
        <f>IFERROR(--(AND(P4&gt;=EOMONTH(Inputs!$F$15,-1)+1,P4&lt;=EOMONTH(Inputs!$F$18,-1)+1)),"")</f>
        <v/>
      </c>
      <c r="Q9" s="72" t="str">
        <f>IFERROR(--(AND(Q4&gt;=EOMONTH(Inputs!$F$15,-1)+1,Q4&lt;=EOMONTH(Inputs!$F$18,-1)+1)),"")</f>
        <v/>
      </c>
      <c r="R9" s="72" t="str">
        <f>IFERROR(--(AND(R4&gt;=EOMONTH(Inputs!$F$15,-1)+1,R4&lt;=EOMONTH(Inputs!$F$18,-1)+1)),"")</f>
        <v/>
      </c>
      <c r="S9" s="72" t="str">
        <f>IFERROR(--(AND(S4&gt;=EOMONTH(Inputs!$F$15,-1)+1,S4&lt;=EOMONTH(Inputs!$F$18,-1)+1)),"")</f>
        <v/>
      </c>
      <c r="T9" s="72" t="str">
        <f>IFERROR(--(AND(T4&gt;=EOMONTH(Inputs!$F$15,-1)+1,T4&lt;=EOMONTH(Inputs!$F$18,-1)+1)),"")</f>
        <v/>
      </c>
      <c r="U9" s="72" t="str">
        <f>IFERROR(--(AND(U4&gt;=EOMONTH(Inputs!$F$15,-1)+1,U4&lt;=EOMONTH(Inputs!$F$18,-1)+1)),"")</f>
        <v/>
      </c>
      <c r="V9" s="72" t="str">
        <f>IFERROR(--(AND(V4&gt;=EOMONTH(Inputs!$F$15,-1)+1,V4&lt;=EOMONTH(Inputs!$F$18,-1)+1)),"")</f>
        <v/>
      </c>
      <c r="W9" s="72" t="str">
        <f>IFERROR(--(AND(W4&gt;=EOMONTH(Inputs!$F$15,-1)+1,W4&lt;=EOMONTH(Inputs!$F$18,-1)+1)),"")</f>
        <v/>
      </c>
      <c r="X9" s="72" t="str">
        <f>IFERROR(--(AND(X4&gt;=EOMONTH(Inputs!$F$15,-1)+1,X4&lt;=EOMONTH(Inputs!$F$18,-1)+1)),"")</f>
        <v/>
      </c>
      <c r="Y9" s="72" t="str">
        <f>IFERROR(--(AND(Y4&gt;=EOMONTH(Inputs!$F$15,-1)+1,Y4&lt;=EOMONTH(Inputs!$F$18,-1)+1)),"")</f>
        <v/>
      </c>
      <c r="Z9" s="72" t="str">
        <f>IFERROR(--(AND(Z4&gt;=EOMONTH(Inputs!$F$15,-1)+1,Z4&lt;=EOMONTH(Inputs!$F$18,-1)+1)),"")</f>
        <v/>
      </c>
      <c r="AA9" s="72" t="str">
        <f>IFERROR(--(AND(AA4&gt;=EOMONTH(Inputs!$F$15,-1)+1,AA4&lt;=EOMONTH(Inputs!$F$18,-1)+1)),"")</f>
        <v/>
      </c>
      <c r="AB9" s="72" t="str">
        <f>IFERROR(--(AND(AB4&gt;=EOMONTH(Inputs!$F$15,-1)+1,AB4&lt;=EOMONTH(Inputs!$F$18,-1)+1)),"")</f>
        <v/>
      </c>
      <c r="AC9" s="72" t="str">
        <f>IFERROR(--(AND(AC4&gt;=EOMONTH(Inputs!$F$15,-1)+1,AC4&lt;=EOMONTH(Inputs!$F$18,-1)+1)),"")</f>
        <v/>
      </c>
      <c r="AD9" s="72" t="str">
        <f>IFERROR(--(AND(AD4&gt;=EOMONTH(Inputs!$F$15,-1)+1,AD4&lt;=EOMONTH(Inputs!$F$18,-1)+1)),"")</f>
        <v/>
      </c>
      <c r="AE9" s="72" t="str">
        <f>IFERROR(--(AND(AE4&gt;=EOMONTH(Inputs!$F$15,-1)+1,AE4&lt;=EOMONTH(Inputs!$F$18,-1)+1)),"")</f>
        <v/>
      </c>
      <c r="AF9" s="72" t="str">
        <f>IFERROR(--(AND(AF4&gt;=EOMONTH(Inputs!$F$15,-1)+1,AF4&lt;=EOMONTH(Inputs!$F$18,-1)+1)),"")</f>
        <v/>
      </c>
      <c r="AG9" s="72" t="str">
        <f>IFERROR(--(AND(AG4&gt;=EOMONTH(Inputs!$F$15,-1)+1,AG4&lt;=EOMONTH(Inputs!$F$18,-1)+1)),"")</f>
        <v/>
      </c>
      <c r="AH9" s="72" t="str">
        <f>IFERROR(--(AND(AH4&gt;=EOMONTH(Inputs!$F$15,-1)+1,AH4&lt;=EOMONTH(Inputs!$F$18,-1)+1)),"")</f>
        <v/>
      </c>
      <c r="AI9" s="72" t="str">
        <f>IFERROR(--(AND(AI4&gt;=EOMONTH(Inputs!$F$15,-1)+1,AI4&lt;=EOMONTH(Inputs!$F$18,-1)+1)),"")</f>
        <v/>
      </c>
      <c r="AJ9" s="72" t="str">
        <f>IFERROR(--(AND(AJ4&gt;=EOMONTH(Inputs!$F$15,-1)+1,AJ4&lt;=EOMONTH(Inputs!$F$18,-1)+1)),"")</f>
        <v/>
      </c>
      <c r="AK9" s="72" t="str">
        <f>IFERROR(--(AND(AK4&gt;=EOMONTH(Inputs!$F$15,-1)+1,AK4&lt;=EOMONTH(Inputs!$F$18,-1)+1)),"")</f>
        <v/>
      </c>
      <c r="AL9" s="72" t="str">
        <f>IFERROR(--(AND(AL4&gt;=EOMONTH(Inputs!$F$15,-1)+1,AL4&lt;=EOMONTH(Inputs!$F$18,-1)+1)),"")</f>
        <v/>
      </c>
      <c r="AM9" s="72" t="str">
        <f>IFERROR(--(AND(AM4&gt;=EOMONTH(Inputs!$F$15,-1)+1,AM4&lt;=EOMONTH(Inputs!$F$18,-1)+1)),"")</f>
        <v/>
      </c>
      <c r="AN9" s="72" t="str">
        <f>IFERROR(--(AND(AN4&gt;=EOMONTH(Inputs!$F$15,-1)+1,AN4&lt;=EOMONTH(Inputs!$F$18,-1)+1)),"")</f>
        <v/>
      </c>
      <c r="AO9" s="72" t="str">
        <f>IFERROR(--(AND(AO4&gt;=EOMONTH(Inputs!$F$15,-1)+1,AO4&lt;=EOMONTH(Inputs!$F$18,-1)+1)),"")</f>
        <v/>
      </c>
      <c r="AP9" s="72" t="str">
        <f>IFERROR(--(AND(AP4&gt;=EOMONTH(Inputs!$F$15,-1)+1,AP4&lt;=EOMONTH(Inputs!$F$18,-1)+1)),"")</f>
        <v/>
      </c>
      <c r="AQ9" s="72" t="str">
        <f>IFERROR(--(AND(AQ4&gt;=EOMONTH(Inputs!$F$15,-1)+1,AQ4&lt;=EOMONTH(Inputs!$F$18,-1)+1)),"")</f>
        <v/>
      </c>
      <c r="AR9" s="72" t="str">
        <f>IFERROR(--(AND(AR4&gt;=EOMONTH(Inputs!$F$15,-1)+1,AR4&lt;=EOMONTH(Inputs!$F$18,-1)+1)),"")</f>
        <v/>
      </c>
      <c r="AS9" s="72" t="str">
        <f>IFERROR(--(AND(AS4&gt;=EOMONTH(Inputs!$F$15,-1)+1,AS4&lt;=EOMONTH(Inputs!$F$18,-1)+1)),"")</f>
        <v/>
      </c>
      <c r="AT9" s="72" t="str">
        <f>IFERROR(--(AND(AT4&gt;=EOMONTH(Inputs!$F$15,-1)+1,AT4&lt;=EOMONTH(Inputs!$F$18,-1)+1)),"")</f>
        <v/>
      </c>
      <c r="AU9" s="72" t="str">
        <f>IFERROR(--(AND(AU4&gt;=EOMONTH(Inputs!$F$15,-1)+1,AU4&lt;=EOMONTH(Inputs!$F$18,-1)+1)),"")</f>
        <v/>
      </c>
      <c r="AV9" s="72" t="str">
        <f>IFERROR(--(AND(AV4&gt;=EOMONTH(Inputs!$F$15,-1)+1,AV4&lt;=EOMONTH(Inputs!$F$18,-1)+1)),"")</f>
        <v/>
      </c>
      <c r="AW9" s="72" t="str">
        <f>IFERROR(--(AND(AW4&gt;=EOMONTH(Inputs!$F$15,-1)+1,AW4&lt;=EOMONTH(Inputs!$F$18,-1)+1)),"")</f>
        <v/>
      </c>
      <c r="AX9" s="72" t="str">
        <f>IFERROR(--(AND(AX4&gt;=EOMONTH(Inputs!$F$15,-1)+1,AX4&lt;=EOMONTH(Inputs!$F$18,-1)+1)),"")</f>
        <v/>
      </c>
      <c r="AY9" s="72" t="str">
        <f>IFERROR(--(AND(AY4&gt;=EOMONTH(Inputs!$F$15,-1)+1,AY4&lt;=EOMONTH(Inputs!$F$18,-1)+1)),"")</f>
        <v/>
      </c>
      <c r="AZ9" s="72" t="str">
        <f>IFERROR(--(AND(AZ4&gt;=EOMONTH(Inputs!$F$15,-1)+1,AZ4&lt;=EOMONTH(Inputs!$F$18,-1)+1)),"")</f>
        <v/>
      </c>
      <c r="BA9" s="72" t="str">
        <f>IFERROR(--(AND(BA4&gt;=EOMONTH(Inputs!$F$15,-1)+1,BA4&lt;=EOMONTH(Inputs!$F$18,-1)+1)),"")</f>
        <v/>
      </c>
      <c r="BB9" s="72" t="str">
        <f>IFERROR(--(AND(BB4&gt;=EOMONTH(Inputs!$F$15,-1)+1,BB4&lt;=EOMONTH(Inputs!$F$18,-1)+1)),"")</f>
        <v/>
      </c>
      <c r="BC9" s="72" t="str">
        <f>IFERROR(--(AND(BC4&gt;=EOMONTH(Inputs!$F$15,-1)+1,BC4&lt;=EOMONTH(Inputs!$F$18,-1)+1)),"")</f>
        <v/>
      </c>
      <c r="BD9" s="72" t="str">
        <f>IFERROR(--(AND(BD4&gt;=EOMONTH(Inputs!$F$15,-1)+1,BD4&lt;=EOMONTH(Inputs!$F$18,-1)+1)),"")</f>
        <v/>
      </c>
      <c r="BE9" s="72" t="str">
        <f>IFERROR(--(AND(BE4&gt;=EOMONTH(Inputs!$F$15,-1)+1,BE4&lt;=EOMONTH(Inputs!$F$18,-1)+1)),"")</f>
        <v/>
      </c>
      <c r="BF9" s="72" t="str">
        <f>IFERROR(--(AND(BF4&gt;=EOMONTH(Inputs!$F$15,-1)+1,BF4&lt;=EOMONTH(Inputs!$F$18,-1)+1)),"")</f>
        <v/>
      </c>
      <c r="BG9" s="72" t="str">
        <f>IFERROR(--(AND(BG4&gt;=EOMONTH(Inputs!$F$15,-1)+1,BG4&lt;=EOMONTH(Inputs!$F$18,-1)+1)),"")</f>
        <v/>
      </c>
      <c r="BH9" s="72" t="str">
        <f>IFERROR(--(AND(BH4&gt;=EOMONTH(Inputs!$F$15,-1)+1,BH4&lt;=EOMONTH(Inputs!$F$18,-1)+1)),"")</f>
        <v/>
      </c>
      <c r="BI9" s="72" t="str">
        <f>IFERROR(--(AND(BI4&gt;=EOMONTH(Inputs!$F$15,-1)+1,BI4&lt;=EOMONTH(Inputs!$F$18,-1)+1)),"")</f>
        <v/>
      </c>
      <c r="BJ9" s="72" t="str">
        <f>IFERROR(--(AND(BJ4&gt;=EOMONTH(Inputs!$F$15,-1)+1,BJ4&lt;=EOMONTH(Inputs!$F$18,-1)+1)),"")</f>
        <v/>
      </c>
      <c r="BK9" s="72" t="str">
        <f>IFERROR(--(AND(BK4&gt;=EOMONTH(Inputs!$F$15,-1)+1,BK4&lt;=EOMONTH(Inputs!$F$18,-1)+1)),"")</f>
        <v/>
      </c>
      <c r="BL9" s="72" t="str">
        <f>IFERROR(--(AND(BL4&gt;=EOMONTH(Inputs!$F$15,-1)+1,BL4&lt;=EOMONTH(Inputs!$F$18,-1)+1)),"")</f>
        <v/>
      </c>
      <c r="BM9" s="72" t="str">
        <f>IFERROR(--(AND(BM4&gt;=EOMONTH(Inputs!$F$15,-1)+1,BM4&lt;=EOMONTH(Inputs!$F$18,-1)+1)),"")</f>
        <v/>
      </c>
      <c r="BN9" s="72" t="str">
        <f>IFERROR(--(AND(BN4&gt;=EOMONTH(Inputs!$F$15,-1)+1,BN4&lt;=EOMONTH(Inputs!$F$18,-1)+1)),"")</f>
        <v/>
      </c>
      <c r="BO9" s="72" t="str">
        <f>IFERROR(--(AND(BO4&gt;=EOMONTH(Inputs!$F$15,-1)+1,BO4&lt;=EOMONTH(Inputs!$F$18,-1)+1)),"")</f>
        <v/>
      </c>
      <c r="BP9" s="72" t="str">
        <f>IFERROR(--(AND(BP4&gt;=EOMONTH(Inputs!$F$15,-1)+1,BP4&lt;=EOMONTH(Inputs!$F$18,-1)+1)),"")</f>
        <v/>
      </c>
      <c r="BQ9" s="72" t="str">
        <f>IFERROR(--(AND(BQ4&gt;=EOMONTH(Inputs!$F$15,-1)+1,BQ4&lt;=EOMONTH(Inputs!$F$18,-1)+1)),"")</f>
        <v/>
      </c>
      <c r="BR9" s="72" t="str">
        <f>IFERROR(--(AND(BR4&gt;=EOMONTH(Inputs!$F$15,-1)+1,BR4&lt;=EOMONTH(Inputs!$F$18,-1)+1)),"")</f>
        <v/>
      </c>
      <c r="BS9" s="72" t="str">
        <f>IFERROR(--(AND(BS4&gt;=EOMONTH(Inputs!$F$15,-1)+1,BS4&lt;=EOMONTH(Inputs!$F$18,-1)+1)),"")</f>
        <v/>
      </c>
      <c r="BT9" s="72" t="str">
        <f>IFERROR(--(AND(BT4&gt;=EOMONTH(Inputs!$F$15,-1)+1,BT4&lt;=EOMONTH(Inputs!$F$18,-1)+1)),"")</f>
        <v/>
      </c>
      <c r="BU9" s="72" t="str">
        <f>IFERROR(--(AND(BU4&gt;=EOMONTH(Inputs!$F$15,-1)+1,BU4&lt;=EOMONTH(Inputs!$F$18,-1)+1)),"")</f>
        <v/>
      </c>
      <c r="BV9" s="72" t="str">
        <f>IFERROR(--(AND(BV4&gt;=EOMONTH(Inputs!$F$15,-1)+1,BV4&lt;=EOMONTH(Inputs!$F$18,-1)+1)),"")</f>
        <v/>
      </c>
      <c r="BW9" s="72" t="str">
        <f>IFERROR(--(AND(BW4&gt;=EOMONTH(Inputs!$F$15,-1)+1,BW4&lt;=EOMONTH(Inputs!$F$18,-1)+1)),"")</f>
        <v/>
      </c>
      <c r="BX9" s="72" t="str">
        <f>IFERROR(--(AND(BX4&gt;=EOMONTH(Inputs!$F$15,-1)+1,BX4&lt;=EOMONTH(Inputs!$F$18,-1)+1)),"")</f>
        <v/>
      </c>
      <c r="BY9" s="72" t="str">
        <f>IFERROR(--(AND(BY4&gt;=EOMONTH(Inputs!$F$15,-1)+1,BY4&lt;=EOMONTH(Inputs!$F$18,-1)+1)),"")</f>
        <v/>
      </c>
      <c r="BZ9" s="72" t="str">
        <f>IFERROR(--(AND(BZ4&gt;=EOMONTH(Inputs!$F$15,-1)+1,BZ4&lt;=EOMONTH(Inputs!$F$18,-1)+1)),"")</f>
        <v/>
      </c>
      <c r="CA9" s="72" t="str">
        <f>IFERROR(--(AND(CA4&gt;=EOMONTH(Inputs!$F$15,-1)+1,CA4&lt;=EOMONTH(Inputs!$F$18,-1)+1)),"")</f>
        <v/>
      </c>
      <c r="CB9" s="72" t="str">
        <f>IFERROR(--(AND(CB4&gt;=EOMONTH(Inputs!$F$15,-1)+1,CB4&lt;=EOMONTH(Inputs!$F$18,-1)+1)),"")</f>
        <v/>
      </c>
      <c r="CC9" s="72" t="str">
        <f>IFERROR(--(AND(CC4&gt;=EOMONTH(Inputs!$F$15,-1)+1,CC4&lt;=EOMONTH(Inputs!$F$18,-1)+1)),"")</f>
        <v/>
      </c>
      <c r="CD9" s="72" t="str">
        <f>IFERROR(--(AND(CD4&gt;=EOMONTH(Inputs!$F$15,-1)+1,CD4&lt;=EOMONTH(Inputs!$F$18,-1)+1)),"")</f>
        <v/>
      </c>
      <c r="CE9" s="72" t="str">
        <f>IFERROR(--(AND(CE4&gt;=EOMONTH(Inputs!$F$15,-1)+1,CE4&lt;=EOMONTH(Inputs!$F$18,-1)+1)),"")</f>
        <v/>
      </c>
      <c r="CF9" s="72" t="str">
        <f>IFERROR(--(AND(CF4&gt;=EOMONTH(Inputs!$F$15,-1)+1,CF4&lt;=EOMONTH(Inputs!$F$18,-1)+1)),"")</f>
        <v/>
      </c>
      <c r="CG9" s="72" t="str">
        <f>IFERROR(--(AND(CG4&gt;=EOMONTH(Inputs!$F$15,-1)+1,CG4&lt;=EOMONTH(Inputs!$F$18,-1)+1)),"")</f>
        <v/>
      </c>
      <c r="CH9" s="72" t="str">
        <f>IFERROR(--(AND(CH4&gt;=EOMONTH(Inputs!$F$15,-1)+1,CH4&lt;=EOMONTH(Inputs!$F$18,-1)+1)),"")</f>
        <v/>
      </c>
      <c r="CI9" s="72" t="str">
        <f>IFERROR(--(AND(CI4&gt;=EOMONTH(Inputs!$F$15,-1)+1,CI4&lt;=EOMONTH(Inputs!$F$18,-1)+1)),"")</f>
        <v/>
      </c>
      <c r="CJ9" s="72" t="str">
        <f>IFERROR(--(AND(CJ4&gt;=EOMONTH(Inputs!$F$15,-1)+1,CJ4&lt;=EOMONTH(Inputs!$F$18,-1)+1)),"")</f>
        <v/>
      </c>
      <c r="CK9" s="72" t="str">
        <f>IFERROR(--(AND(CK4&gt;=EOMONTH(Inputs!$F$15,-1)+1,CK4&lt;=EOMONTH(Inputs!$F$18,-1)+1)),"")</f>
        <v/>
      </c>
      <c r="CL9" s="72" t="str">
        <f>IFERROR(--(AND(CL4&gt;=EOMONTH(Inputs!$F$15,-1)+1,CL4&lt;=EOMONTH(Inputs!$F$18,-1)+1)),"")</f>
        <v/>
      </c>
      <c r="CM9" s="72" t="str">
        <f>IFERROR(--(AND(CM4&gt;=EOMONTH(Inputs!$F$15,-1)+1,CM4&lt;=EOMONTH(Inputs!$F$18,-1)+1)),"")</f>
        <v/>
      </c>
      <c r="CN9" s="72" t="str">
        <f>IFERROR(--(AND(CN4&gt;=EOMONTH(Inputs!$F$15,-1)+1,CN4&lt;=EOMONTH(Inputs!$F$18,-1)+1)),"")</f>
        <v/>
      </c>
      <c r="CO9" s="72" t="str">
        <f>IFERROR(--(AND(CO4&gt;=EOMONTH(Inputs!$F$15,-1)+1,CO4&lt;=EOMONTH(Inputs!$F$18,-1)+1)),"")</f>
        <v/>
      </c>
      <c r="CP9" s="72" t="str">
        <f>IFERROR(--(AND(CP4&gt;=EOMONTH(Inputs!$F$15,-1)+1,CP4&lt;=EOMONTH(Inputs!$F$18,-1)+1)),"")</f>
        <v/>
      </c>
      <c r="CQ9" s="72" t="str">
        <f>IFERROR(--(AND(CQ4&gt;=EOMONTH(Inputs!$F$15,-1)+1,CQ4&lt;=EOMONTH(Inputs!$F$18,-1)+1)),"")</f>
        <v/>
      </c>
      <c r="CR9" s="72" t="str">
        <f>IFERROR(--(AND(CR4&gt;=EOMONTH(Inputs!$F$15,-1)+1,CR4&lt;=EOMONTH(Inputs!$F$18,-1)+1)),"")</f>
        <v/>
      </c>
      <c r="CS9" s="72" t="str">
        <f>IFERROR(--(AND(CS4&gt;=EOMONTH(Inputs!$F$15,-1)+1,CS4&lt;=EOMONTH(Inputs!$F$18,-1)+1)),"")</f>
        <v/>
      </c>
      <c r="CT9" s="72" t="str">
        <f>IFERROR(--(AND(CT4&gt;=EOMONTH(Inputs!$F$15,-1)+1,CT4&lt;=EOMONTH(Inputs!$F$18,-1)+1)),"")</f>
        <v/>
      </c>
      <c r="CU9" s="72" t="str">
        <f>IFERROR(--(AND(CU4&gt;=EOMONTH(Inputs!$F$15,-1)+1,CU4&lt;=EOMONTH(Inputs!$F$18,-1)+1)),"")</f>
        <v/>
      </c>
      <c r="CV9" s="72" t="str">
        <f>IFERROR(--(AND(CV4&gt;=EOMONTH(Inputs!$F$15,-1)+1,CV4&lt;=EOMONTH(Inputs!$F$18,-1)+1)),"")</f>
        <v/>
      </c>
      <c r="CW9" s="72" t="str">
        <f>IFERROR(--(AND(CW4&gt;=EOMONTH(Inputs!$F$15,-1)+1,CW4&lt;=EOMONTH(Inputs!$F$18,-1)+1)),"")</f>
        <v/>
      </c>
      <c r="CX9" s="72" t="str">
        <f>IFERROR(--(AND(CX4&gt;=EOMONTH(Inputs!$F$15,-1)+1,CX4&lt;=EOMONTH(Inputs!$F$18,-1)+1)),"")</f>
        <v/>
      </c>
      <c r="CY9" s="72" t="str">
        <f>IFERROR(--(AND(CY4&gt;=EOMONTH(Inputs!$F$15,-1)+1,CY4&lt;=EOMONTH(Inputs!$F$18,-1)+1)),"")</f>
        <v/>
      </c>
      <c r="CZ9" s="72" t="str">
        <f>IFERROR(--(AND(CZ4&gt;=EOMONTH(Inputs!$F$15,-1)+1,CZ4&lt;=EOMONTH(Inputs!$F$18,-1)+1)),"")</f>
        <v/>
      </c>
      <c r="DA9" s="72" t="str">
        <f>IFERROR(--(AND(DA4&gt;=EOMONTH(Inputs!$F$15,-1)+1,DA4&lt;=EOMONTH(Inputs!$F$18,-1)+1)),"")</f>
        <v/>
      </c>
      <c r="DB9" s="72" t="str">
        <f>IFERROR(--(AND(DB4&gt;=EOMONTH(Inputs!$F$15,-1)+1,DB4&lt;=EOMONTH(Inputs!$F$18,-1)+1)),"")</f>
        <v/>
      </c>
      <c r="DC9" s="72" t="str">
        <f>IFERROR(--(AND(DC4&gt;=EOMONTH(Inputs!$F$15,-1)+1,DC4&lt;=EOMONTH(Inputs!$F$18,-1)+1)),"")</f>
        <v/>
      </c>
      <c r="DD9" s="72" t="str">
        <f>IFERROR(--(AND(DD4&gt;=EOMONTH(Inputs!$F$15,-1)+1,DD4&lt;=EOMONTH(Inputs!$F$18,-1)+1)),"")</f>
        <v/>
      </c>
      <c r="DE9" s="72" t="str">
        <f>IFERROR(--(AND(DE4&gt;=EOMONTH(Inputs!$F$15,-1)+1,DE4&lt;=EOMONTH(Inputs!$F$18,-1)+1)),"")</f>
        <v/>
      </c>
      <c r="DF9" s="72" t="str">
        <f>IFERROR(--(AND(DF4&gt;=EOMONTH(Inputs!$F$15,-1)+1,DF4&lt;=EOMONTH(Inputs!$F$18,-1)+1)),"")</f>
        <v/>
      </c>
      <c r="DG9" s="72" t="str">
        <f>IFERROR(--(AND(DG4&gt;=EOMONTH(Inputs!$F$15,-1)+1,DG4&lt;=EOMONTH(Inputs!$F$18,-1)+1)),"")</f>
        <v/>
      </c>
      <c r="DH9" s="72" t="str">
        <f>IFERROR(--(AND(DH4&gt;=EOMONTH(Inputs!$F$15,-1)+1,DH4&lt;=EOMONTH(Inputs!$F$18,-1)+1)),"")</f>
        <v/>
      </c>
      <c r="DI9" s="72" t="str">
        <f>IFERROR(--(AND(DI4&gt;=EOMONTH(Inputs!$F$15,-1)+1,DI4&lt;=EOMONTH(Inputs!$F$18,-1)+1)),"")</f>
        <v/>
      </c>
      <c r="DJ9" s="72" t="str">
        <f>IFERROR(--(AND(DJ4&gt;=EOMONTH(Inputs!$F$15,-1)+1,DJ4&lt;=EOMONTH(Inputs!$F$18,-1)+1)),"")</f>
        <v/>
      </c>
      <c r="DK9" s="72" t="str">
        <f>IFERROR(--(AND(DK4&gt;=EOMONTH(Inputs!$F$15,-1)+1,DK4&lt;=EOMONTH(Inputs!$F$18,-1)+1)),"")</f>
        <v/>
      </c>
      <c r="DL9" s="72" t="str">
        <f>IFERROR(--(AND(DL4&gt;=EOMONTH(Inputs!$F$15,-1)+1,DL4&lt;=EOMONTH(Inputs!$F$18,-1)+1)),"")</f>
        <v/>
      </c>
      <c r="DM9" s="72" t="str">
        <f>IFERROR(--(AND(DM4&gt;=EOMONTH(Inputs!$F$15,-1)+1,DM4&lt;=EOMONTH(Inputs!$F$18,-1)+1)),"")</f>
        <v/>
      </c>
      <c r="DN9" s="72" t="str">
        <f>IFERROR(--(AND(DN4&gt;=EOMONTH(Inputs!$F$15,-1)+1,DN4&lt;=EOMONTH(Inputs!$F$18,-1)+1)),"")</f>
        <v/>
      </c>
      <c r="DO9" s="72" t="str">
        <f>IFERROR(--(AND(DO4&gt;=EOMONTH(Inputs!$F$15,-1)+1,DO4&lt;=EOMONTH(Inputs!$F$18,-1)+1)),"")</f>
        <v/>
      </c>
      <c r="DP9" s="72" t="str">
        <f>IFERROR(--(AND(DP4&gt;=EOMONTH(Inputs!$F$15,-1)+1,DP4&lt;=EOMONTH(Inputs!$F$18,-1)+1)),"")</f>
        <v/>
      </c>
      <c r="DQ9" s="72" t="str">
        <f>IFERROR(--(AND(DQ4&gt;=EOMONTH(Inputs!$F$15,-1)+1,DQ4&lt;=EOMONTH(Inputs!$F$18,-1)+1)),"")</f>
        <v/>
      </c>
      <c r="DR9" s="72" t="str">
        <f>IFERROR(--(AND(DR4&gt;=EOMONTH(Inputs!$F$15,-1)+1,DR4&lt;=EOMONTH(Inputs!$F$18,-1)+1)),"")</f>
        <v/>
      </c>
      <c r="DS9" s="72" t="str">
        <f>IFERROR(--(AND(DS4&gt;=EOMONTH(Inputs!$F$15,-1)+1,DS4&lt;=EOMONTH(Inputs!$F$18,-1)+1)),"")</f>
        <v/>
      </c>
      <c r="DT9" s="72" t="str">
        <f>IFERROR(--(AND(DT4&gt;=EOMONTH(Inputs!$F$15,-1)+1,DT4&lt;=EOMONTH(Inputs!$F$18,-1)+1)),"")</f>
        <v/>
      </c>
      <c r="DU9" s="72" t="str">
        <f>IFERROR(--(AND(DU4&gt;=EOMONTH(Inputs!$F$15,-1)+1,DU4&lt;=EOMONTH(Inputs!$F$18,-1)+1)),"")</f>
        <v/>
      </c>
      <c r="DV9" s="72" t="str">
        <f>IFERROR(--(AND(DV4&gt;=EOMONTH(Inputs!$F$15,-1)+1,DV4&lt;=EOMONTH(Inputs!$F$18,-1)+1)),"")</f>
        <v/>
      </c>
      <c r="DW9" s="72" t="str">
        <f>IFERROR(--(AND(DW4&gt;=EOMONTH(Inputs!$F$15,-1)+1,DW4&lt;=EOMONTH(Inputs!$F$18,-1)+1)),"")</f>
        <v/>
      </c>
      <c r="DX9" s="72" t="str">
        <f>IFERROR(--(AND(DX4&gt;=EOMONTH(Inputs!$F$15,-1)+1,DX4&lt;=EOMONTH(Inputs!$F$18,-1)+1)),"")</f>
        <v/>
      </c>
      <c r="DY9" s="72" t="str">
        <f>IFERROR(--(AND(DY4&gt;=EOMONTH(Inputs!$F$15,-1)+1,DY4&lt;=EOMONTH(Inputs!$F$18,-1)+1)),"")</f>
        <v/>
      </c>
      <c r="DZ9" s="72" t="str">
        <f>IFERROR(--(AND(DZ4&gt;=EOMONTH(Inputs!$F$15,-1)+1,DZ4&lt;=EOMONTH(Inputs!$F$18,-1)+1)),"")</f>
        <v/>
      </c>
      <c r="EA9" s="72" t="str">
        <f>IFERROR(--(AND(EA4&gt;=EOMONTH(Inputs!$F$15,-1)+1,EA4&lt;=EOMONTH(Inputs!$F$18,-1)+1)),"")</f>
        <v/>
      </c>
      <c r="EB9" s="72" t="str">
        <f>IFERROR(--(AND(EB4&gt;=EOMONTH(Inputs!$F$15,-1)+1,EB4&lt;=EOMONTH(Inputs!$F$18,-1)+1)),"")</f>
        <v/>
      </c>
      <c r="EC9" s="72" t="str">
        <f>IFERROR(--(AND(EC4&gt;=EOMONTH(Inputs!$F$15,-1)+1,EC4&lt;=EOMONTH(Inputs!$F$18,-1)+1)),"")</f>
        <v/>
      </c>
      <c r="ED9" s="72" t="str">
        <f>IFERROR(--(AND(ED4&gt;=EOMONTH(Inputs!$F$15,-1)+1,ED4&lt;=EOMONTH(Inputs!$F$18,-1)+1)),"")</f>
        <v/>
      </c>
      <c r="EE9" s="72" t="str">
        <f>IFERROR(--(AND(EE4&gt;=EOMONTH(Inputs!$F$15,-1)+1,EE4&lt;=EOMONTH(Inputs!$F$18,-1)+1)),"")</f>
        <v/>
      </c>
      <c r="EF9" s="72" t="str">
        <f>IFERROR(--(AND(EF4&gt;=EOMONTH(Inputs!$F$15,-1)+1,EF4&lt;=EOMONTH(Inputs!$F$18,-1)+1)),"")</f>
        <v/>
      </c>
      <c r="EG9" s="72" t="str">
        <f>IFERROR(--(AND(EG4&gt;=EOMONTH(Inputs!$F$15,-1)+1,EG4&lt;=EOMONTH(Inputs!$F$18,-1)+1)),"")</f>
        <v/>
      </c>
      <c r="EH9" s="72" t="str">
        <f>IFERROR(--(AND(EH4&gt;=EOMONTH(Inputs!$F$15,-1)+1,EH4&lt;=EOMONTH(Inputs!$F$18,-1)+1)),"")</f>
        <v/>
      </c>
      <c r="EI9" s="72" t="str">
        <f>IFERROR(--(AND(EI4&gt;=EOMONTH(Inputs!$F$15,-1)+1,EI4&lt;=EOMONTH(Inputs!$F$18,-1)+1)),"")</f>
        <v/>
      </c>
      <c r="EJ9" s="72" t="str">
        <f>IFERROR(--(AND(EJ4&gt;=EOMONTH(Inputs!$F$15,-1)+1,EJ4&lt;=EOMONTH(Inputs!$F$18,-1)+1)),"")</f>
        <v/>
      </c>
      <c r="EK9" s="72" t="str">
        <f>IFERROR(--(AND(EK4&gt;=EOMONTH(Inputs!$F$15,-1)+1,EK4&lt;=EOMONTH(Inputs!$F$18,-1)+1)),"")</f>
        <v/>
      </c>
      <c r="EL9" s="72" t="str">
        <f>IFERROR(--(AND(EL4&gt;=EOMONTH(Inputs!$F$15,-1)+1,EL4&lt;=EOMONTH(Inputs!$F$18,-1)+1)),"")</f>
        <v/>
      </c>
      <c r="EM9" s="72" t="str">
        <f>IFERROR(--(AND(EM4&gt;=EOMONTH(Inputs!$F$15,-1)+1,EM4&lt;=EOMONTH(Inputs!$F$18,-1)+1)),"")</f>
        <v/>
      </c>
      <c r="EN9" s="72" t="str">
        <f>IFERROR(--(AND(EN4&gt;=EOMONTH(Inputs!$F$15,-1)+1,EN4&lt;=EOMONTH(Inputs!$F$18,-1)+1)),"")</f>
        <v/>
      </c>
    </row>
    <row r="10" spans="1:144" x14ac:dyDescent="0.35">
      <c r="A10" s="72" t="s">
        <v>1652</v>
      </c>
      <c r="B10" s="331"/>
      <c r="C10" s="72" t="str">
        <f>IFERROR(--(C4=EOMONTH(Inputs!$F$19,-1)+1),"")</f>
        <v/>
      </c>
      <c r="D10" s="72" t="str">
        <f>IFERROR(--(D4=EOMONTH(Inputs!$F$19,-1)+1),"")</f>
        <v/>
      </c>
      <c r="E10" s="72" t="str">
        <f>IFERROR(--(E4=EOMONTH(Inputs!$F$19,-1)+1),"")</f>
        <v/>
      </c>
      <c r="F10" s="72" t="str">
        <f>IFERROR(--(F4=EOMONTH(Inputs!$F$19,-1)+1),"")</f>
        <v/>
      </c>
      <c r="G10" s="72" t="str">
        <f>IFERROR(--(G4=EOMONTH(Inputs!$F$19,-1)+1),"")</f>
        <v/>
      </c>
      <c r="H10" s="72" t="str">
        <f>IFERROR(--(H4=EOMONTH(Inputs!$F$19,-1)+1),"")</f>
        <v/>
      </c>
      <c r="I10" s="72" t="str">
        <f>IFERROR(--(I4=EOMONTH(Inputs!$F$19,-1)+1),"")</f>
        <v/>
      </c>
      <c r="J10" s="72" t="str">
        <f>IFERROR(--(J4=EOMONTH(Inputs!$F$19,-1)+1),"")</f>
        <v/>
      </c>
      <c r="K10" s="72" t="str">
        <f>IFERROR(--(K4=EOMONTH(Inputs!$F$19,-1)+1),"")</f>
        <v/>
      </c>
      <c r="L10" s="72" t="str">
        <f>IFERROR(--(L4=EOMONTH(Inputs!$F$19,-1)+1),"")</f>
        <v/>
      </c>
      <c r="M10" s="72" t="str">
        <f>IFERROR(--(M4=EOMONTH(Inputs!$F$19,-1)+1),"")</f>
        <v/>
      </c>
      <c r="N10" s="72" t="str">
        <f>IFERROR(--(N4=EOMONTH(Inputs!$F$19,-1)+1),"")</f>
        <v/>
      </c>
      <c r="O10" s="72" t="str">
        <f>IFERROR(--(O4=EOMONTH(Inputs!$F$19,-1)+1),"")</f>
        <v/>
      </c>
      <c r="P10" s="72" t="str">
        <f>IFERROR(--(P4=EOMONTH(Inputs!$F$19,-1)+1),"")</f>
        <v/>
      </c>
      <c r="Q10" s="72" t="str">
        <f>IFERROR(--(Q4=EOMONTH(Inputs!$F$19,-1)+1),"")</f>
        <v/>
      </c>
      <c r="R10" s="101"/>
      <c r="S10" s="101"/>
      <c r="T10" s="101"/>
      <c r="U10" s="101"/>
      <c r="V10" s="101"/>
      <c r="W10" s="101"/>
      <c r="X10" s="101"/>
      <c r="Y10" s="101"/>
      <c r="Z10" s="101"/>
      <c r="AA10" s="101"/>
      <c r="AB10" s="101"/>
      <c r="AC10" s="101"/>
      <c r="AD10" s="101"/>
      <c r="AE10" s="101"/>
      <c r="AF10" s="101"/>
      <c r="AG10" s="101"/>
      <c r="AH10" s="101"/>
      <c r="AI10" s="101"/>
      <c r="AJ10" s="101"/>
      <c r="AK10" s="101"/>
      <c r="AL10" s="101"/>
      <c r="AM10" s="101"/>
      <c r="AN10" s="101"/>
      <c r="AO10" s="101"/>
      <c r="AP10" s="101"/>
      <c r="AQ10" s="101"/>
      <c r="AR10" s="101"/>
      <c r="AS10" s="101"/>
      <c r="AT10" s="101"/>
      <c r="AU10" s="101"/>
      <c r="AV10" s="101"/>
      <c r="AW10" s="101"/>
      <c r="AX10" s="101"/>
      <c r="AY10" s="101"/>
      <c r="AZ10" s="101"/>
      <c r="BA10" s="101"/>
      <c r="BB10" s="101"/>
      <c r="BC10" s="101"/>
      <c r="BD10" s="101"/>
      <c r="BE10" s="101"/>
      <c r="BF10" s="101"/>
      <c r="BG10" s="101"/>
      <c r="BH10" s="101"/>
      <c r="BI10" s="101"/>
      <c r="BJ10" s="101"/>
      <c r="BK10" s="101"/>
      <c r="BL10" s="101"/>
      <c r="BM10" s="101"/>
      <c r="BN10" s="101"/>
      <c r="BO10" s="101"/>
      <c r="BP10" s="101"/>
      <c r="BQ10" s="101"/>
      <c r="BR10" s="101"/>
      <c r="BS10" s="101"/>
      <c r="BT10" s="101"/>
      <c r="BU10" s="101"/>
      <c r="BV10" s="101"/>
      <c r="BW10" s="101"/>
      <c r="BX10" s="101"/>
      <c r="BY10" s="101"/>
      <c r="BZ10" s="101"/>
      <c r="CA10" s="101"/>
      <c r="CB10" s="101"/>
      <c r="CC10" s="101"/>
      <c r="CD10" s="101"/>
      <c r="CE10" s="101"/>
      <c r="CF10" s="101"/>
      <c r="CG10" s="101"/>
      <c r="CH10" s="101"/>
      <c r="CI10" s="101"/>
      <c r="CJ10" s="101"/>
      <c r="CK10" s="101"/>
      <c r="CL10" s="101"/>
      <c r="CM10" s="101"/>
      <c r="CN10" s="101"/>
      <c r="CO10" s="101"/>
      <c r="CP10" s="101"/>
      <c r="CQ10" s="101"/>
      <c r="CR10" s="101"/>
      <c r="CS10" s="101"/>
      <c r="CT10" s="101"/>
      <c r="CU10" s="101"/>
      <c r="CV10" s="101"/>
      <c r="CW10" s="101"/>
      <c r="CX10" s="101"/>
      <c r="CY10" s="101"/>
      <c r="CZ10" s="101"/>
      <c r="DA10" s="101"/>
      <c r="DB10" s="101"/>
      <c r="DC10" s="101"/>
      <c r="DD10" s="101"/>
      <c r="DE10" s="101"/>
      <c r="DF10" s="101"/>
      <c r="DG10" s="101"/>
      <c r="DH10" s="101"/>
      <c r="DI10" s="101"/>
      <c r="DJ10" s="101"/>
      <c r="DK10" s="101"/>
      <c r="DL10" s="101"/>
      <c r="DM10" s="101"/>
      <c r="DN10" s="101"/>
      <c r="DO10" s="101"/>
      <c r="DP10" s="101"/>
      <c r="DQ10" s="101"/>
      <c r="DR10" s="101"/>
      <c r="DS10" s="101"/>
      <c r="DT10" s="101"/>
      <c r="DU10" s="101"/>
      <c r="DV10" s="101"/>
      <c r="DW10" s="101"/>
      <c r="DX10" s="101"/>
      <c r="DY10" s="101"/>
      <c r="DZ10" s="101"/>
      <c r="EA10" s="101"/>
      <c r="EB10" s="101"/>
      <c r="EC10" s="101"/>
      <c r="ED10" s="101"/>
      <c r="EE10" s="101"/>
      <c r="EF10" s="101"/>
      <c r="EG10" s="101"/>
      <c r="EH10" s="101"/>
      <c r="EI10" s="101"/>
      <c r="EJ10" s="101"/>
      <c r="EK10" s="101"/>
      <c r="EL10" s="101"/>
      <c r="EM10" s="101"/>
      <c r="EN10" s="101"/>
    </row>
    <row r="11" spans="1:144" x14ac:dyDescent="0.35">
      <c r="A11" s="72" t="s">
        <v>1653</v>
      </c>
      <c r="B11" s="331"/>
      <c r="C11" s="72" t="str">
        <f>IFERROR(--(AND(C4&gt;=EOMONTH(Inputs!$F$20,-1)+1,C4&lt;=EOMONTH(Inputs!#REF!,-1)+1)),"")</f>
        <v/>
      </c>
      <c r="D11" s="72" t="str">
        <f>IFERROR(--(AND(D4&gt;=EOMONTH(Inputs!$F$20,-1)+1,D4&lt;=EOMONTH(Inputs!#REF!,-1)+1)),"")</f>
        <v/>
      </c>
      <c r="E11" s="72" t="str">
        <f>IFERROR(--(AND(E4&gt;=EOMONTH(Inputs!$F$20,-1)+1,E4&lt;=EOMONTH(Inputs!#REF!,-1)+1)),"")</f>
        <v/>
      </c>
      <c r="F11" s="72" t="str">
        <f>IFERROR(--(AND(F4&gt;=EOMONTH(Inputs!$F$20,-1)+1,F4&lt;=EOMONTH(Inputs!#REF!,-1)+1)),"")</f>
        <v/>
      </c>
      <c r="G11" s="72" t="str">
        <f>IFERROR(--(AND(G4&gt;=EOMONTH(Inputs!$F$20,-1)+1,G4&lt;=EOMONTH(Inputs!#REF!,-1)+1)),"")</f>
        <v/>
      </c>
      <c r="H11" s="72" t="str">
        <f>IFERROR(--(AND(H4&gt;=EOMONTH(Inputs!$F$20,-1)+1,H4&lt;=EOMONTH(Inputs!#REF!,-1)+1)),"")</f>
        <v/>
      </c>
      <c r="I11" s="72" t="str">
        <f>IFERROR(--(AND(I4&gt;=EOMONTH(Inputs!$F$20,-1)+1,I4&lt;=EOMONTH(Inputs!#REF!,-1)+1)),"")</f>
        <v/>
      </c>
      <c r="J11" s="72" t="str">
        <f>IFERROR(--(AND(J4&gt;=EOMONTH(Inputs!$F$20,-1)+1,J4&lt;=EOMONTH(Inputs!#REF!,-1)+1)),"")</f>
        <v/>
      </c>
      <c r="K11" s="72" t="str">
        <f>IFERROR(--(AND(K4&gt;=EOMONTH(Inputs!$F$20,-1)+1,K4&lt;=EOMONTH(Inputs!#REF!,-1)+1)),"")</f>
        <v/>
      </c>
      <c r="L11" s="72" t="str">
        <f>IFERROR(--(AND(L4&gt;=EOMONTH(Inputs!$F$20,-1)+1,L4&lt;=EOMONTH(Inputs!#REF!,-1)+1)),"")</f>
        <v/>
      </c>
      <c r="M11" s="72" t="str">
        <f>IFERROR(--(AND(M4&gt;=EOMONTH(Inputs!$F$20,-1)+1,M4&lt;=EOMONTH(Inputs!#REF!,-1)+1)),"")</f>
        <v/>
      </c>
      <c r="N11" s="72" t="str">
        <f>IFERROR(--(AND(N4&gt;=EOMONTH(Inputs!$F$20,-1)+1,N4&lt;=EOMONTH(Inputs!#REF!,-1)+1)),"")</f>
        <v/>
      </c>
      <c r="O11" s="72" t="str">
        <f>IFERROR(--(AND(O4&gt;=EOMONTH(Inputs!$F$20,-1)+1,O4&lt;=EOMONTH(Inputs!#REF!,-1)+1)),"")</f>
        <v/>
      </c>
      <c r="P11" s="72" t="str">
        <f>IFERROR(--(AND(P4&gt;=EOMONTH(Inputs!$F$20,-1)+1,P4&lt;=EOMONTH(Inputs!#REF!,-1)+1)),"")</f>
        <v/>
      </c>
      <c r="Q11" s="72" t="str">
        <f>IFERROR(--(AND(Q4&gt;=EOMONTH(Inputs!$F$20,-1)+1,Q4&lt;=EOMONTH(Inputs!#REF!,-1)+1)),"")</f>
        <v/>
      </c>
      <c r="R11" s="101"/>
      <c r="S11" s="101"/>
      <c r="T11" s="101"/>
      <c r="U11" s="101"/>
      <c r="V11" s="101"/>
      <c r="W11" s="101"/>
      <c r="X11" s="101"/>
      <c r="Y11" s="101"/>
      <c r="Z11" s="101"/>
      <c r="AA11" s="101"/>
      <c r="AB11" s="101"/>
      <c r="AC11" s="101"/>
      <c r="AD11" s="101"/>
      <c r="AE11" s="101"/>
      <c r="AF11" s="101"/>
      <c r="AG11" s="101"/>
      <c r="AH11" s="101"/>
      <c r="AI11" s="101"/>
      <c r="AJ11" s="101"/>
      <c r="AK11" s="101"/>
      <c r="AL11" s="101"/>
      <c r="AM11" s="101"/>
      <c r="AN11" s="101"/>
      <c r="AO11" s="101"/>
      <c r="AP11" s="101"/>
      <c r="AQ11" s="101"/>
      <c r="AR11" s="101"/>
      <c r="AS11" s="101"/>
      <c r="AT11" s="101"/>
      <c r="AU11" s="101"/>
      <c r="AV11" s="101"/>
      <c r="AW11" s="101"/>
      <c r="AX11" s="101"/>
      <c r="AY11" s="101"/>
      <c r="AZ11" s="101"/>
      <c r="BA11" s="101"/>
      <c r="BB11" s="101"/>
      <c r="BC11" s="101"/>
      <c r="BD11" s="101"/>
      <c r="BE11" s="101"/>
      <c r="BF11" s="101"/>
      <c r="BG11" s="101"/>
      <c r="BH11" s="101"/>
      <c r="BI11" s="101"/>
      <c r="BJ11" s="101"/>
      <c r="BK11" s="101"/>
      <c r="BL11" s="101"/>
      <c r="BM11" s="101"/>
      <c r="BN11" s="101"/>
      <c r="BO11" s="101"/>
      <c r="BP11" s="101"/>
      <c r="BQ11" s="101"/>
      <c r="BR11" s="101"/>
      <c r="BS11" s="101"/>
      <c r="BT11" s="101"/>
      <c r="BU11" s="101"/>
      <c r="BV11" s="101"/>
      <c r="BW11" s="101"/>
      <c r="BX11" s="101"/>
      <c r="BY11" s="101"/>
      <c r="BZ11" s="101"/>
      <c r="CA11" s="101"/>
      <c r="CB11" s="101"/>
      <c r="CC11" s="101"/>
      <c r="CD11" s="101"/>
      <c r="CE11" s="101"/>
      <c r="CF11" s="101"/>
      <c r="CG11" s="101"/>
      <c r="CH11" s="101"/>
      <c r="CI11" s="101"/>
      <c r="CJ11" s="101"/>
      <c r="CK11" s="101"/>
      <c r="CL11" s="101"/>
      <c r="CM11" s="101"/>
      <c r="CN11" s="101"/>
      <c r="CO11" s="101"/>
      <c r="CP11" s="101"/>
      <c r="CQ11" s="101"/>
      <c r="CR11" s="101"/>
      <c r="CS11" s="101"/>
      <c r="CT11" s="101"/>
      <c r="CU11" s="101"/>
      <c r="CV11" s="101"/>
      <c r="CW11" s="101"/>
      <c r="CX11" s="101"/>
      <c r="CY11" s="101"/>
      <c r="CZ11" s="101"/>
      <c r="DA11" s="101"/>
      <c r="DB11" s="101"/>
      <c r="DC11" s="101"/>
      <c r="DD11" s="101"/>
      <c r="DE11" s="101"/>
      <c r="DF11" s="101"/>
      <c r="DG11" s="101"/>
      <c r="DH11" s="101"/>
      <c r="DI11" s="101"/>
      <c r="DJ11" s="101"/>
      <c r="DK11" s="101"/>
      <c r="DL11" s="101"/>
      <c r="DM11" s="101"/>
      <c r="DN11" s="101"/>
      <c r="DO11" s="101"/>
      <c r="DP11" s="101"/>
      <c r="DQ11" s="101"/>
      <c r="DR11" s="101"/>
      <c r="DS11" s="101"/>
      <c r="DT11" s="101"/>
      <c r="DU11" s="101"/>
      <c r="DV11" s="101"/>
      <c r="DW11" s="101"/>
      <c r="DX11" s="101"/>
      <c r="DY11" s="101"/>
      <c r="DZ11" s="101"/>
      <c r="EA11" s="101"/>
      <c r="EB11" s="101"/>
      <c r="EC11" s="101"/>
      <c r="ED11" s="101"/>
      <c r="EE11" s="101"/>
      <c r="EF11" s="101"/>
      <c r="EG11" s="101"/>
      <c r="EH11" s="101"/>
      <c r="EI11" s="101"/>
      <c r="EJ11" s="101"/>
      <c r="EK11" s="101"/>
      <c r="EL11" s="101"/>
      <c r="EM11" s="101"/>
      <c r="EN11" s="101"/>
    </row>
    <row r="12" spans="1:144" x14ac:dyDescent="0.35">
      <c r="A12" s="72" t="s">
        <v>1654</v>
      </c>
      <c r="B12" s="331"/>
      <c r="C12" s="72" t="str">
        <f>IFERROR(--(AND(C4&gt;=EOMONTH(Inputs!$F$23,-1)+1,C4&lt;=EOMONTH(Inputs!#REF!,-1)+1)),"")</f>
        <v/>
      </c>
      <c r="D12" s="72" t="str">
        <f>IFERROR(--(AND(D4&gt;=EOMONTH(Inputs!$F$23,-1)+1,D4&lt;=EOMONTH(Inputs!#REF!,-1)+1)),"")</f>
        <v/>
      </c>
      <c r="E12" s="72" t="str">
        <f>IFERROR(--(AND(E4&gt;=EOMONTH(Inputs!$F$23,-1)+1,E4&lt;=EOMONTH(Inputs!#REF!,-1)+1)),"")</f>
        <v/>
      </c>
      <c r="F12" s="72" t="str">
        <f>IFERROR(--(AND(F4&gt;=EOMONTH(Inputs!$F$23,-1)+1,F4&lt;=EOMONTH(Inputs!#REF!,-1)+1)),"")</f>
        <v/>
      </c>
      <c r="G12" s="72" t="str">
        <f>IFERROR(--(AND(G4&gt;=EOMONTH(Inputs!$F$23,-1)+1,G4&lt;=EOMONTH(Inputs!#REF!,-1)+1)),"")</f>
        <v/>
      </c>
      <c r="H12" s="72" t="str">
        <f>IFERROR(--(AND(H4&gt;=EOMONTH(Inputs!$F$23,-1)+1,H4&lt;=EOMONTH(Inputs!#REF!,-1)+1)),"")</f>
        <v/>
      </c>
      <c r="I12" s="72" t="str">
        <f>IFERROR(--(AND(I4&gt;=EOMONTH(Inputs!$F$23,-1)+1,I4&lt;=EOMONTH(Inputs!#REF!,-1)+1)),"")</f>
        <v/>
      </c>
      <c r="J12" s="72" t="str">
        <f>IFERROR(--(AND(J4&gt;=EOMONTH(Inputs!$F$23,-1)+1,J4&lt;=EOMONTH(Inputs!#REF!,-1)+1)),"")</f>
        <v/>
      </c>
      <c r="K12" s="72" t="str">
        <f>IFERROR(--(AND(K4&gt;=EOMONTH(Inputs!$F$23,-1)+1,K4&lt;=EOMONTH(Inputs!#REF!,-1)+1)),"")</f>
        <v/>
      </c>
      <c r="L12" s="72" t="str">
        <f>IFERROR(--(AND(L4&gt;=EOMONTH(Inputs!$F$23,-1)+1,L4&lt;=EOMONTH(Inputs!#REF!,-1)+1)),"")</f>
        <v/>
      </c>
      <c r="M12" s="72" t="str">
        <f>IFERROR(--(AND(M4&gt;=EOMONTH(Inputs!$F$23,-1)+1,M4&lt;=EOMONTH(Inputs!#REF!,-1)+1)),"")</f>
        <v/>
      </c>
      <c r="N12" s="72" t="str">
        <f>IFERROR(--(AND(N4&gt;=EOMONTH(Inputs!$F$23,-1)+1,N4&lt;=EOMONTH(Inputs!#REF!,-1)+1)),"")</f>
        <v/>
      </c>
      <c r="O12" s="72" t="str">
        <f>IFERROR(--(AND(O4&gt;=EOMONTH(Inputs!$F$23,-1)+1,O4&lt;=EOMONTH(Inputs!#REF!,-1)+1)),"")</f>
        <v/>
      </c>
      <c r="P12" s="72" t="str">
        <f>IFERROR(--(AND(P4&gt;=EOMONTH(Inputs!$F$23,-1)+1,P4&lt;=EOMONTH(Inputs!#REF!,-1)+1)),"")</f>
        <v/>
      </c>
      <c r="Q12" s="72" t="str">
        <f>IFERROR(--(AND(Q4&gt;=EOMONTH(Inputs!$F$23,-1)+1,Q4&lt;=EOMONTH(Inputs!#REF!,-1)+1)),"")</f>
        <v/>
      </c>
      <c r="R12" s="101"/>
      <c r="S12" s="101"/>
      <c r="T12" s="101"/>
      <c r="U12" s="101"/>
      <c r="V12" s="101"/>
      <c r="W12" s="101"/>
      <c r="X12" s="101"/>
      <c r="Y12" s="101"/>
      <c r="Z12" s="101"/>
      <c r="AA12" s="101"/>
      <c r="AB12" s="101"/>
      <c r="AC12" s="101"/>
      <c r="AD12" s="101"/>
      <c r="AE12" s="101"/>
      <c r="AF12" s="101"/>
      <c r="AG12" s="101"/>
      <c r="AH12" s="101"/>
      <c r="AI12" s="101"/>
      <c r="AJ12" s="101"/>
      <c r="AK12" s="101"/>
      <c r="AL12" s="101"/>
      <c r="AM12" s="101"/>
      <c r="AN12" s="101"/>
      <c r="AO12" s="101"/>
      <c r="AP12" s="101"/>
      <c r="AQ12" s="101"/>
      <c r="AR12" s="101"/>
      <c r="AS12" s="101"/>
      <c r="AT12" s="101"/>
      <c r="AU12" s="101"/>
      <c r="AV12" s="101"/>
      <c r="AW12" s="101"/>
      <c r="AX12" s="101"/>
      <c r="AY12" s="101"/>
      <c r="AZ12" s="101"/>
      <c r="BA12" s="101"/>
      <c r="BB12" s="101"/>
      <c r="BC12" s="101"/>
      <c r="BD12" s="101"/>
      <c r="BE12" s="101"/>
      <c r="BF12" s="101"/>
      <c r="BG12" s="101"/>
      <c r="BH12" s="101"/>
      <c r="BI12" s="101"/>
      <c r="BJ12" s="101"/>
      <c r="BK12" s="101"/>
      <c r="BL12" s="101"/>
      <c r="BM12" s="101"/>
      <c r="BN12" s="101"/>
      <c r="BO12" s="101"/>
      <c r="BP12" s="101"/>
      <c r="BQ12" s="101"/>
      <c r="BR12" s="101"/>
      <c r="BS12" s="101"/>
      <c r="BT12" s="101"/>
      <c r="BU12" s="101"/>
      <c r="BV12" s="101"/>
      <c r="BW12" s="101"/>
      <c r="BX12" s="101"/>
      <c r="BY12" s="101"/>
      <c r="BZ12" s="101"/>
      <c r="CA12" s="101"/>
      <c r="CB12" s="101"/>
      <c r="CC12" s="101"/>
      <c r="CD12" s="101"/>
      <c r="CE12" s="101"/>
      <c r="CF12" s="101"/>
      <c r="CG12" s="101"/>
      <c r="CH12" s="101"/>
      <c r="CI12" s="101"/>
      <c r="CJ12" s="101"/>
      <c r="CK12" s="101"/>
      <c r="CL12" s="101"/>
      <c r="CM12" s="101"/>
      <c r="CN12" s="101"/>
      <c r="CO12" s="101"/>
      <c r="CP12" s="101"/>
      <c r="CQ12" s="101"/>
      <c r="CR12" s="101"/>
      <c r="CS12" s="101"/>
      <c r="CT12" s="101"/>
      <c r="CU12" s="101"/>
      <c r="CV12" s="101"/>
      <c r="CW12" s="101"/>
      <c r="CX12" s="101"/>
      <c r="CY12" s="101"/>
      <c r="CZ12" s="101"/>
      <c r="DA12" s="101"/>
      <c r="DB12" s="101"/>
      <c r="DC12" s="101"/>
      <c r="DD12" s="101"/>
      <c r="DE12" s="101"/>
      <c r="DF12" s="101"/>
      <c r="DG12" s="101"/>
      <c r="DH12" s="101"/>
      <c r="DI12" s="101"/>
      <c r="DJ12" s="101"/>
      <c r="DK12" s="101"/>
      <c r="DL12" s="101"/>
      <c r="DM12" s="101"/>
      <c r="DN12" s="101"/>
      <c r="DO12" s="101"/>
      <c r="DP12" s="101"/>
      <c r="DQ12" s="101"/>
      <c r="DR12" s="101"/>
      <c r="DS12" s="101"/>
      <c r="DT12" s="101"/>
      <c r="DU12" s="101"/>
      <c r="DV12" s="101"/>
      <c r="DW12" s="101"/>
      <c r="DX12" s="101"/>
      <c r="DY12" s="101"/>
      <c r="DZ12" s="101"/>
      <c r="EA12" s="101"/>
      <c r="EB12" s="101"/>
      <c r="EC12" s="101"/>
      <c r="ED12" s="101"/>
      <c r="EE12" s="101"/>
      <c r="EF12" s="101"/>
      <c r="EG12" s="101"/>
      <c r="EH12" s="101"/>
      <c r="EI12" s="101"/>
      <c r="EJ12" s="101"/>
      <c r="EK12" s="101"/>
      <c r="EL12" s="101"/>
      <c r="EM12" s="101"/>
      <c r="EN12" s="101"/>
    </row>
    <row r="13" spans="1:144" ht="29.15" customHeight="1" x14ac:dyDescent="0.35">
      <c r="A13" s="72" t="s">
        <v>1655</v>
      </c>
      <c r="B13" s="331"/>
      <c r="C13" s="72" t="str">
        <f>IFERROR(--(AND(C4&gt;=EOMONTH(Inputs!$F$21,-1)+1,C4&lt;=EOMONTH(Inputs!$F$22,-1)+1)),"")</f>
        <v/>
      </c>
      <c r="D13" s="72" t="str">
        <f>IFERROR(--(AND(D4&gt;=EOMONTH(Inputs!$F$21,-1)+1,D4&lt;=EOMONTH(Inputs!$F$22,-1)+1)),"")</f>
        <v/>
      </c>
      <c r="E13" s="72" t="str">
        <f>IFERROR(--(AND(E4&gt;=EOMONTH(Inputs!$F$21,-1)+1,E4&lt;=EOMONTH(Inputs!$F$22,-1)+1)),"")</f>
        <v/>
      </c>
      <c r="F13" s="72" t="str">
        <f>IFERROR(--(AND(F4&gt;=EOMONTH(Inputs!$F$21,-1)+1,F4&lt;=EOMONTH(Inputs!$F$22,-1)+1)),"")</f>
        <v/>
      </c>
      <c r="G13" s="72" t="str">
        <f>IFERROR(--(AND(G4&gt;=EOMONTH(Inputs!$F$21,-1)+1,G4&lt;=EOMONTH(Inputs!$F$22,-1)+1)),"")</f>
        <v/>
      </c>
      <c r="H13" s="72" t="str">
        <f>IFERROR(--(AND(H4&gt;=EOMONTH(Inputs!$F$21,-1)+1,H4&lt;=EOMONTH(Inputs!$F$22,-1)+1)),"")</f>
        <v/>
      </c>
      <c r="I13" s="72" t="str">
        <f>IFERROR(--(AND(I4&gt;=EOMONTH(Inputs!$F$21,-1)+1,I4&lt;=EOMONTH(Inputs!$F$22,-1)+1)),"")</f>
        <v/>
      </c>
      <c r="J13" s="72" t="str">
        <f>IFERROR(--(AND(J4&gt;=EOMONTH(Inputs!$F$21,-1)+1,J4&lt;=EOMONTH(Inputs!$F$22,-1)+1)),"")</f>
        <v/>
      </c>
      <c r="K13" s="72" t="str">
        <f>IFERROR(--(AND(K4&gt;=EOMONTH(Inputs!$F$21,-1)+1,K4&lt;=EOMONTH(Inputs!$F$22,-1)+1)),"")</f>
        <v/>
      </c>
      <c r="L13" s="72" t="str">
        <f>IFERROR(--(AND(L4&gt;=EOMONTH(Inputs!$F$21,-1)+1,L4&lt;=EOMONTH(Inputs!$F$22,-1)+1)),"")</f>
        <v/>
      </c>
      <c r="M13" s="72" t="str">
        <f>IFERROR(--(AND(M4&gt;=EOMONTH(Inputs!$F$21,-1)+1,M4&lt;=EOMONTH(Inputs!$F$22,-1)+1)),"")</f>
        <v/>
      </c>
      <c r="N13" s="72" t="str">
        <f>IFERROR(--(AND(N4&gt;=EOMONTH(Inputs!$F$21,-1)+1,N4&lt;=EOMONTH(Inputs!$F$22,-1)+1)),"")</f>
        <v/>
      </c>
      <c r="O13" s="72" t="str">
        <f>IFERROR(--(AND(O4&gt;=EOMONTH(Inputs!$F$21,-1)+1,O4&lt;=EOMONTH(Inputs!$F$22,-1)+1)),"")</f>
        <v/>
      </c>
      <c r="P13" s="72" t="str">
        <f>IFERROR(--(AND(P4&gt;=EOMONTH(Inputs!$F$21,-1)+1,P4&lt;=EOMONTH(Inputs!$F$22,-1)+1)),"")</f>
        <v/>
      </c>
      <c r="Q13" s="72" t="str">
        <f>IFERROR(--(AND(Q4&gt;=EOMONTH(Inputs!$F$21,-1)+1,Q4&lt;=EOMONTH(Inputs!$F$22,-1)+1)),"")</f>
        <v/>
      </c>
      <c r="R13" s="101"/>
      <c r="S13" s="101"/>
      <c r="T13" s="101"/>
      <c r="U13" s="101"/>
      <c r="V13" s="101"/>
      <c r="W13" s="101"/>
      <c r="X13" s="101"/>
      <c r="Y13" s="101"/>
      <c r="Z13" s="101"/>
      <c r="AA13" s="101"/>
      <c r="AB13" s="101"/>
      <c r="AC13" s="101"/>
      <c r="AD13" s="101"/>
      <c r="AE13" s="101"/>
      <c r="AF13" s="101"/>
      <c r="AG13" s="101"/>
      <c r="AH13" s="101"/>
      <c r="AI13" s="101"/>
      <c r="AJ13" s="101"/>
      <c r="AK13" s="101"/>
      <c r="AL13" s="101"/>
      <c r="AM13" s="101"/>
      <c r="AN13" s="101"/>
      <c r="AO13" s="101"/>
      <c r="AP13" s="101"/>
      <c r="AQ13" s="101"/>
      <c r="AR13" s="101"/>
      <c r="AS13" s="101"/>
      <c r="AT13" s="101"/>
      <c r="AU13" s="101"/>
      <c r="AV13" s="101"/>
      <c r="AW13" s="101"/>
      <c r="AX13" s="101"/>
      <c r="AY13" s="101"/>
      <c r="AZ13" s="101"/>
      <c r="BA13" s="101"/>
      <c r="BB13" s="101"/>
      <c r="BC13" s="101"/>
      <c r="BD13" s="101"/>
      <c r="BE13" s="101"/>
      <c r="BF13" s="101"/>
      <c r="BG13" s="101"/>
      <c r="BH13" s="101"/>
      <c r="BI13" s="101"/>
      <c r="BJ13" s="101"/>
      <c r="BK13" s="101"/>
      <c r="BL13" s="101"/>
      <c r="BM13" s="101"/>
      <c r="BN13" s="101"/>
      <c r="BO13" s="101"/>
      <c r="BP13" s="101"/>
      <c r="BQ13" s="101"/>
      <c r="BR13" s="101"/>
      <c r="BS13" s="101"/>
      <c r="BT13" s="101"/>
      <c r="BU13" s="101"/>
      <c r="BV13" s="101"/>
      <c r="BW13" s="101"/>
      <c r="BX13" s="101"/>
      <c r="BY13" s="101"/>
      <c r="BZ13" s="101"/>
      <c r="CA13" s="101"/>
      <c r="CB13" s="101"/>
      <c r="CC13" s="101"/>
      <c r="CD13" s="101"/>
      <c r="CE13" s="101"/>
      <c r="CF13" s="101"/>
      <c r="CG13" s="101"/>
      <c r="CH13" s="101"/>
      <c r="CI13" s="101"/>
      <c r="CJ13" s="101"/>
      <c r="CK13" s="101"/>
      <c r="CL13" s="101"/>
      <c r="CM13" s="101"/>
      <c r="CN13" s="101"/>
      <c r="CO13" s="101"/>
      <c r="CP13" s="101"/>
      <c r="CQ13" s="101"/>
      <c r="CR13" s="101"/>
      <c r="CS13" s="101"/>
      <c r="CT13" s="101"/>
      <c r="CU13" s="101"/>
      <c r="CV13" s="101"/>
      <c r="CW13" s="101"/>
      <c r="CX13" s="101"/>
      <c r="CY13" s="101"/>
      <c r="CZ13" s="101"/>
      <c r="DA13" s="101"/>
      <c r="DB13" s="101"/>
      <c r="DC13" s="101"/>
      <c r="DD13" s="101"/>
      <c r="DE13" s="101"/>
      <c r="DF13" s="101"/>
      <c r="DG13" s="101"/>
      <c r="DH13" s="101"/>
      <c r="DI13" s="101"/>
      <c r="DJ13" s="101"/>
      <c r="DK13" s="101"/>
      <c r="DL13" s="101"/>
      <c r="DM13" s="101"/>
      <c r="DN13" s="101"/>
      <c r="DO13" s="101"/>
      <c r="DP13" s="101"/>
      <c r="DQ13" s="101"/>
      <c r="DR13" s="101"/>
      <c r="DS13" s="101"/>
      <c r="DT13" s="101"/>
      <c r="DU13" s="101"/>
      <c r="DV13" s="101"/>
      <c r="DW13" s="101"/>
      <c r="DX13" s="101"/>
      <c r="DY13" s="101"/>
      <c r="DZ13" s="101"/>
      <c r="EA13" s="101"/>
      <c r="EB13" s="101"/>
      <c r="EC13" s="101"/>
      <c r="ED13" s="101"/>
      <c r="EE13" s="101"/>
      <c r="EF13" s="101"/>
      <c r="EG13" s="101"/>
      <c r="EH13" s="101"/>
      <c r="EI13" s="101"/>
      <c r="EJ13" s="101"/>
      <c r="EK13" s="101"/>
      <c r="EL13" s="101"/>
      <c r="EM13" s="101"/>
      <c r="EN13" s="101"/>
    </row>
    <row r="14" spans="1:144" x14ac:dyDescent="0.35">
      <c r="A14" s="72" t="s">
        <v>1656</v>
      </c>
      <c r="B14" s="331"/>
      <c r="C14" s="72">
        <f t="shared" ref="C14:AH14" si="20">IFERROR(IF(OR(MONTH(C4)=12,MONTH(C4)=1,MONTH(C4)=2),1.2,IF(OR(MONTH(C4)=6,MONTH(C4)=7,MONTH(C4)=8),0.8,1)),"")</f>
        <v>1.2</v>
      </c>
      <c r="D14" s="72">
        <f t="shared" si="20"/>
        <v>1</v>
      </c>
      <c r="E14" s="72">
        <f t="shared" si="20"/>
        <v>1</v>
      </c>
      <c r="F14" s="72">
        <f t="shared" si="20"/>
        <v>1</v>
      </c>
      <c r="G14" s="72">
        <f t="shared" si="20"/>
        <v>0.8</v>
      </c>
      <c r="H14" s="72">
        <f t="shared" si="20"/>
        <v>0.8</v>
      </c>
      <c r="I14" s="72">
        <f t="shared" si="20"/>
        <v>0.8</v>
      </c>
      <c r="J14" s="72">
        <f t="shared" si="20"/>
        <v>1</v>
      </c>
      <c r="K14" s="72">
        <f t="shared" si="20"/>
        <v>1</v>
      </c>
      <c r="L14" s="72">
        <f t="shared" si="20"/>
        <v>1</v>
      </c>
      <c r="M14" s="72">
        <f t="shared" si="20"/>
        <v>1.2</v>
      </c>
      <c r="N14" s="72">
        <f t="shared" si="20"/>
        <v>1.2</v>
      </c>
      <c r="O14" s="72">
        <f t="shared" si="20"/>
        <v>1.2</v>
      </c>
      <c r="P14" s="72">
        <f t="shared" si="20"/>
        <v>1</v>
      </c>
      <c r="Q14" s="72">
        <f t="shared" si="20"/>
        <v>1</v>
      </c>
      <c r="R14" s="72">
        <f t="shared" si="20"/>
        <v>1</v>
      </c>
      <c r="S14" s="72">
        <f t="shared" si="20"/>
        <v>0.8</v>
      </c>
      <c r="T14" s="72">
        <f t="shared" si="20"/>
        <v>0.8</v>
      </c>
      <c r="U14" s="72">
        <f t="shared" si="20"/>
        <v>0.8</v>
      </c>
      <c r="V14" s="72">
        <f t="shared" si="20"/>
        <v>1</v>
      </c>
      <c r="W14" s="72">
        <f t="shared" si="20"/>
        <v>1</v>
      </c>
      <c r="X14" s="72">
        <f t="shared" si="20"/>
        <v>1</v>
      </c>
      <c r="Y14" s="72">
        <f t="shared" si="20"/>
        <v>1.2</v>
      </c>
      <c r="Z14" s="72">
        <f t="shared" si="20"/>
        <v>1.2</v>
      </c>
      <c r="AA14" s="72">
        <f t="shared" si="20"/>
        <v>1.2</v>
      </c>
      <c r="AB14" s="72">
        <f t="shared" si="20"/>
        <v>1</v>
      </c>
      <c r="AC14" s="72">
        <f t="shared" si="20"/>
        <v>1</v>
      </c>
      <c r="AD14" s="72">
        <f t="shared" si="20"/>
        <v>1</v>
      </c>
      <c r="AE14" s="72">
        <f t="shared" si="20"/>
        <v>0.8</v>
      </c>
      <c r="AF14" s="72">
        <f t="shared" si="20"/>
        <v>0.8</v>
      </c>
      <c r="AG14" s="72">
        <f t="shared" si="20"/>
        <v>0.8</v>
      </c>
      <c r="AH14" s="72">
        <f t="shared" si="20"/>
        <v>1</v>
      </c>
      <c r="AI14" s="72">
        <f t="shared" ref="AI14:BN14" si="21">IFERROR(IF(OR(MONTH(AI4)=12,MONTH(AI4)=1,MONTH(AI4)=2),1.2,IF(OR(MONTH(AI4)=6,MONTH(AI4)=7,MONTH(AI4)=8),0.8,1)),"")</f>
        <v>1</v>
      </c>
      <c r="AJ14" s="72">
        <f t="shared" si="21"/>
        <v>1</v>
      </c>
      <c r="AK14" s="72">
        <f t="shared" si="21"/>
        <v>1.2</v>
      </c>
      <c r="AL14" s="72">
        <f t="shared" si="21"/>
        <v>1.2</v>
      </c>
      <c r="AM14" s="72">
        <f t="shared" si="21"/>
        <v>1.2</v>
      </c>
      <c r="AN14" s="72">
        <f t="shared" si="21"/>
        <v>1</v>
      </c>
      <c r="AO14" s="72">
        <f t="shared" si="21"/>
        <v>1</v>
      </c>
      <c r="AP14" s="72">
        <f t="shared" si="21"/>
        <v>1</v>
      </c>
      <c r="AQ14" s="72">
        <f t="shared" si="21"/>
        <v>0.8</v>
      </c>
      <c r="AR14" s="72">
        <f t="shared" si="21"/>
        <v>0.8</v>
      </c>
      <c r="AS14" s="72">
        <f t="shared" si="21"/>
        <v>0.8</v>
      </c>
      <c r="AT14" s="72">
        <f t="shared" si="21"/>
        <v>1</v>
      </c>
      <c r="AU14" s="72">
        <f t="shared" si="21"/>
        <v>1</v>
      </c>
      <c r="AV14" s="72">
        <f t="shared" si="21"/>
        <v>1</v>
      </c>
      <c r="AW14" s="72">
        <f t="shared" si="21"/>
        <v>1.2</v>
      </c>
      <c r="AX14" s="72">
        <f t="shared" si="21"/>
        <v>1.2</v>
      </c>
      <c r="AY14" s="72">
        <f t="shared" si="21"/>
        <v>1.2</v>
      </c>
      <c r="AZ14" s="72">
        <f t="shared" si="21"/>
        <v>1</v>
      </c>
      <c r="BA14" s="72">
        <f t="shared" si="21"/>
        <v>1</v>
      </c>
      <c r="BB14" s="72">
        <f t="shared" si="21"/>
        <v>1</v>
      </c>
      <c r="BC14" s="72">
        <f t="shared" si="21"/>
        <v>0.8</v>
      </c>
      <c r="BD14" s="72">
        <f t="shared" si="21"/>
        <v>0.8</v>
      </c>
      <c r="BE14" s="72">
        <f t="shared" si="21"/>
        <v>0.8</v>
      </c>
      <c r="BF14" s="72">
        <f t="shared" si="21"/>
        <v>1</v>
      </c>
      <c r="BG14" s="72">
        <f t="shared" si="21"/>
        <v>1</v>
      </c>
      <c r="BH14" s="72">
        <f t="shared" si="21"/>
        <v>1</v>
      </c>
      <c r="BI14" s="72">
        <f t="shared" si="21"/>
        <v>1.2</v>
      </c>
      <c r="BJ14" s="72">
        <f t="shared" si="21"/>
        <v>1.2</v>
      </c>
      <c r="BK14" s="72">
        <f t="shared" si="21"/>
        <v>1.2</v>
      </c>
      <c r="BL14" s="72">
        <f t="shared" si="21"/>
        <v>1</v>
      </c>
      <c r="BM14" s="72">
        <f t="shared" si="21"/>
        <v>1</v>
      </c>
      <c r="BN14" s="72">
        <f t="shared" si="21"/>
        <v>1</v>
      </c>
      <c r="BO14" s="72">
        <f t="shared" ref="BO14:CT14" si="22">IFERROR(IF(OR(MONTH(BO4)=12,MONTH(BO4)=1,MONTH(BO4)=2),1.2,IF(OR(MONTH(BO4)=6,MONTH(BO4)=7,MONTH(BO4)=8),0.8,1)),"")</f>
        <v>0.8</v>
      </c>
      <c r="BP14" s="72">
        <f t="shared" si="22"/>
        <v>0.8</v>
      </c>
      <c r="BQ14" s="72">
        <f t="shared" si="22"/>
        <v>0.8</v>
      </c>
      <c r="BR14" s="72">
        <f t="shared" si="22"/>
        <v>1</v>
      </c>
      <c r="BS14" s="72">
        <f t="shared" si="22"/>
        <v>1</v>
      </c>
      <c r="BT14" s="72">
        <f t="shared" si="22"/>
        <v>1</v>
      </c>
      <c r="BU14" s="72">
        <f t="shared" si="22"/>
        <v>1.2</v>
      </c>
      <c r="BV14" s="72">
        <f t="shared" si="22"/>
        <v>1.2</v>
      </c>
      <c r="BW14" s="72">
        <f t="shared" si="22"/>
        <v>1.2</v>
      </c>
      <c r="BX14" s="72">
        <f t="shared" si="22"/>
        <v>1</v>
      </c>
      <c r="BY14" s="72">
        <f t="shared" si="22"/>
        <v>1</v>
      </c>
      <c r="BZ14" s="72">
        <f t="shared" si="22"/>
        <v>1</v>
      </c>
      <c r="CA14" s="72">
        <f t="shared" si="22"/>
        <v>0.8</v>
      </c>
      <c r="CB14" s="72">
        <f t="shared" si="22"/>
        <v>0.8</v>
      </c>
      <c r="CC14" s="72">
        <f t="shared" si="22"/>
        <v>0.8</v>
      </c>
      <c r="CD14" s="72">
        <f t="shared" si="22"/>
        <v>1</v>
      </c>
      <c r="CE14" s="72">
        <f t="shared" si="22"/>
        <v>1</v>
      </c>
      <c r="CF14" s="72">
        <f t="shared" si="22"/>
        <v>1</v>
      </c>
      <c r="CG14" s="72">
        <f t="shared" si="22"/>
        <v>1.2</v>
      </c>
      <c r="CH14" s="72">
        <f t="shared" si="22"/>
        <v>1.2</v>
      </c>
      <c r="CI14" s="72">
        <f t="shared" si="22"/>
        <v>1.2</v>
      </c>
      <c r="CJ14" s="72">
        <f t="shared" si="22"/>
        <v>1</v>
      </c>
      <c r="CK14" s="72">
        <f t="shared" si="22"/>
        <v>1</v>
      </c>
      <c r="CL14" s="72">
        <f t="shared" si="22"/>
        <v>1</v>
      </c>
      <c r="CM14" s="72">
        <f t="shared" si="22"/>
        <v>0.8</v>
      </c>
      <c r="CN14" s="72">
        <f t="shared" si="22"/>
        <v>0.8</v>
      </c>
      <c r="CO14" s="72">
        <f t="shared" si="22"/>
        <v>0.8</v>
      </c>
      <c r="CP14" s="72">
        <f t="shared" si="22"/>
        <v>1</v>
      </c>
      <c r="CQ14" s="72">
        <f t="shared" si="22"/>
        <v>1</v>
      </c>
      <c r="CR14" s="72">
        <f t="shared" si="22"/>
        <v>1</v>
      </c>
      <c r="CS14" s="72">
        <f t="shared" si="22"/>
        <v>1.2</v>
      </c>
      <c r="CT14" s="72">
        <f t="shared" si="22"/>
        <v>1.2</v>
      </c>
      <c r="CU14" s="72">
        <f t="shared" ref="CU14:DZ14" si="23">IFERROR(IF(OR(MONTH(CU4)=12,MONTH(CU4)=1,MONTH(CU4)=2),1.2,IF(OR(MONTH(CU4)=6,MONTH(CU4)=7,MONTH(CU4)=8),0.8,1)),"")</f>
        <v>1.2</v>
      </c>
      <c r="CV14" s="72">
        <f t="shared" si="23"/>
        <v>1</v>
      </c>
      <c r="CW14" s="72">
        <f t="shared" si="23"/>
        <v>1</v>
      </c>
      <c r="CX14" s="72">
        <f t="shared" si="23"/>
        <v>1</v>
      </c>
      <c r="CY14" s="72">
        <f t="shared" si="23"/>
        <v>0.8</v>
      </c>
      <c r="CZ14" s="72">
        <f t="shared" si="23"/>
        <v>0.8</v>
      </c>
      <c r="DA14" s="72">
        <f t="shared" si="23"/>
        <v>0.8</v>
      </c>
      <c r="DB14" s="72">
        <f t="shared" si="23"/>
        <v>1</v>
      </c>
      <c r="DC14" s="72">
        <f t="shared" si="23"/>
        <v>1</v>
      </c>
      <c r="DD14" s="72">
        <f t="shared" si="23"/>
        <v>1</v>
      </c>
      <c r="DE14" s="72">
        <f t="shared" si="23"/>
        <v>1.2</v>
      </c>
      <c r="DF14" s="72">
        <f t="shared" si="23"/>
        <v>1.2</v>
      </c>
      <c r="DG14" s="72">
        <f t="shared" si="23"/>
        <v>1.2</v>
      </c>
      <c r="DH14" s="72">
        <f t="shared" si="23"/>
        <v>1</v>
      </c>
      <c r="DI14" s="72">
        <f t="shared" si="23"/>
        <v>1</v>
      </c>
      <c r="DJ14" s="72">
        <f t="shared" si="23"/>
        <v>1</v>
      </c>
      <c r="DK14" s="72">
        <f t="shared" si="23"/>
        <v>0.8</v>
      </c>
      <c r="DL14" s="72">
        <f t="shared" si="23"/>
        <v>0.8</v>
      </c>
      <c r="DM14" s="72">
        <f t="shared" si="23"/>
        <v>0.8</v>
      </c>
      <c r="DN14" s="72">
        <f t="shared" si="23"/>
        <v>1</v>
      </c>
      <c r="DO14" s="72">
        <f t="shared" si="23"/>
        <v>1</v>
      </c>
      <c r="DP14" s="72">
        <f t="shared" si="23"/>
        <v>1</v>
      </c>
      <c r="DQ14" s="72">
        <f t="shared" si="23"/>
        <v>1.2</v>
      </c>
      <c r="DR14" s="72">
        <f t="shared" si="23"/>
        <v>1.2</v>
      </c>
      <c r="DS14" s="72">
        <f t="shared" si="23"/>
        <v>1.2</v>
      </c>
      <c r="DT14" s="72">
        <f t="shared" si="23"/>
        <v>1</v>
      </c>
      <c r="DU14" s="72">
        <f t="shared" si="23"/>
        <v>1</v>
      </c>
      <c r="DV14" s="72">
        <f t="shared" si="23"/>
        <v>1</v>
      </c>
      <c r="DW14" s="72">
        <f t="shared" si="23"/>
        <v>0.8</v>
      </c>
      <c r="DX14" s="72">
        <f t="shared" si="23"/>
        <v>0.8</v>
      </c>
      <c r="DY14" s="72">
        <f t="shared" si="23"/>
        <v>0.8</v>
      </c>
      <c r="DZ14" s="72">
        <f t="shared" si="23"/>
        <v>1</v>
      </c>
      <c r="EA14" s="72">
        <f t="shared" ref="EA14:EN14" si="24">IFERROR(IF(OR(MONTH(EA4)=12,MONTH(EA4)=1,MONTH(EA4)=2),1.2,IF(OR(MONTH(EA4)=6,MONTH(EA4)=7,MONTH(EA4)=8),0.8,1)),"")</f>
        <v>1</v>
      </c>
      <c r="EB14" s="72">
        <f t="shared" si="24"/>
        <v>1</v>
      </c>
      <c r="EC14" s="72">
        <f t="shared" si="24"/>
        <v>1.2</v>
      </c>
      <c r="ED14" s="72">
        <f t="shared" si="24"/>
        <v>1.2</v>
      </c>
      <c r="EE14" s="72">
        <f t="shared" si="24"/>
        <v>1.2</v>
      </c>
      <c r="EF14" s="72">
        <f t="shared" si="24"/>
        <v>1</v>
      </c>
      <c r="EG14" s="72">
        <f t="shared" si="24"/>
        <v>1</v>
      </c>
      <c r="EH14" s="72">
        <f t="shared" si="24"/>
        <v>1</v>
      </c>
      <c r="EI14" s="72">
        <f t="shared" si="24"/>
        <v>0.8</v>
      </c>
      <c r="EJ14" s="72">
        <f t="shared" si="24"/>
        <v>0.8</v>
      </c>
      <c r="EK14" s="72">
        <f t="shared" si="24"/>
        <v>0.8</v>
      </c>
      <c r="EL14" s="72">
        <f t="shared" si="24"/>
        <v>1</v>
      </c>
      <c r="EM14" s="72">
        <f t="shared" si="24"/>
        <v>1</v>
      </c>
      <c r="EN14" s="72">
        <f t="shared" si="24"/>
        <v>1</v>
      </c>
    </row>
    <row r="15" spans="1:144" x14ac:dyDescent="0.35">
      <c r="A15" s="72" t="s">
        <v>1657</v>
      </c>
      <c r="B15" s="331"/>
      <c r="C15" s="145">
        <f>IFERROR(--(AND(C4&gt;=Inputs!$E$26,C4&lt;Inputs!$E$37)),"")</f>
        <v>0</v>
      </c>
      <c r="D15" s="145">
        <f>IFERROR(--(AND(D4&gt;=Inputs!$E$26,D4&lt;Inputs!$E$37)),"")</f>
        <v>0</v>
      </c>
      <c r="E15" s="145">
        <f>IFERROR(--(AND(E4&gt;=Inputs!$E$26,E4&lt;Inputs!$E$37)),"")</f>
        <v>0</v>
      </c>
      <c r="F15" s="145">
        <f>IFERROR(--(AND(F4&gt;=Inputs!$E$26,F4&lt;Inputs!$E$37)),"")</f>
        <v>0</v>
      </c>
      <c r="G15" s="145">
        <f>IFERROR(--(AND(G4&gt;=Inputs!$E$26,G4&lt;Inputs!$E$37)),"")</f>
        <v>0</v>
      </c>
      <c r="H15" s="145">
        <f>IFERROR(--(AND(H4&gt;=Inputs!$E$26,H4&lt;Inputs!$E$37)),"")</f>
        <v>0</v>
      </c>
      <c r="I15" s="145">
        <f>IFERROR(--(AND(I4&gt;=Inputs!$E$26,I4&lt;Inputs!$E$37)),"")</f>
        <v>0</v>
      </c>
      <c r="J15" s="145">
        <f>IFERROR(--(AND(J4&gt;=Inputs!$E$26,J4&lt;Inputs!$E$37)),"")</f>
        <v>0</v>
      </c>
      <c r="K15" s="145">
        <f>IFERROR(--(AND(K4&gt;=Inputs!$E$26,K4&lt;Inputs!$E$37)),"")</f>
        <v>0</v>
      </c>
      <c r="L15" s="145">
        <f>IFERROR(--(AND(L4&gt;=Inputs!$E$26,L4&lt;Inputs!$E$37)),"")</f>
        <v>0</v>
      </c>
      <c r="M15" s="145">
        <f>IFERROR(--(AND(M4&gt;=Inputs!$E$26,M4&lt;Inputs!$E$37)),"")</f>
        <v>0</v>
      </c>
      <c r="N15" s="145">
        <f>IFERROR(--(AND(N4&gt;=Inputs!$E$26,N4&lt;Inputs!$E$37)),"")</f>
        <v>0</v>
      </c>
      <c r="O15" s="145">
        <f>IFERROR(--(AND(O4&gt;=Inputs!$E$26,O4&lt;Inputs!$E$37)),"")</f>
        <v>0</v>
      </c>
      <c r="P15" s="145">
        <f>IFERROR(--(AND(P4&gt;=Inputs!$E$26,P4&lt;Inputs!$E$37)),"")</f>
        <v>0</v>
      </c>
      <c r="Q15" s="145">
        <f>IFERROR(--(AND(Q4&gt;=Inputs!$E$26,Q4&lt;Inputs!$E$37)),"")</f>
        <v>0</v>
      </c>
      <c r="R15" s="145">
        <f>IFERROR(--(AND(R4&gt;=Inputs!$E$26,R4&lt;Inputs!$E$37)),"")</f>
        <v>0</v>
      </c>
      <c r="S15" s="145">
        <f>IFERROR(--(AND(S4&gt;=Inputs!$E$26,S4&lt;Inputs!$E$37)),"")</f>
        <v>0</v>
      </c>
      <c r="T15" s="145">
        <f>IFERROR(--(AND(T4&gt;=Inputs!$E$26,T4&lt;Inputs!$E$37)),"")</f>
        <v>0</v>
      </c>
      <c r="U15" s="145">
        <f>IFERROR(--(AND(U4&gt;=Inputs!$E$26,U4&lt;Inputs!$E$37)),"")</f>
        <v>0</v>
      </c>
      <c r="V15" s="145">
        <f>IFERROR(--(AND(V4&gt;=Inputs!$E$26,V4&lt;Inputs!$E$37)),"")</f>
        <v>0</v>
      </c>
      <c r="W15" s="145">
        <f>IFERROR(--(AND(W4&gt;=Inputs!$E$26,W4&lt;Inputs!$E$37)),"")</f>
        <v>0</v>
      </c>
      <c r="X15" s="145">
        <f>IFERROR(--(AND(X4&gt;=Inputs!$E$26,X4&lt;Inputs!$E$37)),"")</f>
        <v>0</v>
      </c>
      <c r="Y15" s="145">
        <f>IFERROR(--(AND(Y4&gt;=Inputs!$E$26,Y4&lt;Inputs!$E$37)),"")</f>
        <v>0</v>
      </c>
      <c r="Z15" s="145">
        <f>IFERROR(--(AND(Z4&gt;=Inputs!$E$26,Z4&lt;Inputs!$E$37)),"")</f>
        <v>0</v>
      </c>
      <c r="AA15" s="145">
        <f>IFERROR(--(AND(AA4&gt;=Inputs!$E$26,AA4&lt;Inputs!$E$37)),"")</f>
        <v>1</v>
      </c>
      <c r="AB15" s="145">
        <f>IFERROR(--(AND(AB4&gt;=Inputs!$E$26,AB4&lt;Inputs!$E$37)),"")</f>
        <v>1</v>
      </c>
      <c r="AC15" s="145">
        <f>IFERROR(--(AND(AC4&gt;=Inputs!$E$26,AC4&lt;Inputs!$E$37)),"")</f>
        <v>1</v>
      </c>
      <c r="AD15" s="145">
        <f>IFERROR(--(AND(AD4&gt;=Inputs!$E$26,AD4&lt;Inputs!$E$37)),"")</f>
        <v>1</v>
      </c>
      <c r="AE15" s="145">
        <f>IFERROR(--(AND(AE4&gt;=Inputs!$E$26,AE4&lt;Inputs!$E$37)),"")</f>
        <v>1</v>
      </c>
      <c r="AF15" s="145">
        <f>IFERROR(--(AND(AF4&gt;=Inputs!$E$26,AF4&lt;Inputs!$E$37)),"")</f>
        <v>1</v>
      </c>
      <c r="AG15" s="145">
        <f>IFERROR(--(AND(AG4&gt;=Inputs!$E$26,AG4&lt;Inputs!$E$37)),"")</f>
        <v>1</v>
      </c>
      <c r="AH15" s="145">
        <f>IFERROR(--(AND(AH4&gt;=Inputs!$E$26,AH4&lt;Inputs!$E$37)),"")</f>
        <v>1</v>
      </c>
      <c r="AI15" s="145">
        <f>IFERROR(--(AND(AI4&gt;=Inputs!$E$26,AI4&lt;Inputs!$E$37)),"")</f>
        <v>1</v>
      </c>
      <c r="AJ15" s="145">
        <f>IFERROR(--(AND(AJ4&gt;=Inputs!$E$26,AJ4&lt;Inputs!$E$37)),"")</f>
        <v>1</v>
      </c>
      <c r="AK15" s="145">
        <f>IFERROR(--(AND(AK4&gt;=Inputs!$E$26,AK4&lt;Inputs!$E$37)),"")</f>
        <v>1</v>
      </c>
      <c r="AL15" s="145">
        <f>IFERROR(--(AND(AL4&gt;=Inputs!$E$26,AL4&lt;Inputs!$E$37)),"")</f>
        <v>1</v>
      </c>
      <c r="AM15" s="145">
        <f>IFERROR(--(AND(AM4&gt;=Inputs!$E$26,AM4&lt;Inputs!$E$37)),"")</f>
        <v>1</v>
      </c>
      <c r="AN15" s="145">
        <f>IFERROR(--(AND(AN4&gt;=Inputs!$E$26,AN4&lt;Inputs!$E$37)),"")</f>
        <v>1</v>
      </c>
      <c r="AO15" s="145">
        <f>IFERROR(--(AND(AO4&gt;=Inputs!$E$26,AO4&lt;Inputs!$E$37)),"")</f>
        <v>1</v>
      </c>
      <c r="AP15" s="145">
        <f>IFERROR(--(AND(AP4&gt;=Inputs!$E$26,AP4&lt;Inputs!$E$37)),"")</f>
        <v>1</v>
      </c>
      <c r="AQ15" s="145">
        <f>IFERROR(--(AND(AQ4&gt;=Inputs!$E$26,AQ4&lt;Inputs!$E$37)),"")</f>
        <v>1</v>
      </c>
      <c r="AR15" s="145">
        <f>IFERROR(--(AND(AR4&gt;=Inputs!$E$26,AR4&lt;Inputs!$E$37)),"")</f>
        <v>1</v>
      </c>
      <c r="AS15" s="145">
        <f>IFERROR(--(AND(AS4&gt;=Inputs!$E$26,AS4&lt;Inputs!$E$37)),"")</f>
        <v>0</v>
      </c>
      <c r="AT15" s="145">
        <f>IFERROR(--(AND(AT4&gt;=Inputs!$E$26,AT4&lt;Inputs!$E$37)),"")</f>
        <v>0</v>
      </c>
      <c r="AU15" s="145">
        <f>IFERROR(--(AND(AU4&gt;=Inputs!$E$26,AU4&lt;Inputs!$E$37)),"")</f>
        <v>0</v>
      </c>
      <c r="AV15" s="145">
        <f>IFERROR(--(AND(AV4&gt;=Inputs!$E$26,AV4&lt;Inputs!$E$37)),"")</f>
        <v>0</v>
      </c>
      <c r="AW15" s="145">
        <f>IFERROR(--(AND(AW4&gt;=Inputs!$E$26,AW4&lt;Inputs!$E$37)),"")</f>
        <v>0</v>
      </c>
      <c r="AX15" s="145">
        <f>IFERROR(--(AND(AX4&gt;=Inputs!$E$26,AX4&lt;Inputs!$E$37)),"")</f>
        <v>0</v>
      </c>
      <c r="AY15" s="145">
        <f>IFERROR(--(AND(AY4&gt;=Inputs!$E$26,AY4&lt;Inputs!$E$37)),"")</f>
        <v>0</v>
      </c>
      <c r="AZ15" s="145">
        <f>IFERROR(--(AND(AZ4&gt;=Inputs!$E$26,AZ4&lt;Inputs!$E$37)),"")</f>
        <v>0</v>
      </c>
      <c r="BA15" s="145">
        <f>IFERROR(--(AND(BA4&gt;=Inputs!$E$26,BA4&lt;Inputs!$E$37)),"")</f>
        <v>0</v>
      </c>
      <c r="BB15" s="145">
        <f>IFERROR(--(AND(BB4&gt;=Inputs!$E$26,BB4&lt;Inputs!$E$37)),"")</f>
        <v>0</v>
      </c>
      <c r="BC15" s="145">
        <f>IFERROR(--(AND(BC4&gt;=Inputs!$E$26,BC4&lt;Inputs!$E$37)),"")</f>
        <v>0</v>
      </c>
      <c r="BD15" s="145">
        <f>IFERROR(--(AND(BD4&gt;=Inputs!$E$26,BD4&lt;Inputs!$E$37)),"")</f>
        <v>0</v>
      </c>
      <c r="BE15" s="145">
        <f>IFERROR(--(AND(BE4&gt;=Inputs!$E$26,BE4&lt;Inputs!$E$37)),"")</f>
        <v>0</v>
      </c>
      <c r="BF15" s="145">
        <f>IFERROR(--(AND(BF4&gt;=Inputs!$E$26,BF4&lt;Inputs!$E$37)),"")</f>
        <v>0</v>
      </c>
      <c r="BG15" s="145">
        <f>IFERROR(--(AND(BG4&gt;=Inputs!$E$26,BG4&lt;Inputs!$E$37)),"")</f>
        <v>0</v>
      </c>
      <c r="BH15" s="145">
        <f>IFERROR(--(AND(BH4&gt;=Inputs!$E$26,BH4&lt;Inputs!$E$37)),"")</f>
        <v>0</v>
      </c>
      <c r="BI15" s="145">
        <f>IFERROR(--(AND(BI4&gt;=Inputs!$E$26,BI4&lt;Inputs!$E$37)),"")</f>
        <v>0</v>
      </c>
      <c r="BJ15" s="145">
        <f>IFERROR(--(AND(BJ4&gt;=Inputs!$E$26,BJ4&lt;Inputs!$E$37)),"")</f>
        <v>0</v>
      </c>
      <c r="BK15" s="145">
        <f>IFERROR(--(AND(BK4&gt;=Inputs!$E$26,BK4&lt;Inputs!$E$37)),"")</f>
        <v>0</v>
      </c>
      <c r="BL15" s="145">
        <f>IFERROR(--(AND(BL4&gt;=Inputs!$E$26,BL4&lt;Inputs!$E$37)),"")</f>
        <v>0</v>
      </c>
      <c r="BM15" s="145">
        <f>IFERROR(--(AND(BM4&gt;=Inputs!$E$26,BM4&lt;Inputs!$E$37)),"")</f>
        <v>0</v>
      </c>
      <c r="BN15" s="145">
        <f>IFERROR(--(AND(BN4&gt;=Inputs!$E$26,BN4&lt;Inputs!$E$37)),"")</f>
        <v>0</v>
      </c>
      <c r="BO15" s="145">
        <f>IFERROR(--(AND(BO4&gt;=Inputs!$E$26,BO4&lt;Inputs!$E$37)),"")</f>
        <v>0</v>
      </c>
      <c r="BP15" s="145">
        <f>IFERROR(--(AND(BP4&gt;=Inputs!$E$26,BP4&lt;Inputs!$E$37)),"")</f>
        <v>0</v>
      </c>
      <c r="BQ15" s="145">
        <f>IFERROR(--(AND(BQ4&gt;=Inputs!$E$26,BQ4&lt;Inputs!$E$37)),"")</f>
        <v>0</v>
      </c>
      <c r="BR15" s="145">
        <f>IFERROR(--(AND(BR4&gt;=Inputs!$E$26,BR4&lt;Inputs!$E$37)),"")</f>
        <v>0</v>
      </c>
      <c r="BS15" s="145">
        <f>IFERROR(--(AND(BS4&gt;=Inputs!$E$26,BS4&lt;Inputs!$E$37)),"")</f>
        <v>0</v>
      </c>
      <c r="BT15" s="145">
        <f>IFERROR(--(AND(BT4&gt;=Inputs!$E$26,BT4&lt;Inputs!$E$37)),"")</f>
        <v>0</v>
      </c>
      <c r="BU15" s="145">
        <f>IFERROR(--(AND(BU4&gt;=Inputs!$E$26,BU4&lt;Inputs!$E$37)),"")</f>
        <v>0</v>
      </c>
      <c r="BV15" s="145">
        <f>IFERROR(--(AND(BV4&gt;=Inputs!$E$26,BV4&lt;Inputs!$E$37)),"")</f>
        <v>0</v>
      </c>
      <c r="BW15" s="145">
        <f>IFERROR(--(AND(BW4&gt;=Inputs!$E$26,BW4&lt;Inputs!$E$37)),"")</f>
        <v>0</v>
      </c>
      <c r="BX15" s="145">
        <f>IFERROR(--(AND(BX4&gt;=Inputs!$E$26,BX4&lt;Inputs!$E$37)),"")</f>
        <v>0</v>
      </c>
      <c r="BY15" s="145">
        <f>IFERROR(--(AND(BY4&gt;=Inputs!$E$26,BY4&lt;Inputs!$E$37)),"")</f>
        <v>0</v>
      </c>
      <c r="BZ15" s="145">
        <f>IFERROR(--(AND(BZ4&gt;=Inputs!$E$26,BZ4&lt;Inputs!$E$37)),"")</f>
        <v>0</v>
      </c>
      <c r="CA15" s="145">
        <f>IFERROR(--(AND(CA4&gt;=Inputs!$E$26,CA4&lt;Inputs!$E$37)),"")</f>
        <v>0</v>
      </c>
      <c r="CB15" s="145">
        <f>IFERROR(--(AND(CB4&gt;=Inputs!$E$26,CB4&lt;Inputs!$E$37)),"")</f>
        <v>0</v>
      </c>
      <c r="CC15" s="145">
        <f>IFERROR(--(AND(CC4&gt;=Inputs!$E$26,CC4&lt;Inputs!$E$37)),"")</f>
        <v>0</v>
      </c>
      <c r="CD15" s="145">
        <f>IFERROR(--(AND(CD4&gt;=Inputs!$E$26,CD4&lt;Inputs!$E$37)),"")</f>
        <v>0</v>
      </c>
      <c r="CE15" s="145">
        <f>IFERROR(--(AND(CE4&gt;=Inputs!$E$26,CE4&lt;Inputs!$E$37)),"")</f>
        <v>0</v>
      </c>
      <c r="CF15" s="145">
        <f>IFERROR(--(AND(CF4&gt;=Inputs!$E$26,CF4&lt;Inputs!$E$37)),"")</f>
        <v>0</v>
      </c>
      <c r="CG15" s="145">
        <f>IFERROR(--(AND(CG4&gt;=Inputs!$E$26,CG4&lt;Inputs!$E$37)),"")</f>
        <v>0</v>
      </c>
      <c r="CH15" s="145">
        <f>IFERROR(--(AND(CH4&gt;=Inputs!$E$26,CH4&lt;Inputs!$E$37)),"")</f>
        <v>0</v>
      </c>
      <c r="CI15" s="145">
        <f>IFERROR(--(AND(CI4&gt;=Inputs!$E$26,CI4&lt;Inputs!$E$37)),"")</f>
        <v>0</v>
      </c>
      <c r="CJ15" s="145">
        <f>IFERROR(--(AND(CJ4&gt;=Inputs!$E$26,CJ4&lt;Inputs!$E$37)),"")</f>
        <v>0</v>
      </c>
      <c r="CK15" s="145">
        <f>IFERROR(--(AND(CK4&gt;=Inputs!$E$26,CK4&lt;Inputs!$E$37)),"")</f>
        <v>0</v>
      </c>
      <c r="CL15" s="145">
        <f>IFERROR(--(AND(CL4&gt;=Inputs!$E$26,CL4&lt;Inputs!$E$37)),"")</f>
        <v>0</v>
      </c>
      <c r="CM15" s="145">
        <f>IFERROR(--(AND(CM4&gt;=Inputs!$E$26,CM4&lt;Inputs!$E$37)),"")</f>
        <v>0</v>
      </c>
      <c r="CN15" s="145">
        <f>IFERROR(--(AND(CN4&gt;=Inputs!$E$26,CN4&lt;Inputs!$E$37)),"")</f>
        <v>0</v>
      </c>
      <c r="CO15" s="145">
        <f>IFERROR(--(AND(CO4&gt;=Inputs!$E$26,CO4&lt;Inputs!$E$37)),"")</f>
        <v>0</v>
      </c>
      <c r="CP15" s="145">
        <f>IFERROR(--(AND(CP4&gt;=Inputs!$E$26,CP4&lt;Inputs!$E$37)),"")</f>
        <v>0</v>
      </c>
      <c r="CQ15" s="145">
        <f>IFERROR(--(AND(CQ4&gt;=Inputs!$E$26,CQ4&lt;Inputs!$E$37)),"")</f>
        <v>0</v>
      </c>
      <c r="CR15" s="145">
        <f>IFERROR(--(AND(CR4&gt;=Inputs!$E$26,CR4&lt;Inputs!$E$37)),"")</f>
        <v>0</v>
      </c>
      <c r="CS15" s="145">
        <f>IFERROR(--(AND(CS4&gt;=Inputs!$E$26,CS4&lt;Inputs!$E$37)),"")</f>
        <v>0</v>
      </c>
      <c r="CT15" s="145">
        <f>IFERROR(--(AND(CT4&gt;=Inputs!$E$26,CT4&lt;Inputs!$E$37)),"")</f>
        <v>0</v>
      </c>
      <c r="CU15" s="145">
        <f>IFERROR(--(AND(CU4&gt;=Inputs!$E$26,CU4&lt;Inputs!$E$37)),"")</f>
        <v>0</v>
      </c>
      <c r="CV15" s="145">
        <f>IFERROR(--(AND(CV4&gt;=Inputs!$E$26,CV4&lt;Inputs!$E$37)),"")</f>
        <v>0</v>
      </c>
      <c r="CW15" s="145">
        <f>IFERROR(--(AND(CW4&gt;=Inputs!$E$26,CW4&lt;Inputs!$E$37)),"")</f>
        <v>0</v>
      </c>
      <c r="CX15" s="145">
        <f>IFERROR(--(AND(CX4&gt;=Inputs!$E$26,CX4&lt;Inputs!$E$37)),"")</f>
        <v>0</v>
      </c>
      <c r="CY15" s="145">
        <f>IFERROR(--(AND(CY4&gt;=Inputs!$E$26,CY4&lt;Inputs!$E$37)),"")</f>
        <v>0</v>
      </c>
      <c r="CZ15" s="145">
        <f>IFERROR(--(AND(CZ4&gt;=Inputs!$E$26,CZ4&lt;Inputs!$E$37)),"")</f>
        <v>0</v>
      </c>
      <c r="DA15" s="145">
        <f>IFERROR(--(AND(DA4&gt;=Inputs!$E$26,DA4&lt;Inputs!$E$37)),"")</f>
        <v>0</v>
      </c>
      <c r="DB15" s="145">
        <f>IFERROR(--(AND(DB4&gt;=Inputs!$E$26,DB4&lt;Inputs!$E$37)),"")</f>
        <v>0</v>
      </c>
      <c r="DC15" s="145">
        <f>IFERROR(--(AND(DC4&gt;=Inputs!$E$26,DC4&lt;Inputs!$E$37)),"")</f>
        <v>0</v>
      </c>
      <c r="DD15" s="145">
        <f>IFERROR(--(AND(DD4&gt;=Inputs!$E$26,DD4&lt;Inputs!$E$37)),"")</f>
        <v>0</v>
      </c>
      <c r="DE15" s="145">
        <f>IFERROR(--(AND(DE4&gt;=Inputs!$E$26,DE4&lt;Inputs!$E$37)),"")</f>
        <v>0</v>
      </c>
      <c r="DF15" s="145">
        <f>IFERROR(--(AND(DF4&gt;=Inputs!$E$26,DF4&lt;Inputs!$E$37)),"")</f>
        <v>0</v>
      </c>
      <c r="DG15" s="145">
        <f>IFERROR(--(AND(DG4&gt;=Inputs!$E$26,DG4&lt;Inputs!$E$37)),"")</f>
        <v>0</v>
      </c>
      <c r="DH15" s="145">
        <f>IFERROR(--(AND(DH4&gt;=Inputs!$E$26,DH4&lt;Inputs!$E$37)),"")</f>
        <v>0</v>
      </c>
      <c r="DI15" s="145">
        <f>IFERROR(--(AND(DI4&gt;=Inputs!$E$26,DI4&lt;Inputs!$E$37)),"")</f>
        <v>0</v>
      </c>
      <c r="DJ15" s="145">
        <f>IFERROR(--(AND(DJ4&gt;=Inputs!$E$26,DJ4&lt;Inputs!$E$37)),"")</f>
        <v>0</v>
      </c>
      <c r="DK15" s="145">
        <f>IFERROR(--(AND(DK4&gt;=Inputs!$E$26,DK4&lt;Inputs!$E$37)),"")</f>
        <v>0</v>
      </c>
      <c r="DL15" s="145">
        <f>IFERROR(--(AND(DL4&gt;=Inputs!$E$26,DL4&lt;Inputs!$E$37)),"")</f>
        <v>0</v>
      </c>
      <c r="DM15" s="145">
        <f>IFERROR(--(AND(DM4&gt;=Inputs!$E$26,DM4&lt;Inputs!$E$37)),"")</f>
        <v>0</v>
      </c>
      <c r="DN15" s="145">
        <f>IFERROR(--(AND(DN4&gt;=Inputs!$E$26,DN4&lt;Inputs!$E$37)),"")</f>
        <v>0</v>
      </c>
      <c r="DO15" s="145">
        <f>IFERROR(--(AND(DO4&gt;=Inputs!$E$26,DO4&lt;Inputs!$E$37)),"")</f>
        <v>0</v>
      </c>
      <c r="DP15" s="145">
        <f>IFERROR(--(AND(DP4&gt;=Inputs!$E$26,DP4&lt;Inputs!$E$37)),"")</f>
        <v>0</v>
      </c>
      <c r="DQ15" s="145">
        <f>IFERROR(--(AND(DQ4&gt;=Inputs!$E$26,DQ4&lt;Inputs!$E$37)),"")</f>
        <v>0</v>
      </c>
      <c r="DR15" s="145">
        <f>IFERROR(--(AND(DR4&gt;=Inputs!$E$26,DR4&lt;Inputs!$E$37)),"")</f>
        <v>0</v>
      </c>
      <c r="DS15" s="145">
        <f>IFERROR(--(AND(DS4&gt;=Inputs!$E$26,DS4&lt;Inputs!$E$37)),"")</f>
        <v>0</v>
      </c>
      <c r="DT15" s="145">
        <f>IFERROR(--(AND(DT4&gt;=Inputs!$E$26,DT4&lt;Inputs!$E$37)),"")</f>
        <v>0</v>
      </c>
      <c r="DU15" s="145">
        <f>IFERROR(--(AND(DU4&gt;=Inputs!$E$26,DU4&lt;Inputs!$E$37)),"")</f>
        <v>0</v>
      </c>
      <c r="DV15" s="145">
        <f>IFERROR(--(AND(DV4&gt;=Inputs!$E$26,DV4&lt;Inputs!$E$37)),"")</f>
        <v>0</v>
      </c>
      <c r="DW15" s="145">
        <f>IFERROR(--(AND(DW4&gt;=Inputs!$E$26,DW4&lt;Inputs!$E$37)),"")</f>
        <v>0</v>
      </c>
      <c r="DX15" s="145">
        <f>IFERROR(--(AND(DX4&gt;=Inputs!$E$26,DX4&lt;Inputs!$E$37)),"")</f>
        <v>0</v>
      </c>
      <c r="DY15" s="145">
        <f>IFERROR(--(AND(DY4&gt;=Inputs!$E$26,DY4&lt;Inputs!$E$37)),"")</f>
        <v>0</v>
      </c>
      <c r="DZ15" s="145">
        <f>IFERROR(--(AND(DZ4&gt;=Inputs!$E$26,DZ4&lt;Inputs!$E$37)),"")</f>
        <v>0</v>
      </c>
      <c r="EA15" s="145">
        <f>IFERROR(--(AND(EA4&gt;=Inputs!$E$26,EA4&lt;Inputs!$E$37)),"")</f>
        <v>0</v>
      </c>
      <c r="EB15" s="145">
        <f>IFERROR(--(AND(EB4&gt;=Inputs!$E$26,EB4&lt;Inputs!$E$37)),"")</f>
        <v>0</v>
      </c>
      <c r="EC15" s="145">
        <f>IFERROR(--(AND(EC4&gt;=Inputs!$E$26,EC4&lt;Inputs!$E$37)),"")</f>
        <v>0</v>
      </c>
      <c r="ED15" s="145">
        <f>IFERROR(--(AND(ED4&gt;=Inputs!$E$26,ED4&lt;Inputs!$E$37)),"")</f>
        <v>0</v>
      </c>
      <c r="EE15" s="145">
        <f>IFERROR(--(AND(EE4&gt;=Inputs!$E$26,EE4&lt;Inputs!$E$37)),"")</f>
        <v>0</v>
      </c>
      <c r="EF15" s="145">
        <f>IFERROR(--(AND(EF4&gt;=Inputs!$E$26,EF4&lt;Inputs!$E$37)),"")</f>
        <v>0</v>
      </c>
      <c r="EG15" s="145">
        <f>IFERROR(--(AND(EG4&gt;=Inputs!$E$26,EG4&lt;Inputs!$E$37)),"")</f>
        <v>0</v>
      </c>
      <c r="EH15" s="145">
        <f>IFERROR(--(AND(EH4&gt;=Inputs!$E$26,EH4&lt;Inputs!$E$37)),"")</f>
        <v>0</v>
      </c>
      <c r="EI15" s="145">
        <f>IFERROR(--(AND(EI4&gt;=Inputs!$E$26,EI4&lt;Inputs!$E$37)),"")</f>
        <v>0</v>
      </c>
      <c r="EJ15" s="145">
        <f>IFERROR(--(AND(EJ4&gt;=Inputs!$E$26,EJ4&lt;Inputs!$E$37)),"")</f>
        <v>0</v>
      </c>
      <c r="EK15" s="145">
        <f>IFERROR(--(AND(EK4&gt;=Inputs!$E$26,EK4&lt;Inputs!$E$37)),"")</f>
        <v>0</v>
      </c>
      <c r="EL15" s="145">
        <f>IFERROR(--(AND(EL4&gt;=Inputs!$E$26,EL4&lt;Inputs!$E$37)),"")</f>
        <v>0</v>
      </c>
      <c r="EM15" s="145">
        <f>IFERROR(--(AND(EM4&gt;=Inputs!$E$26,EM4&lt;Inputs!$E$37)),"")</f>
        <v>0</v>
      </c>
      <c r="EN15" s="145">
        <f>IFERROR(--(AND(EN4&gt;=Inputs!$E$26,EN4&lt;Inputs!$E$37)),"")</f>
        <v>0</v>
      </c>
    </row>
    <row r="16" spans="1:144" s="166" customFormat="1" x14ac:dyDescent="0.35">
      <c r="A16" s="72" t="s">
        <v>2055</v>
      </c>
      <c r="B16" s="331"/>
      <c r="C16" s="145">
        <f>IF(C4&lt;Inputs!$E$26,0,IF(C4&lt;Inputs!$E$37,0,IF(C4&lt;Inputs!$E$40,Inputs!$E$39,1)))</f>
        <v>0</v>
      </c>
      <c r="D16" s="145">
        <f>IF(D4&lt;Inputs!$E$26,0,IF(D4&lt;Inputs!$E$37,0,IF(D4&lt;Inputs!$E$40,Inputs!$E$39,1)))</f>
        <v>0</v>
      </c>
      <c r="E16" s="145">
        <f>IF(E4&lt;Inputs!$E$26,0,IF(E4&lt;Inputs!$E$37,0,IF(E4&lt;Inputs!$E$40,Inputs!$E$39,1)))</f>
        <v>0</v>
      </c>
      <c r="F16" s="145">
        <f>IF(F4&lt;Inputs!$E$26,0,IF(F4&lt;Inputs!$E$37,0,IF(F4&lt;Inputs!$E$40,Inputs!$E$39,1)))</f>
        <v>0</v>
      </c>
      <c r="G16" s="145">
        <f>IF(G4&lt;Inputs!$E$26,0,IF(G4&lt;Inputs!$E$37,0,IF(G4&lt;Inputs!$E$40,Inputs!$E$39,1)))</f>
        <v>0</v>
      </c>
      <c r="H16" s="145">
        <f>IF(H4&lt;Inputs!$E$26,0,IF(H4&lt;Inputs!$E$37,0,IF(H4&lt;Inputs!$E$40,Inputs!$E$39,1)))</f>
        <v>0</v>
      </c>
      <c r="I16" s="145">
        <f>IF(I4&lt;Inputs!$E$26,0,IF(I4&lt;Inputs!$E$37,0,IF(I4&lt;Inputs!$E$40,Inputs!$E$39,1)))</f>
        <v>0</v>
      </c>
      <c r="J16" s="145">
        <f>IF(J4&lt;Inputs!$E$26,0,IF(J4&lt;Inputs!$E$37,0,IF(J4&lt;Inputs!$E$40,Inputs!$E$39,1)))</f>
        <v>0</v>
      </c>
      <c r="K16" s="145">
        <f>IF(K4&lt;Inputs!$E$26,0,IF(K4&lt;Inputs!$E$37,0,IF(K4&lt;Inputs!$E$40,Inputs!$E$39,1)))</f>
        <v>0</v>
      </c>
      <c r="L16" s="145">
        <f>IF(L4&lt;Inputs!$E$26,0,IF(L4&lt;Inputs!$E$37,0,IF(L4&lt;Inputs!$E$40,Inputs!$E$39,1)))</f>
        <v>0</v>
      </c>
      <c r="M16" s="145">
        <f>IF(M4&lt;Inputs!$E$26,0,IF(M4&lt;Inputs!$E$37,0,IF(M4&lt;Inputs!$E$40,Inputs!$E$39,1)))</f>
        <v>0</v>
      </c>
      <c r="N16" s="145">
        <f>IF(N4&lt;Inputs!$E$26,0,IF(N4&lt;Inputs!$E$37,0,IF(N4&lt;Inputs!$E$40,Inputs!$E$39,1)))</f>
        <v>0</v>
      </c>
      <c r="O16" s="145">
        <f>IF(O4&lt;Inputs!$E$26,0,IF(O4&lt;Inputs!$E$37,0,IF(O4&lt;Inputs!$E$40,Inputs!$E$39,1)))</f>
        <v>0</v>
      </c>
      <c r="P16" s="145">
        <f>IF(P4&lt;Inputs!$E$26,0,IF(P4&lt;Inputs!$E$37,0,IF(P4&lt;Inputs!$E$40,Inputs!$E$39,1)))</f>
        <v>0</v>
      </c>
      <c r="Q16" s="145">
        <f>IF(Q4&lt;Inputs!$E$26,0,IF(Q4&lt;Inputs!$E$37,0,IF(Q4&lt;Inputs!$E$40,Inputs!$E$39,1)))</f>
        <v>0</v>
      </c>
      <c r="R16" s="145">
        <f>IF(R4&lt;Inputs!$E$26,0,IF(R4&lt;Inputs!$E$37,0,IF(R4&lt;Inputs!$E$40,Inputs!$E$39,1)))</f>
        <v>0</v>
      </c>
      <c r="S16" s="145">
        <f>IF(S4&lt;Inputs!$E$26,0,IF(S4&lt;Inputs!$E$37,0,IF(S4&lt;Inputs!$E$40,Inputs!$E$39,1)))</f>
        <v>0</v>
      </c>
      <c r="T16" s="145">
        <f>IF(T4&lt;Inputs!$E$26,0,IF(T4&lt;Inputs!$E$37,0,IF(T4&lt;Inputs!$E$40,Inputs!$E$39,1)))</f>
        <v>0</v>
      </c>
      <c r="U16" s="145">
        <f>IF(U4&lt;Inputs!$E$26,0,IF(U4&lt;Inputs!$E$37,0,IF(U4&lt;Inputs!$E$40,Inputs!$E$39,1)))</f>
        <v>0</v>
      </c>
      <c r="V16" s="145">
        <f>IF(V4&lt;Inputs!$E$26,0,IF(V4&lt;Inputs!$E$37,0,IF(V4&lt;Inputs!$E$40,Inputs!$E$39,1)))</f>
        <v>0</v>
      </c>
      <c r="W16" s="145">
        <f>IF(W4&lt;Inputs!$E$26,0,IF(W4&lt;Inputs!$E$37,0,IF(W4&lt;Inputs!$E$40,Inputs!$E$39,1)))</f>
        <v>0</v>
      </c>
      <c r="X16" s="145">
        <f>IF(X4&lt;Inputs!$E$26,0,IF(X4&lt;Inputs!$E$37,0,IF(X4&lt;Inputs!$E$40,Inputs!$E$39,1)))</f>
        <v>0</v>
      </c>
      <c r="Y16" s="145">
        <f>IF(Y4&lt;Inputs!$E$26,0,IF(Y4&lt;Inputs!$E$37,0,IF(Y4&lt;Inputs!$E$40,Inputs!$E$39,1)))</f>
        <v>0</v>
      </c>
      <c r="Z16" s="145">
        <f>IF(Z4&lt;Inputs!$E$26,0,IF(Z4&lt;Inputs!$E$37,0,IF(Z4&lt;Inputs!$E$40,Inputs!$E$39,1)))</f>
        <v>0</v>
      </c>
      <c r="AA16" s="145">
        <f>IF(AA4&lt;Inputs!$E$26,0,IF(AA4&lt;Inputs!$E$37,0,IF(AA4&lt;Inputs!$E$40,Inputs!$E$39,1)))</f>
        <v>0</v>
      </c>
      <c r="AB16" s="145">
        <f>IF(AB4&lt;Inputs!$E$26,0,IF(AB4&lt;Inputs!$E$37,0,IF(AB4&lt;Inputs!$E$40,Inputs!$E$39,1)))</f>
        <v>0</v>
      </c>
      <c r="AC16" s="145">
        <f>IF(AC4&lt;Inputs!$E$26,0,IF(AC4&lt;Inputs!$E$37,0,IF(AC4&lt;Inputs!$E$40,Inputs!$E$39,1)))</f>
        <v>0</v>
      </c>
      <c r="AD16" s="145">
        <f>IF(AD4&lt;Inputs!$E$26,0,IF(AD4&lt;Inputs!$E$37,0,IF(AD4&lt;Inputs!$E$40,Inputs!$E$39,1)))</f>
        <v>0</v>
      </c>
      <c r="AE16" s="145">
        <f>IF(AE4&lt;Inputs!$E$26,0,IF(AE4&lt;Inputs!$E$37,0,IF(AE4&lt;Inputs!$E$40,Inputs!$E$39,1)))</f>
        <v>0</v>
      </c>
      <c r="AF16" s="145">
        <f>IF(AF4&lt;Inputs!$E$26,0,IF(AF4&lt;Inputs!$E$37,0,IF(AF4&lt;Inputs!$E$40,Inputs!$E$39,1)))</f>
        <v>0</v>
      </c>
      <c r="AG16" s="145">
        <f>IF(AG4&lt;Inputs!$E$26,0,IF(AG4&lt;Inputs!$E$37,0,IF(AG4&lt;Inputs!$E$40,Inputs!$E$39,1)))</f>
        <v>0</v>
      </c>
      <c r="AH16" s="145">
        <f>IF(AH4&lt;Inputs!$E$26,0,IF(AH4&lt;Inputs!$E$37,0,IF(AH4&lt;Inputs!$E$40,Inputs!$E$39,1)))</f>
        <v>0</v>
      </c>
      <c r="AI16" s="145">
        <f>IF(AI4&lt;Inputs!$E$26,0,IF(AI4&lt;Inputs!$E$37,0,IF(AI4&lt;Inputs!$E$40,Inputs!$E$39,1)))</f>
        <v>0</v>
      </c>
      <c r="AJ16" s="145">
        <f>IF(AJ4&lt;Inputs!$E$26,0,IF(AJ4&lt;Inputs!$E$37,0,IF(AJ4&lt;Inputs!$E$40,Inputs!$E$39,1)))</f>
        <v>0</v>
      </c>
      <c r="AK16" s="145">
        <f>IF(AK4&lt;Inputs!$E$26,0,IF(AK4&lt;Inputs!$E$37,0,IF(AK4&lt;Inputs!$E$40,Inputs!$E$39,1)))</f>
        <v>0</v>
      </c>
      <c r="AL16" s="145">
        <f>IF(AL4&lt;Inputs!$E$26,0,IF(AL4&lt;Inputs!$E$37,0,IF(AL4&lt;Inputs!$E$40,Inputs!$E$39,1)))</f>
        <v>0</v>
      </c>
      <c r="AM16" s="145">
        <f>IF(AM4&lt;Inputs!$E$26,0,IF(AM4&lt;Inputs!$E$37,0,IF(AM4&lt;Inputs!$E$40,Inputs!$E$39,1)))</f>
        <v>0</v>
      </c>
      <c r="AN16" s="145">
        <f>IF(AN4&lt;Inputs!$E$26,0,IF(AN4&lt;Inputs!$E$37,0,IF(AN4&lt;Inputs!$E$40,Inputs!$E$39,1)))</f>
        <v>0</v>
      </c>
      <c r="AO16" s="145">
        <f>IF(AO4&lt;Inputs!$E$26,0,IF(AO4&lt;Inputs!$E$37,0,IF(AO4&lt;Inputs!$E$40,Inputs!$E$39,1)))</f>
        <v>0</v>
      </c>
      <c r="AP16" s="145">
        <f>IF(AP4&lt;Inputs!$E$26,0,IF(AP4&lt;Inputs!$E$37,0,IF(AP4&lt;Inputs!$E$40,Inputs!$E$39,1)))</f>
        <v>0</v>
      </c>
      <c r="AQ16" s="145">
        <f>IF(AQ4&lt;Inputs!$E$26,0,IF(AQ4&lt;Inputs!$E$37,0,IF(AQ4&lt;Inputs!$E$40,Inputs!$E$39,1)))</f>
        <v>0</v>
      </c>
      <c r="AR16" s="145">
        <f>IF(AR4&lt;Inputs!$E$26,0,IF(AR4&lt;Inputs!$E$37,0,IF(AR4&lt;Inputs!$E$40,Inputs!$E$39,1)))</f>
        <v>0</v>
      </c>
      <c r="AS16" s="699">
        <f>IF(AS4&lt;Inputs!$E$26,0,IF(AS4&lt;Inputs!$E$37,0,IF(AS4&lt;Inputs!$E$40,Inputs!$E$39,1)))</f>
        <v>0.5</v>
      </c>
      <c r="AT16" s="698">
        <f>IF(AT4&lt;Inputs!$E$26,0,IF(AT4&lt;Inputs!$E$37,0,IF(AT4&lt;Inputs!$E$40,Inputs!$E$39,1)))</f>
        <v>0.5</v>
      </c>
      <c r="AU16" s="698">
        <f>IF(AU4&lt;Inputs!$E$26,0,IF(AU4&lt;Inputs!$E$37,0,IF(AU4&lt;Inputs!$E$40,Inputs!$E$39,1)))</f>
        <v>0.5</v>
      </c>
      <c r="AV16" s="698">
        <f>IF(AV4&lt;Inputs!$E$26,0,IF(AV4&lt;Inputs!$E$37,0,IF(AV4&lt;Inputs!$E$40,Inputs!$E$39,1)))</f>
        <v>0.5</v>
      </c>
      <c r="AW16" s="698">
        <f>IF(AW4&lt;Inputs!$E$26,0,IF(AW4&lt;Inputs!$E$37,0,IF(AW4&lt;Inputs!$E$40,Inputs!$E$39,1)))</f>
        <v>0.5</v>
      </c>
      <c r="AX16" s="145">
        <f>IF(AX4&lt;Inputs!$E$26,0,IF(AX4&lt;Inputs!$E$37,0,IF(AX4&lt;Inputs!$E$40,Inputs!$E$39,1)))</f>
        <v>0.5</v>
      </c>
      <c r="AY16" s="145">
        <f>IF(AY4&lt;Inputs!$E$26,0,IF(AY4&lt;Inputs!$E$37,0,IF(AY4&lt;Inputs!$E$40,Inputs!$E$39,1)))</f>
        <v>0.5</v>
      </c>
      <c r="AZ16" s="145">
        <f>IF(AZ4&lt;Inputs!$E$26,0,IF(AZ4&lt;Inputs!$E$37,0,IF(AZ4&lt;Inputs!$E$40,Inputs!$E$39,1)))</f>
        <v>0.5</v>
      </c>
      <c r="BA16" s="145">
        <f>IF(BA4&lt;Inputs!$E$26,0,IF(BA4&lt;Inputs!$E$37,0,IF(BA4&lt;Inputs!$E$40,Inputs!$E$39,1)))</f>
        <v>0.5</v>
      </c>
      <c r="BB16" s="145">
        <f>IF(BB4&lt;Inputs!$E$26,0,IF(BB4&lt;Inputs!$E$37,0,IF(BB4&lt;Inputs!$E$40,Inputs!$E$39,1)))</f>
        <v>0.5</v>
      </c>
      <c r="BC16" s="145">
        <f>IF(BC4&lt;Inputs!$E$26,0,IF(BC4&lt;Inputs!$E$37,0,IF(BC4&lt;Inputs!$E$40,Inputs!$E$39,1)))</f>
        <v>0.5</v>
      </c>
      <c r="BD16" s="145">
        <f>IF(BD4&lt;Inputs!$E$26,0,IF(BD4&lt;Inputs!$E$37,0,IF(BD4&lt;Inputs!$E$40,Inputs!$E$39,1)))</f>
        <v>0.5</v>
      </c>
      <c r="BE16" s="145">
        <f>IF(BE4&lt;Inputs!$E$26,0,IF(BE4&lt;Inputs!$E$37,0,IF(BE4&lt;Inputs!$E$40,Inputs!$E$39,1)))</f>
        <v>0.5</v>
      </c>
      <c r="BF16" s="145">
        <f>IF(BF4&lt;Inputs!$E$26,0,IF(BF4&lt;Inputs!$E$37,0,IF(BF4&lt;Inputs!$E$40,Inputs!$E$39,1)))</f>
        <v>0.5</v>
      </c>
      <c r="BG16" s="145">
        <f>IF(BG4&lt;Inputs!$E$26,0,IF(BG4&lt;Inputs!$E$37,0,IF(BG4&lt;Inputs!$E$40,Inputs!$E$39,1)))</f>
        <v>0.5</v>
      </c>
      <c r="BH16" s="145">
        <f>IF(BH4&lt;Inputs!$E$26,0,IF(BH4&lt;Inputs!$E$37,0,IF(BH4&lt;Inputs!$E$40,Inputs!$E$39,1)))</f>
        <v>0.5</v>
      </c>
      <c r="BI16" s="145">
        <f>IF(BI4&lt;Inputs!$E$26,0,IF(BI4&lt;Inputs!$E$37,0,IF(BI4&lt;Inputs!$E$40,Inputs!$E$39,1)))</f>
        <v>0.5</v>
      </c>
      <c r="BJ16" s="145">
        <f>IF(BJ4&lt;Inputs!$E$26,0,IF(BJ4&lt;Inputs!$E$37,0,IF(BJ4&lt;Inputs!$E$40,Inputs!$E$39,1)))</f>
        <v>0.5</v>
      </c>
      <c r="BK16" s="145">
        <f>IF(BK4&lt;Inputs!$E$26,0,IF(BK4&lt;Inputs!$E$37,0,IF(BK4&lt;Inputs!$E$40,Inputs!$E$39,1)))</f>
        <v>0.5</v>
      </c>
      <c r="BL16" s="145">
        <f>IF(BL4&lt;Inputs!$E$26,0,IF(BL4&lt;Inputs!$E$37,0,IF(BL4&lt;Inputs!$E$40,Inputs!$E$39,1)))</f>
        <v>0.5</v>
      </c>
      <c r="BM16" s="145">
        <f>IF(BM4&lt;Inputs!$E$26,0,IF(BM4&lt;Inputs!$E$37,0,IF(BM4&lt;Inputs!$E$40,Inputs!$E$39,1)))</f>
        <v>0.5</v>
      </c>
      <c r="BN16" s="145">
        <f>IF(BN4&lt;Inputs!$E$26,0,IF(BN4&lt;Inputs!$E$37,0,IF(BN4&lt;Inputs!$E$40,Inputs!$E$39,1)))</f>
        <v>0.5</v>
      </c>
      <c r="BO16" s="145">
        <f>IF(BO4&lt;Inputs!$E$26,0,IF(BO4&lt;Inputs!$E$37,0,IF(BO4&lt;Inputs!$E$40,Inputs!$E$39,1)))</f>
        <v>0.5</v>
      </c>
      <c r="BP16" s="145">
        <f>IF(BP4&lt;Inputs!$E$26,0,IF(BP4&lt;Inputs!$E$37,0,IF(BP4&lt;Inputs!$E$40,Inputs!$E$39,1)))</f>
        <v>0.5</v>
      </c>
      <c r="BQ16" s="145">
        <f>IF(BQ4&lt;Inputs!$E$26,0,IF(BQ4&lt;Inputs!$E$37,0,IF(BQ4&lt;Inputs!$E$40,Inputs!$E$39,1)))</f>
        <v>0.5</v>
      </c>
      <c r="BR16" s="145">
        <f>IF(BR4&lt;Inputs!$E$26,0,IF(BR4&lt;Inputs!$E$37,0,IF(BR4&lt;Inputs!$E$40,Inputs!$E$39,1)))</f>
        <v>0.5</v>
      </c>
      <c r="BS16" s="145">
        <f>IF(BS4&lt;Inputs!$E$26,0,IF(BS4&lt;Inputs!$E$37,0,IF(BS4&lt;Inputs!$E$40,Inputs!$E$39,1)))</f>
        <v>0.5</v>
      </c>
      <c r="BT16" s="145">
        <f>IF(BT4&lt;Inputs!$E$26,0,IF(BT4&lt;Inputs!$E$37,0,IF(BT4&lt;Inputs!$E$40,Inputs!$E$39,1)))</f>
        <v>0.5</v>
      </c>
      <c r="BU16" s="145">
        <f>IF(BU4&lt;Inputs!$E$26,0,IF(BU4&lt;Inputs!$E$37,0,IF(BU4&lt;Inputs!$E$40,Inputs!$E$39,1)))</f>
        <v>0.5</v>
      </c>
      <c r="BV16" s="145">
        <f>IF(BV4&lt;Inputs!$E$26,0,IF(BV4&lt;Inputs!$E$37,0,IF(BV4&lt;Inputs!$E$40,Inputs!$E$39,1)))</f>
        <v>0.5</v>
      </c>
      <c r="BW16" s="145">
        <f>IF(BW4&lt;Inputs!$E$26,0,IF(BW4&lt;Inputs!$E$37,0,IF(BW4&lt;Inputs!$E$40,Inputs!$E$39,1)))</f>
        <v>0.5</v>
      </c>
      <c r="BX16" s="145">
        <f>IF(BX4&lt;Inputs!$E$26,0,IF(BX4&lt;Inputs!$E$37,0,IF(BX4&lt;Inputs!$E$40,Inputs!$E$39,1)))</f>
        <v>0.5</v>
      </c>
      <c r="BY16" s="145">
        <f>IF(BY4&lt;Inputs!$E$26,0,IF(BY4&lt;Inputs!$E$37,0,IF(BY4&lt;Inputs!$E$40,Inputs!$E$39,1)))</f>
        <v>0.5</v>
      </c>
      <c r="BZ16" s="145">
        <f>IF(BZ4&lt;Inputs!$E$26,0,IF(BZ4&lt;Inputs!$E$37,0,IF(BZ4&lt;Inputs!$E$40,Inputs!$E$39,1)))</f>
        <v>0.5</v>
      </c>
      <c r="CA16" s="145">
        <f>IF(CA4&lt;Inputs!$E$26,0,IF(CA4&lt;Inputs!$E$37,0,IF(CA4&lt;Inputs!$E$40,Inputs!$E$39,1)))</f>
        <v>0.5</v>
      </c>
      <c r="CB16" s="145">
        <f>IF(CB4&lt;Inputs!$E$26,0,IF(CB4&lt;Inputs!$E$37,0,IF(CB4&lt;Inputs!$E$40,Inputs!$E$39,1)))</f>
        <v>0.5</v>
      </c>
      <c r="CC16" s="145">
        <f>IF(CC4&lt;Inputs!$E$26,0,IF(CC4&lt;Inputs!$E$37,0,IF(CC4&lt;Inputs!$E$40,Inputs!$E$39,1)))</f>
        <v>0.5</v>
      </c>
      <c r="CD16" s="145">
        <f>IF(CD4&lt;Inputs!$E$26,0,IF(CD4&lt;Inputs!$E$37,0,IF(CD4&lt;Inputs!$E$40,Inputs!$E$39,1)))</f>
        <v>0.5</v>
      </c>
      <c r="CE16" s="145">
        <f>IF(CE4&lt;Inputs!$E$26,0,IF(CE4&lt;Inputs!$E$37,0,IF(CE4&lt;Inputs!$E$40,Inputs!$E$39,1)))</f>
        <v>0.5</v>
      </c>
      <c r="CF16" s="145">
        <f>IF(CF4&lt;Inputs!$E$26,0,IF(CF4&lt;Inputs!$E$37,0,IF(CF4&lt;Inputs!$E$40,Inputs!$E$39,1)))</f>
        <v>0.5</v>
      </c>
      <c r="CG16" s="145">
        <f>IF(CG4&lt;Inputs!$E$26,0,IF(CG4&lt;Inputs!$E$37,0,IF(CG4&lt;Inputs!$E$40,Inputs!$E$39,1)))</f>
        <v>0.5</v>
      </c>
      <c r="CH16" s="145">
        <f>IF(CH4&lt;Inputs!$E$26,0,IF(CH4&lt;Inputs!$E$37,0,IF(CH4&lt;Inputs!$E$40,Inputs!$E$39,1)))</f>
        <v>0.5</v>
      </c>
      <c r="CI16" s="145">
        <f>IF(CI4&lt;Inputs!$E$26,0,IF(CI4&lt;Inputs!$E$37,0,IF(CI4&lt;Inputs!$E$40,Inputs!$E$39,1)))</f>
        <v>0.5</v>
      </c>
      <c r="CJ16" s="145">
        <f>IF(CJ4&lt;Inputs!$E$26,0,IF(CJ4&lt;Inputs!$E$37,0,IF(CJ4&lt;Inputs!$E$40,Inputs!$E$39,1)))</f>
        <v>0.5</v>
      </c>
      <c r="CK16" s="145">
        <f>IF(CK4&lt;Inputs!$E$26,0,IF(CK4&lt;Inputs!$E$37,0,IF(CK4&lt;Inputs!$E$40,Inputs!$E$39,1)))</f>
        <v>0.5</v>
      </c>
      <c r="CL16" s="145">
        <f>IF(CL4&lt;Inputs!$E$26,0,IF(CL4&lt;Inputs!$E$37,0,IF(CL4&lt;Inputs!$E$40,Inputs!$E$39,1)))</f>
        <v>0.5</v>
      </c>
      <c r="CM16" s="145">
        <f>IF(CM4&lt;Inputs!$E$26,0,IF(CM4&lt;Inputs!$E$37,0,IF(CM4&lt;Inputs!$E$40,Inputs!$E$39,1)))</f>
        <v>0.5</v>
      </c>
      <c r="CN16" s="145">
        <f>IF(CN4&lt;Inputs!$E$26,0,IF(CN4&lt;Inputs!$E$37,0,IF(CN4&lt;Inputs!$E$40,Inputs!$E$39,1)))</f>
        <v>0.5</v>
      </c>
      <c r="CO16" s="145">
        <f>IF(CO4&lt;Inputs!$E$26,0,IF(CO4&lt;Inputs!$E$37,0,IF(CO4&lt;Inputs!$E$40,Inputs!$E$39,1)))</f>
        <v>1</v>
      </c>
      <c r="CP16" s="145">
        <f>IF(CP4&lt;Inputs!$E$26,0,IF(CP4&lt;Inputs!$E$37,0,IF(CP4&lt;Inputs!$E$40,Inputs!$E$39,1)))</f>
        <v>1</v>
      </c>
      <c r="CQ16" s="145">
        <f>IF(CQ4&lt;Inputs!$E$26,0,IF(CQ4&lt;Inputs!$E$37,0,IF(CQ4&lt;Inputs!$E$40,Inputs!$E$39,1)))</f>
        <v>1</v>
      </c>
      <c r="CR16" s="145">
        <f>IF(CR4&lt;Inputs!$E$26,0,IF(CR4&lt;Inputs!$E$37,0,IF(CR4&lt;Inputs!$E$40,Inputs!$E$39,1)))</f>
        <v>1</v>
      </c>
      <c r="CS16" s="145">
        <f>IF(CS4&lt;Inputs!$E$26,0,IF(CS4&lt;Inputs!$E$37,0,IF(CS4&lt;Inputs!$E$40,Inputs!$E$39,1)))</f>
        <v>1</v>
      </c>
      <c r="CT16" s="145">
        <f>IF(CT4&lt;Inputs!$E$26,0,IF(CT4&lt;Inputs!$E$37,0,IF(CT4&lt;Inputs!$E$40,Inputs!$E$39,1)))</f>
        <v>1</v>
      </c>
      <c r="CU16" s="145">
        <f>IF(CU4&lt;Inputs!$E$26,0,IF(CU4&lt;Inputs!$E$37,0,IF(CU4&lt;Inputs!$E$40,Inputs!$E$39,1)))</f>
        <v>1</v>
      </c>
      <c r="CV16" s="145">
        <f>IF(CV4&lt;Inputs!$E$26,0,IF(CV4&lt;Inputs!$E$37,0,IF(CV4&lt;Inputs!$E$40,Inputs!$E$39,1)))</f>
        <v>1</v>
      </c>
      <c r="CW16" s="145">
        <f>IF(CW4&lt;Inputs!$E$26,0,IF(CW4&lt;Inputs!$E$37,0,IF(CW4&lt;Inputs!$E$40,Inputs!$E$39,1)))</f>
        <v>1</v>
      </c>
      <c r="CX16" s="145">
        <f>IF(CX4&lt;Inputs!$E$26,0,IF(CX4&lt;Inputs!$E$37,0,IF(CX4&lt;Inputs!$E$40,Inputs!$E$39,1)))</f>
        <v>1</v>
      </c>
      <c r="CY16" s="145">
        <f>IF(CY4&lt;Inputs!$E$26,0,IF(CY4&lt;Inputs!$E$37,0,IF(CY4&lt;Inputs!$E$40,Inputs!$E$39,1)))</f>
        <v>1</v>
      </c>
      <c r="CZ16" s="145">
        <f>IF(CZ4&lt;Inputs!$E$26,0,IF(CZ4&lt;Inputs!$E$37,0,IF(CZ4&lt;Inputs!$E$40,Inputs!$E$39,1)))</f>
        <v>1</v>
      </c>
      <c r="DA16" s="145">
        <f>IF(DA4&lt;Inputs!$E$26,0,IF(DA4&lt;Inputs!$E$37,0,IF(DA4&lt;Inputs!$E$40,Inputs!$E$39,1)))</f>
        <v>1</v>
      </c>
      <c r="DB16" s="145">
        <f>IF(DB4&lt;Inputs!$E$26,0,IF(DB4&lt;Inputs!$E$37,0,IF(DB4&lt;Inputs!$E$40,Inputs!$E$39,1)))</f>
        <v>1</v>
      </c>
      <c r="DC16" s="145">
        <f>IF(DC4&lt;Inputs!$E$26,0,IF(DC4&lt;Inputs!$E$37,0,IF(DC4&lt;Inputs!$E$40,Inputs!$E$39,1)))</f>
        <v>1</v>
      </c>
      <c r="DD16" s="145">
        <f>IF(DD4&lt;Inputs!$E$26,0,IF(DD4&lt;Inputs!$E$37,0,IF(DD4&lt;Inputs!$E$40,Inputs!$E$39,1)))</f>
        <v>1</v>
      </c>
      <c r="DE16" s="145">
        <f>IF(DE4&lt;Inputs!$E$26,0,IF(DE4&lt;Inputs!$E$37,0,IF(DE4&lt;Inputs!$E$40,Inputs!$E$39,1)))</f>
        <v>1</v>
      </c>
      <c r="DF16" s="145">
        <f>IF(DF4&lt;Inputs!$E$26,0,IF(DF4&lt;Inputs!$E$37,0,IF(DF4&lt;Inputs!$E$40,Inputs!$E$39,1)))</f>
        <v>1</v>
      </c>
      <c r="DG16" s="145">
        <f>IF(DG4&lt;Inputs!$E$26,0,IF(DG4&lt;Inputs!$E$37,0,IF(DG4&lt;Inputs!$E$40,Inputs!$E$39,1)))</f>
        <v>1</v>
      </c>
      <c r="DH16" s="145">
        <f>IF(DH4&lt;Inputs!$E$26,0,IF(DH4&lt;Inputs!$E$37,0,IF(DH4&lt;Inputs!$E$40,Inputs!$E$39,1)))</f>
        <v>1</v>
      </c>
      <c r="DI16" s="145">
        <f>IF(DI4&lt;Inputs!$E$26,0,IF(DI4&lt;Inputs!$E$37,0,IF(DI4&lt;Inputs!$E$40,Inputs!$E$39,1)))</f>
        <v>1</v>
      </c>
      <c r="DJ16" s="145">
        <f>IF(DJ4&lt;Inputs!$E$26,0,IF(DJ4&lt;Inputs!$E$37,0,IF(DJ4&lt;Inputs!$E$40,Inputs!$E$39,1)))</f>
        <v>1</v>
      </c>
      <c r="DK16" s="145">
        <f>IF(DK4&lt;Inputs!$E$26,0,IF(DK4&lt;Inputs!$E$37,0,IF(DK4&lt;Inputs!$E$40,Inputs!$E$39,1)))</f>
        <v>1</v>
      </c>
      <c r="DL16" s="145">
        <f>IF(DL4&lt;Inputs!$E$26,0,IF(DL4&lt;Inputs!$E$37,0,IF(DL4&lt;Inputs!$E$40,Inputs!$E$39,1)))</f>
        <v>1</v>
      </c>
      <c r="DM16" s="145">
        <f>IF(DM4&lt;Inputs!$E$26,0,IF(DM4&lt;Inputs!$E$37,0,IF(DM4&lt;Inputs!$E$40,Inputs!$E$39,1)))</f>
        <v>1</v>
      </c>
      <c r="DN16" s="145">
        <f>IF(DN4&lt;Inputs!$E$26,0,IF(DN4&lt;Inputs!$E$37,0,IF(DN4&lt;Inputs!$E$40,Inputs!$E$39,1)))</f>
        <v>1</v>
      </c>
      <c r="DO16" s="145">
        <f>IF(DO4&lt;Inputs!$E$26,0,IF(DO4&lt;Inputs!$E$37,0,IF(DO4&lt;Inputs!$E$40,Inputs!$E$39,1)))</f>
        <v>1</v>
      </c>
      <c r="DP16" s="145">
        <f>IF(DP4&lt;Inputs!$E$26,0,IF(DP4&lt;Inputs!$E$37,0,IF(DP4&lt;Inputs!$E$40,Inputs!$E$39,1)))</f>
        <v>1</v>
      </c>
      <c r="DQ16" s="145">
        <f>IF(DQ4&lt;Inputs!$E$26,0,IF(DQ4&lt;Inputs!$E$37,0,IF(DQ4&lt;Inputs!$E$40,Inputs!$E$39,1)))</f>
        <v>1</v>
      </c>
      <c r="DR16" s="145">
        <f>IF(DR4&lt;Inputs!$E$26,0,IF(DR4&lt;Inputs!$E$37,0,IF(DR4&lt;Inputs!$E$40,Inputs!$E$39,1)))</f>
        <v>1</v>
      </c>
      <c r="DS16" s="145">
        <f>IF(DS4&lt;Inputs!$E$26,0,IF(DS4&lt;Inputs!$E$37,0,IF(DS4&lt;Inputs!$E$40,Inputs!$E$39,1)))</f>
        <v>1</v>
      </c>
      <c r="DT16" s="145">
        <f>IF(DT4&lt;Inputs!$E$26,0,IF(DT4&lt;Inputs!$E$37,0,IF(DT4&lt;Inputs!$E$40,Inputs!$E$39,1)))</f>
        <v>1</v>
      </c>
      <c r="DU16" s="145">
        <f>IF(DU4&lt;Inputs!$E$26,0,IF(DU4&lt;Inputs!$E$37,0,IF(DU4&lt;Inputs!$E$40,Inputs!$E$39,1)))</f>
        <v>1</v>
      </c>
      <c r="DV16" s="145">
        <f>IF(DV4&lt;Inputs!$E$26,0,IF(DV4&lt;Inputs!$E$37,0,IF(DV4&lt;Inputs!$E$40,Inputs!$E$39,1)))</f>
        <v>1</v>
      </c>
      <c r="DW16" s="145">
        <f>IF(DW4&lt;Inputs!$E$26,0,IF(DW4&lt;Inputs!$E$37,0,IF(DW4&lt;Inputs!$E$40,Inputs!$E$39,1)))</f>
        <v>1</v>
      </c>
      <c r="DX16" s="145">
        <f>IF(DX4&lt;Inputs!$E$26,0,IF(DX4&lt;Inputs!$E$37,0,IF(DX4&lt;Inputs!$E$40,Inputs!$E$39,1)))</f>
        <v>1</v>
      </c>
      <c r="DY16" s="145">
        <f>IF(DY4&lt;Inputs!$E$26,0,IF(DY4&lt;Inputs!$E$37,0,IF(DY4&lt;Inputs!$E$40,Inputs!$E$39,1)))</f>
        <v>1</v>
      </c>
      <c r="DZ16" s="145">
        <f>IF(DZ4&lt;Inputs!$E$26,0,IF(DZ4&lt;Inputs!$E$37,0,IF(DZ4&lt;Inputs!$E$40,Inputs!$E$39,1)))</f>
        <v>1</v>
      </c>
      <c r="EA16" s="145">
        <f>IF(EA4&lt;Inputs!$E$26,0,IF(EA4&lt;Inputs!$E$37,0,IF(EA4&lt;Inputs!$E$40,Inputs!$E$39,1)))</f>
        <v>1</v>
      </c>
      <c r="EB16" s="145">
        <f>IF(EB4&lt;Inputs!$E$26,0,IF(EB4&lt;Inputs!$E$37,0,IF(EB4&lt;Inputs!$E$40,Inputs!$E$39,1)))</f>
        <v>1</v>
      </c>
      <c r="EC16" s="145">
        <f>IF(EC4&lt;Inputs!$E$26,0,IF(EC4&lt;Inputs!$E$37,0,IF(EC4&lt;Inputs!$E$40,Inputs!$E$39,1)))</f>
        <v>1</v>
      </c>
      <c r="ED16" s="145">
        <f>IF(ED4&lt;Inputs!$E$26,0,IF(ED4&lt;Inputs!$E$37,0,IF(ED4&lt;Inputs!$E$40,Inputs!$E$39,1)))</f>
        <v>1</v>
      </c>
      <c r="EE16" s="145">
        <f>IF(EE4&lt;Inputs!$E$26,0,IF(EE4&lt;Inputs!$E$37,0,IF(EE4&lt;Inputs!$E$40,Inputs!$E$39,1)))</f>
        <v>1</v>
      </c>
      <c r="EF16" s="145">
        <f>IF(EF4&lt;Inputs!$E$26,0,IF(EF4&lt;Inputs!$E$37,0,IF(EF4&lt;Inputs!$E$40,Inputs!$E$39,1)))</f>
        <v>1</v>
      </c>
      <c r="EG16" s="145">
        <f>IF(EG4&lt;Inputs!$E$26,0,IF(EG4&lt;Inputs!$E$37,0,IF(EG4&lt;Inputs!$E$40,Inputs!$E$39,1)))</f>
        <v>1</v>
      </c>
      <c r="EH16" s="145">
        <f>IF(EH4&lt;Inputs!$E$26,0,IF(EH4&lt;Inputs!$E$37,0,IF(EH4&lt;Inputs!$E$40,Inputs!$E$39,1)))</f>
        <v>1</v>
      </c>
      <c r="EI16" s="145">
        <f>IF(EI4&lt;Inputs!$E$26,0,IF(EI4&lt;Inputs!$E$37,0,IF(EI4&lt;Inputs!$E$40,Inputs!$E$39,1)))</f>
        <v>1</v>
      </c>
      <c r="EJ16" s="145">
        <f>IF(EJ4&lt;Inputs!$E$26,0,IF(EJ4&lt;Inputs!$E$37,0,IF(EJ4&lt;Inputs!$E$40,Inputs!$E$39,1)))</f>
        <v>1</v>
      </c>
      <c r="EK16" s="145">
        <f>IF(EK4&lt;Inputs!$E$26,0,IF(EK4&lt;Inputs!$E$37,0,IF(EK4&lt;Inputs!$E$40,Inputs!$E$39,1)))</f>
        <v>1</v>
      </c>
      <c r="EL16" s="145">
        <f>IF(EL4&lt;Inputs!$E$26,0,IF(EL4&lt;Inputs!$E$37,0,IF(EL4&lt;Inputs!$E$40,Inputs!$E$39,1)))</f>
        <v>1</v>
      </c>
      <c r="EM16" s="145">
        <f>IF(EM4&lt;Inputs!$E$26,0,IF(EM4&lt;Inputs!$E$37,0,IF(EM4&lt;Inputs!$E$40,Inputs!$E$39,1)))</f>
        <v>1</v>
      </c>
      <c r="EN16" s="145">
        <f>IF(EN4&lt;Inputs!$E$26,0,IF(EN4&lt;Inputs!$E$37,0,IF(EN4&lt;Inputs!$E$40,Inputs!$E$39,1)))</f>
        <v>1</v>
      </c>
    </row>
    <row r="17" spans="1:144" x14ac:dyDescent="0.35">
      <c r="A17" s="72" t="s">
        <v>1658</v>
      </c>
      <c r="B17" s="331"/>
      <c r="C17" s="489">
        <f>IFERROR(IF(C4&lt;Inputs!$E$37,0,IF(C4&gt;=EDATE(Inputs!$E$26,Inputs!$E$27*12),0,(Inputs!$E$33*(1+Inputs!$E$35)^INT(DATEDIF(Inputs!$E$37,C4,"m")/12))/12)),0)*C16</f>
        <v>0</v>
      </c>
      <c r="D17" s="489">
        <f>IFERROR(IF(D4&lt;Inputs!$E$37,0,IF(D4&gt;=EDATE(Inputs!$E$26,Inputs!$E$27*12),0,(Inputs!$E$33*(1+Inputs!$E$35)^INT(DATEDIF(Inputs!$E$37,D4,"m")/12))/12)),0)*D16</f>
        <v>0</v>
      </c>
      <c r="E17" s="489">
        <f>IFERROR(IF(E4&lt;Inputs!$E$37,0,IF(E4&gt;=EDATE(Inputs!$E$26,Inputs!$E$27*12),0,(Inputs!$E$33*(1+Inputs!$E$35)^INT(DATEDIF(Inputs!$E$37,E4,"m")/12))/12)),0)*E16</f>
        <v>0</v>
      </c>
      <c r="F17" s="489">
        <f>IFERROR(IF(F4&lt;Inputs!$E$37,0,IF(F4&gt;=EDATE(Inputs!$E$26,Inputs!$E$27*12),0,(Inputs!$E$33*(1+Inputs!$E$35)^INT(DATEDIF(Inputs!$E$37,F4,"m")/12))/12)),0)*F16</f>
        <v>0</v>
      </c>
      <c r="G17" s="489">
        <f>IFERROR(IF(G4&lt;Inputs!$E$37,0,IF(G4&gt;=EDATE(Inputs!$E$26,Inputs!$E$27*12),0,(Inputs!$E$33*(1+Inputs!$E$35)^INT(DATEDIF(Inputs!$E$37,G4,"m")/12))/12)),0)*G16</f>
        <v>0</v>
      </c>
      <c r="H17" s="489">
        <f>IFERROR(IF(H4&lt;Inputs!$E$37,0,IF(H4&gt;=EDATE(Inputs!$E$26,Inputs!$E$27*12),0,(Inputs!$E$33*(1+Inputs!$E$35)^INT(DATEDIF(Inputs!$E$37,H4,"m")/12))/12)),0)*H16</f>
        <v>0</v>
      </c>
      <c r="I17" s="489">
        <f>IFERROR(IF(I4&lt;Inputs!$E$37,0,IF(I4&gt;=EDATE(Inputs!$E$26,Inputs!$E$27*12),0,(Inputs!$E$33*(1+Inputs!$E$35)^INT(DATEDIF(Inputs!$E$37,I4,"m")/12))/12)),0)*I16</f>
        <v>0</v>
      </c>
      <c r="J17" s="489">
        <f>IFERROR(IF(J4&lt;Inputs!$E$37,0,IF(J4&gt;=EDATE(Inputs!$E$26,Inputs!$E$27*12),0,(Inputs!$E$33*(1+Inputs!$E$35)^INT(DATEDIF(Inputs!$E$37,J4,"m")/12))/12)),0)*J16</f>
        <v>0</v>
      </c>
      <c r="K17" s="489">
        <f>IFERROR(IF(K4&lt;Inputs!$E$37,0,IF(K4&gt;=EDATE(Inputs!$E$26,Inputs!$E$27*12),0,(Inputs!$E$33*(1+Inputs!$E$35)^INT(DATEDIF(Inputs!$E$37,K4,"m")/12))/12)),0)*K16</f>
        <v>0</v>
      </c>
      <c r="L17" s="489">
        <f>IFERROR(IF(L4&lt;Inputs!$E$37,0,IF(L4&gt;=EDATE(Inputs!$E$26,Inputs!$E$27*12),0,(Inputs!$E$33*(1+Inputs!$E$35)^INT(DATEDIF(Inputs!$E$37,L4,"m")/12))/12)),0)*L16</f>
        <v>0</v>
      </c>
      <c r="M17" s="489">
        <f>IFERROR(IF(M4&lt;Inputs!$E$37,0,IF(M4&gt;=EDATE(Inputs!$E$26,Inputs!$E$27*12),0,(Inputs!$E$33*(1+Inputs!$E$35)^INT(DATEDIF(Inputs!$E$37,M4,"m")/12))/12)),0)*M16</f>
        <v>0</v>
      </c>
      <c r="N17" s="489">
        <f>IFERROR(IF(N4&lt;Inputs!$E$37,0,IF(N4&gt;=EDATE(Inputs!$E$26,Inputs!$E$27*12),0,(Inputs!$E$33*(1+Inputs!$E$35)^INT(DATEDIF(Inputs!$E$37,N4,"m")/12))/12)),0)*N16</f>
        <v>0</v>
      </c>
      <c r="O17" s="489">
        <f>IFERROR(IF(O4&lt;Inputs!$E$37,0,IF(O4&gt;=EDATE(Inputs!$E$26,Inputs!$E$27*12),0,(Inputs!$E$33*(1+Inputs!$E$35)^INT(DATEDIF(Inputs!$E$37,O4,"m")/12))/12)),0)*O16</f>
        <v>0</v>
      </c>
      <c r="P17" s="489">
        <f>IFERROR(IF(P4&lt;Inputs!$E$37,0,IF(P4&gt;=EDATE(Inputs!$E$26,Inputs!$E$27*12),0,(Inputs!$E$33*(1+Inputs!$E$35)^INT(DATEDIF(Inputs!$E$37,P4,"m")/12))/12)),0)*P16</f>
        <v>0</v>
      </c>
      <c r="Q17" s="489">
        <f>IFERROR(IF(Q4&lt;Inputs!$E$37,0,IF(Q4&gt;=EDATE(Inputs!$E$26,Inputs!$E$27*12),0,(Inputs!$E$33*(1+Inputs!$E$35)^INT(DATEDIF(Inputs!$E$37,Q4,"m")/12))/12)),0)*Q16</f>
        <v>0</v>
      </c>
      <c r="R17" s="489">
        <f>IFERROR(IF(R4&lt;Inputs!$E$37,0,IF(R4&gt;=EDATE(Inputs!$E$26,Inputs!$E$27*12),0,(Inputs!$E$33*(1+Inputs!$E$35)^INT(DATEDIF(Inputs!$E$37,R4,"m")/12))/12)),0)*R16</f>
        <v>0</v>
      </c>
      <c r="S17" s="489">
        <f>IFERROR(IF(S4&lt;Inputs!$E$37,0,IF(S4&gt;=EDATE(Inputs!$E$26,Inputs!$E$27*12),0,(Inputs!$E$33*(1+Inputs!$E$35)^INT(DATEDIF(Inputs!$E$37,S4,"m")/12))/12)),0)*S16</f>
        <v>0</v>
      </c>
      <c r="T17" s="489">
        <f>IFERROR(IF(T4&lt;Inputs!$E$37,0,IF(T4&gt;=EDATE(Inputs!$E$26,Inputs!$E$27*12),0,(Inputs!$E$33*(1+Inputs!$E$35)^INT(DATEDIF(Inputs!$E$37,T4,"m")/12))/12)),0)*T16</f>
        <v>0</v>
      </c>
      <c r="U17" s="489">
        <f>IFERROR(IF(U4&lt;Inputs!$E$37,0,IF(U4&gt;=EDATE(Inputs!$E$26,Inputs!$E$27*12),0,(Inputs!$E$33*(1+Inputs!$E$35)^INT(DATEDIF(Inputs!$E$37,U4,"m")/12))/12)),0)*U16</f>
        <v>0</v>
      </c>
      <c r="V17" s="489">
        <f>IFERROR(IF(V4&lt;Inputs!$E$37,0,IF(V4&gt;=EDATE(Inputs!$E$26,Inputs!$E$27*12),0,(Inputs!$E$33*(1+Inputs!$E$35)^INT(DATEDIF(Inputs!$E$37,V4,"m")/12))/12)),0)*V16</f>
        <v>0</v>
      </c>
      <c r="W17" s="489">
        <f>IFERROR(IF(W4&lt;Inputs!$E$37,0,IF(W4&gt;=EDATE(Inputs!$E$26,Inputs!$E$27*12),0,(Inputs!$E$33*(1+Inputs!$E$35)^INT(DATEDIF(Inputs!$E$37,W4,"m")/12))/12)),0)*W16</f>
        <v>0</v>
      </c>
      <c r="X17" s="489">
        <f>IFERROR(IF(X4&lt;Inputs!$E$37,0,IF(X4&gt;=EDATE(Inputs!$E$26,Inputs!$E$27*12),0,(Inputs!$E$33*(1+Inputs!$E$35)^INT(DATEDIF(Inputs!$E$37,X4,"m")/12))/12)),0)*X16</f>
        <v>0</v>
      </c>
      <c r="Y17" s="489">
        <f>IFERROR(IF(Y4&lt;Inputs!$E$37,0,IF(Y4&gt;=EDATE(Inputs!$E$26,Inputs!$E$27*12),0,(Inputs!$E$33*(1+Inputs!$E$35)^INT(DATEDIF(Inputs!$E$37,Y4,"m")/12))/12)),0)*Y16</f>
        <v>0</v>
      </c>
      <c r="Z17" s="489">
        <f>IFERROR(IF(Z4&lt;Inputs!$E$37,0,IF(Z4&gt;=EDATE(Inputs!$E$26,Inputs!$E$27*12),0,(Inputs!$E$33*(1+Inputs!$E$35)^INT(DATEDIF(Inputs!$E$37,Z4,"m")/12))/12)),0)*Z16</f>
        <v>0</v>
      </c>
      <c r="AA17" s="489">
        <f>IFERROR(IF(AA4&lt;Inputs!$E$37,0,IF(AA4&gt;=EDATE(Inputs!$E$26,Inputs!$E$27*12),0,(Inputs!$E$33*(1+Inputs!$E$35)^INT(DATEDIF(Inputs!$E$37,AA4,"m")/12))/12)),0)*AA16</f>
        <v>0</v>
      </c>
      <c r="AB17" s="489">
        <f>IFERROR(IF(AB4&lt;Inputs!$E$37,0,IF(AB4&gt;=EDATE(Inputs!$E$26,Inputs!$E$27*12),0,(Inputs!$E$33*(1+Inputs!$E$35)^INT(DATEDIF(Inputs!$E$37,AB4,"m")/12))/12)),0)*AB16</f>
        <v>0</v>
      </c>
      <c r="AC17" s="489">
        <f>IFERROR(IF(AC4&lt;Inputs!$E$37,0,IF(AC4&gt;=EDATE(Inputs!$E$26,Inputs!$E$27*12),0,(Inputs!$E$33*(1+Inputs!$E$35)^INT(DATEDIF(Inputs!$E$37,AC4,"m")/12))/12)),0)*AC16</f>
        <v>0</v>
      </c>
      <c r="AD17" s="489">
        <f>IFERROR(IF(AD4&lt;Inputs!$E$37,0,IF(AD4&gt;=EDATE(Inputs!$E$26,Inputs!$E$27*12),0,(Inputs!$E$33*(1+Inputs!$E$35)^INT(DATEDIF(Inputs!$E$37,AD4,"m")/12))/12)),0)*AD16</f>
        <v>0</v>
      </c>
      <c r="AE17" s="489">
        <f>IFERROR(IF(AE4&lt;Inputs!$E$37,0,IF(AE4&gt;=EDATE(Inputs!$E$26,Inputs!$E$27*12),0,(Inputs!$E$33*(1+Inputs!$E$35)^INT(DATEDIF(Inputs!$E$37,AE4,"m")/12))/12)),0)*AE16</f>
        <v>0</v>
      </c>
      <c r="AF17" s="489">
        <f>IFERROR(IF(AF4&lt;Inputs!$E$37,0,IF(AF4&gt;=EDATE(Inputs!$E$26,Inputs!$E$27*12),0,(Inputs!$E$33*(1+Inputs!$E$35)^INT(DATEDIF(Inputs!$E$37,AF4,"m")/12))/12)),0)*AF16</f>
        <v>0</v>
      </c>
      <c r="AG17" s="489">
        <f>IFERROR(IF(AG4&lt;Inputs!$E$37,0,IF(AG4&gt;=EDATE(Inputs!$E$26,Inputs!$E$27*12),0,(Inputs!$E$33*(1+Inputs!$E$35)^INT(DATEDIF(Inputs!$E$37,AG4,"m")/12))/12)),0)*AG16</f>
        <v>0</v>
      </c>
      <c r="AH17" s="489">
        <f>IFERROR(IF(AH4&lt;Inputs!$E$37,0,IF(AH4&gt;=EDATE(Inputs!$E$26,Inputs!$E$27*12),0,(Inputs!$E$33*(1+Inputs!$E$35)^INT(DATEDIF(Inputs!$E$37,AH4,"m")/12))/12)),0)*AH16</f>
        <v>0</v>
      </c>
      <c r="AI17" s="489">
        <f>IFERROR(IF(AI4&lt;Inputs!$E$37,0,IF(AI4&gt;=EDATE(Inputs!$E$26,Inputs!$E$27*12),0,(Inputs!$E$33*(1+Inputs!$E$35)^INT(DATEDIF(Inputs!$E$37,AI4,"m")/12))/12)),0)*AI16</f>
        <v>0</v>
      </c>
      <c r="AJ17" s="489">
        <f>IFERROR(IF(AJ4&lt;Inputs!$E$37,0,IF(AJ4&gt;=EDATE(Inputs!$E$26,Inputs!$E$27*12),0,(Inputs!$E$33*(1+Inputs!$E$35)^INT(DATEDIF(Inputs!$E$37,AJ4,"m")/12))/12)),0)*AJ16</f>
        <v>0</v>
      </c>
      <c r="AK17" s="489">
        <f>IFERROR(IF(AK4&lt;Inputs!$E$37,0,IF(AK4&gt;=EDATE(Inputs!$E$26,Inputs!$E$27*12),0,(Inputs!$E$33*(1+Inputs!$E$35)^INT(DATEDIF(Inputs!$E$37,AK4,"m")/12))/12)),0)*AK16</f>
        <v>0</v>
      </c>
      <c r="AL17" s="489">
        <f>IFERROR(IF(AL4&lt;Inputs!$E$37,0,IF(AL4&gt;=EDATE(Inputs!$E$26,Inputs!$E$27*12),0,(Inputs!$E$33*(1+Inputs!$E$35)^INT(DATEDIF(Inputs!$E$37,AL4,"m")/12))/12)),0)*AL16</f>
        <v>0</v>
      </c>
      <c r="AM17" s="489">
        <f>IFERROR(IF(AM4&lt;Inputs!$E$37,0,IF(AM4&gt;=EDATE(Inputs!$E$26,Inputs!$E$27*12),0,(Inputs!$E$33*(1+Inputs!$E$35)^INT(DATEDIF(Inputs!$E$37,AM4,"m")/12))/12)),0)*AM16</f>
        <v>0</v>
      </c>
      <c r="AN17" s="489">
        <f>IFERROR(IF(AN4&lt;Inputs!$E$37,0,IF(AN4&gt;=EDATE(Inputs!$E$26,Inputs!$E$27*12),0,(Inputs!$E$33*(1+Inputs!$E$35)^INT(DATEDIF(Inputs!$E$37,AN4,"m")/12))/12)),0)*AN16</f>
        <v>0</v>
      </c>
      <c r="AO17" s="489">
        <f>IFERROR(IF(AO4&lt;Inputs!$E$37,0,IF(AO4&gt;=EDATE(Inputs!$E$26,Inputs!$E$27*12),0,(Inputs!$E$33*(1+Inputs!$E$35)^INT(DATEDIF(Inputs!$E$37,AO4,"m")/12))/12)),0)*AO16</f>
        <v>0</v>
      </c>
      <c r="AP17" s="489">
        <f>IFERROR(IF(AP4&lt;Inputs!$E$37,0,IF(AP4&gt;=EDATE(Inputs!$E$26,Inputs!$E$27*12),0,(Inputs!$E$33*(1+Inputs!$E$35)^INT(DATEDIF(Inputs!$E$37,AP4,"m")/12))/12)),0)*AP16</f>
        <v>0</v>
      </c>
      <c r="AQ17" s="489">
        <f>IFERROR(IF(AQ4&lt;Inputs!$E$37,0,IF(AQ4&gt;=EDATE(Inputs!$E$26,Inputs!$E$27*12),0,(Inputs!$E$33*(1+Inputs!$E$35)^INT(DATEDIF(Inputs!$E$37,AQ4,"m")/12))/12)),0)*AQ16</f>
        <v>0</v>
      </c>
      <c r="AR17" s="697">
        <f>IFERROR(IF(AR4&lt;Inputs!$E$37,0,IF(AR4&gt;=EDATE(Inputs!$E$26,Inputs!$E$27*12),0,(Inputs!$E$33*(1+Inputs!$E$35)^INT(DATEDIF(Inputs!$E$37,AR4,"m")/12))/12)),0)*AR16</f>
        <v>0</v>
      </c>
      <c r="AS17" s="697">
        <f>IFERROR(IF(AS4&lt;Inputs!$E$37,0,IF(AS4&gt;=EDATE(Inputs!$E$26,Inputs!$E$27*12),0,(Inputs!$E$33*(1+Inputs!$E$35)^INT(DATEDIF(Inputs!$E$37,AS4,"m")/12))/12)),0)*AS16</f>
        <v>32500</v>
      </c>
      <c r="AT17" s="697">
        <f>IFERROR(IF(AT4&lt;Inputs!$E$37,0,IF(AT4&gt;=EDATE(Inputs!$E$26,Inputs!$E$27*12),0,(Inputs!$E$33*(1+Inputs!$E$35)^INT(DATEDIF(Inputs!$E$37,AT4,"m")/12))/12)),0)*AT16</f>
        <v>32500</v>
      </c>
      <c r="AU17" s="697">
        <f>IFERROR(IF(AU4&lt;Inputs!$E$37,0,IF(AU4&gt;=EDATE(Inputs!$E$26,Inputs!$E$27*12),0,(Inputs!$E$33*(1+Inputs!$E$35)^INT(DATEDIF(Inputs!$E$37,AU4,"m")/12))/12)),0)*AU16</f>
        <v>32500</v>
      </c>
      <c r="AV17" s="697">
        <f>IFERROR(IF(AV4&lt;Inputs!$E$37,0,IF(AV4&gt;=EDATE(Inputs!$E$26,Inputs!$E$27*12),0,(Inputs!$E$33*(1+Inputs!$E$35)^INT(DATEDIF(Inputs!$E$37,AV4,"m")/12))/12)),0)*AV16</f>
        <v>32500</v>
      </c>
      <c r="AW17" s="697">
        <f>IFERROR(IF(AW4&lt;Inputs!$E$37,0,IF(AW4&gt;=EDATE(Inputs!$E$26,Inputs!$E$27*12),0,(Inputs!$E$33*(1+Inputs!$E$35)^INT(DATEDIF(Inputs!$E$37,AW4,"m")/12))/12)),0)*AW16</f>
        <v>32500</v>
      </c>
      <c r="AX17" s="697">
        <f>IFERROR(IF(AX4&lt;Inputs!$E$37,0,IF(AX4&gt;=EDATE(Inputs!$E$26,Inputs!$E$27*12),0,(Inputs!$E$33*(1+Inputs!$E$35)^INT(DATEDIF(Inputs!$E$37,AX4,"m")/12))/12)),0)*AX16</f>
        <v>32500</v>
      </c>
      <c r="AY17" s="697">
        <f>IFERROR(IF(AY4&lt;Inputs!$E$37,0,IF(AY4&gt;=EDATE(Inputs!$E$26,Inputs!$E$27*12),0,(Inputs!$E$33*(1+Inputs!$E$35)^INT(DATEDIF(Inputs!$E$37,AY4,"m")/12))/12)),0)*AY16</f>
        <v>32500</v>
      </c>
      <c r="AZ17" s="697">
        <f>IFERROR(IF(AZ4&lt;Inputs!$E$37,0,IF(AZ4&gt;=EDATE(Inputs!$E$26,Inputs!$E$27*12),0,(Inputs!$E$33*(1+Inputs!$E$35)^INT(DATEDIF(Inputs!$E$37,AZ4,"m")/12))/12)),0)*AZ16</f>
        <v>32500</v>
      </c>
      <c r="BA17" s="697">
        <f>IFERROR(IF(BA4&lt;Inputs!$E$37,0,IF(BA4&gt;=EDATE(Inputs!$E$26,Inputs!$E$27*12),0,(Inputs!$E$33*(1+Inputs!$E$35)^INT(DATEDIF(Inputs!$E$37,BA4,"m")/12))/12)),0)*BA16</f>
        <v>32500</v>
      </c>
      <c r="BB17" s="697">
        <f>IFERROR(IF(BB4&lt;Inputs!$E$37,0,IF(BB4&gt;=EDATE(Inputs!$E$26,Inputs!$E$27*12),0,(Inputs!$E$33*(1+Inputs!$E$35)^INT(DATEDIF(Inputs!$E$37,BB4,"m")/12))/12)),0)*BB16</f>
        <v>32500</v>
      </c>
      <c r="BC17" s="697">
        <f>IFERROR(IF(BC4&lt;Inputs!$E$37,0,IF(BC4&gt;=EDATE(Inputs!$E$26,Inputs!$E$27*12),0,(Inputs!$E$33*(1+Inputs!$E$35)^INT(DATEDIF(Inputs!$E$37,BC4,"m")/12))/12)),0)*BC16</f>
        <v>32500</v>
      </c>
      <c r="BD17" s="489">
        <f>IFERROR(IF(BD4&lt;Inputs!$E$37,0,IF(BD4&gt;=EDATE(Inputs!$E$26,Inputs!$E$27*12),0,(Inputs!$E$33*(1+Inputs!$E$35)^INT(DATEDIF(Inputs!$E$37,BD4,"m")/12))/12)),0)*BD16</f>
        <v>32500</v>
      </c>
      <c r="BE17" s="489">
        <f>IFERROR(IF(BE4&lt;Inputs!$E$37,0,IF(BE4&gt;=EDATE(Inputs!$E$26,Inputs!$E$27*12),0,(Inputs!$E$33*(1+Inputs!$E$35)^INT(DATEDIF(Inputs!$E$37,BE4,"m")/12))/12)),0)*BE16</f>
        <v>33637.499999999993</v>
      </c>
      <c r="BF17" s="489">
        <f>IFERROR(IF(BF4&lt;Inputs!$E$37,0,IF(BF4&gt;=EDATE(Inputs!$E$26,Inputs!$E$27*12),0,(Inputs!$E$33*(1+Inputs!$E$35)^INT(DATEDIF(Inputs!$E$37,BF4,"m")/12))/12)),0)*BF16</f>
        <v>33637.499999999993</v>
      </c>
      <c r="BG17" s="489">
        <f>IFERROR(IF(BG4&lt;Inputs!$E$37,0,IF(BG4&gt;=EDATE(Inputs!$E$26,Inputs!$E$27*12),0,(Inputs!$E$33*(1+Inputs!$E$35)^INT(DATEDIF(Inputs!$E$37,BG4,"m")/12))/12)),0)*BG16</f>
        <v>33637.499999999993</v>
      </c>
      <c r="BH17" s="489">
        <f>IFERROR(IF(BH4&lt;Inputs!$E$37,0,IF(BH4&gt;=EDATE(Inputs!$E$26,Inputs!$E$27*12),0,(Inputs!$E$33*(1+Inputs!$E$35)^INT(DATEDIF(Inputs!$E$37,BH4,"m")/12))/12)),0)*BH16</f>
        <v>33637.499999999993</v>
      </c>
      <c r="BI17" s="489">
        <f>IFERROR(IF(BI4&lt;Inputs!$E$37,0,IF(BI4&gt;=EDATE(Inputs!$E$26,Inputs!$E$27*12),0,(Inputs!$E$33*(1+Inputs!$E$35)^INT(DATEDIF(Inputs!$E$37,BI4,"m")/12))/12)),0)*BI16</f>
        <v>33637.499999999993</v>
      </c>
      <c r="BJ17" s="489">
        <f>IFERROR(IF(BJ4&lt;Inputs!$E$37,0,IF(BJ4&gt;=EDATE(Inputs!$E$26,Inputs!$E$27*12),0,(Inputs!$E$33*(1+Inputs!$E$35)^INT(DATEDIF(Inputs!$E$37,BJ4,"m")/12))/12)),0)*BJ16</f>
        <v>33637.499999999993</v>
      </c>
      <c r="BK17" s="489">
        <f>IFERROR(IF(BK4&lt;Inputs!$E$37,0,IF(BK4&gt;=EDATE(Inputs!$E$26,Inputs!$E$27*12),0,(Inputs!$E$33*(1+Inputs!$E$35)^INT(DATEDIF(Inputs!$E$37,BK4,"m")/12))/12)),0)*BK16</f>
        <v>33637.499999999993</v>
      </c>
      <c r="BL17" s="489">
        <f>IFERROR(IF(BL4&lt;Inputs!$E$37,0,IF(BL4&gt;=EDATE(Inputs!$E$26,Inputs!$E$27*12),0,(Inputs!$E$33*(1+Inputs!$E$35)^INT(DATEDIF(Inputs!$E$37,BL4,"m")/12))/12)),0)*BL16</f>
        <v>33637.499999999993</v>
      </c>
      <c r="BM17" s="489">
        <f>IFERROR(IF(BM4&lt;Inputs!$E$37,0,IF(BM4&gt;=EDATE(Inputs!$E$26,Inputs!$E$27*12),0,(Inputs!$E$33*(1+Inputs!$E$35)^INT(DATEDIF(Inputs!$E$37,BM4,"m")/12))/12)),0)*BM16</f>
        <v>33637.499999999993</v>
      </c>
      <c r="BN17" s="489">
        <f>IFERROR(IF(BN4&lt;Inputs!$E$37,0,IF(BN4&gt;=EDATE(Inputs!$E$26,Inputs!$E$27*12),0,(Inputs!$E$33*(1+Inputs!$E$35)^INT(DATEDIF(Inputs!$E$37,BN4,"m")/12))/12)),0)*BN16</f>
        <v>33637.499999999993</v>
      </c>
      <c r="BO17" s="489">
        <f>IFERROR(IF(BO4&lt;Inputs!$E$37,0,IF(BO4&gt;=EDATE(Inputs!$E$26,Inputs!$E$27*12),0,(Inputs!$E$33*(1+Inputs!$E$35)^INT(DATEDIF(Inputs!$E$37,BO4,"m")/12))/12)),0)*BO16</f>
        <v>33637.499999999993</v>
      </c>
      <c r="BP17" s="489">
        <f>IFERROR(IF(BP4&lt;Inputs!$E$37,0,IF(BP4&gt;=EDATE(Inputs!$E$26,Inputs!$E$27*12),0,(Inputs!$E$33*(1+Inputs!$E$35)^INT(DATEDIF(Inputs!$E$37,BP4,"m")/12))/12)),0)*BP16</f>
        <v>33637.499999999993</v>
      </c>
      <c r="BQ17" s="489">
        <f>IFERROR(IF(BQ4&lt;Inputs!$E$37,0,IF(BQ4&gt;=EDATE(Inputs!$E$26,Inputs!$E$27*12),0,(Inputs!$E$33*(1+Inputs!$E$35)^INT(DATEDIF(Inputs!$E$37,BQ4,"m")/12))/12)),0)*BQ16</f>
        <v>34814.812499999993</v>
      </c>
      <c r="BR17" s="489">
        <f>IFERROR(IF(BR4&lt;Inputs!$E$37,0,IF(BR4&gt;=EDATE(Inputs!$E$26,Inputs!$E$27*12),0,(Inputs!$E$33*(1+Inputs!$E$35)^INT(DATEDIF(Inputs!$E$37,BR4,"m")/12))/12)),0)*BR16</f>
        <v>34814.812499999993</v>
      </c>
      <c r="BS17" s="489">
        <f>IFERROR(IF(BS4&lt;Inputs!$E$37,0,IF(BS4&gt;=EDATE(Inputs!$E$26,Inputs!$E$27*12),0,(Inputs!$E$33*(1+Inputs!$E$35)^INT(DATEDIF(Inputs!$E$37,BS4,"m")/12))/12)),0)*BS16</f>
        <v>34814.812499999993</v>
      </c>
      <c r="BT17" s="489">
        <f>IFERROR(IF(BT4&lt;Inputs!$E$37,0,IF(BT4&gt;=EDATE(Inputs!$E$26,Inputs!$E$27*12),0,(Inputs!$E$33*(1+Inputs!$E$35)^INT(DATEDIF(Inputs!$E$37,BT4,"m")/12))/12)),0)*BT16</f>
        <v>34814.812499999993</v>
      </c>
      <c r="BU17" s="489">
        <f>IFERROR(IF(BU4&lt;Inputs!$E$37,0,IF(BU4&gt;=EDATE(Inputs!$E$26,Inputs!$E$27*12),0,(Inputs!$E$33*(1+Inputs!$E$35)^INT(DATEDIF(Inputs!$E$37,BU4,"m")/12))/12)),0)*BU16</f>
        <v>34814.812499999993</v>
      </c>
      <c r="BV17" s="489">
        <f>IFERROR(IF(BV4&lt;Inputs!$E$37,0,IF(BV4&gt;=EDATE(Inputs!$E$26,Inputs!$E$27*12),0,(Inputs!$E$33*(1+Inputs!$E$35)^INT(DATEDIF(Inputs!$E$37,BV4,"m")/12))/12)),0)*BV16</f>
        <v>34814.812499999993</v>
      </c>
      <c r="BW17" s="489">
        <f>IFERROR(IF(BW4&lt;Inputs!$E$37,0,IF(BW4&gt;=EDATE(Inputs!$E$26,Inputs!$E$27*12),0,(Inputs!$E$33*(1+Inputs!$E$35)^INT(DATEDIF(Inputs!$E$37,BW4,"m")/12))/12)),0)*BW16</f>
        <v>34814.812499999993</v>
      </c>
      <c r="BX17" s="489">
        <f>IFERROR(IF(BX4&lt;Inputs!$E$37,0,IF(BX4&gt;=EDATE(Inputs!$E$26,Inputs!$E$27*12),0,(Inputs!$E$33*(1+Inputs!$E$35)^INT(DATEDIF(Inputs!$E$37,BX4,"m")/12))/12)),0)*BX16</f>
        <v>34814.812499999993</v>
      </c>
      <c r="BY17" s="489">
        <f>IFERROR(IF(BY4&lt;Inputs!$E$37,0,IF(BY4&gt;=EDATE(Inputs!$E$26,Inputs!$E$27*12),0,(Inputs!$E$33*(1+Inputs!$E$35)^INT(DATEDIF(Inputs!$E$37,BY4,"m")/12))/12)),0)*BY16</f>
        <v>34814.812499999993</v>
      </c>
      <c r="BZ17" s="489">
        <f>IFERROR(IF(BZ4&lt;Inputs!$E$37,0,IF(BZ4&gt;=EDATE(Inputs!$E$26,Inputs!$E$27*12),0,(Inputs!$E$33*(1+Inputs!$E$35)^INT(DATEDIF(Inputs!$E$37,BZ4,"m")/12))/12)),0)*BZ16</f>
        <v>34814.812499999993</v>
      </c>
      <c r="CA17" s="489">
        <f>IFERROR(IF(CA4&lt;Inputs!$E$37,0,IF(CA4&gt;=EDATE(Inputs!$E$26,Inputs!$E$27*12),0,(Inputs!$E$33*(1+Inputs!$E$35)^INT(DATEDIF(Inputs!$E$37,CA4,"m")/12))/12)),0)*CA16</f>
        <v>34814.812499999993</v>
      </c>
      <c r="CB17" s="489">
        <f>IFERROR(IF(CB4&lt;Inputs!$E$37,0,IF(CB4&gt;=EDATE(Inputs!$E$26,Inputs!$E$27*12),0,(Inputs!$E$33*(1+Inputs!$E$35)^INT(DATEDIF(Inputs!$E$37,CB4,"m")/12))/12)),0)*CB16</f>
        <v>34814.812499999993</v>
      </c>
      <c r="CC17" s="489">
        <f>IFERROR(IF(CC4&lt;Inputs!$E$37,0,IF(CC4&gt;=EDATE(Inputs!$E$26,Inputs!$E$27*12),0,(Inputs!$E$33*(1+Inputs!$E$35)^INT(DATEDIF(Inputs!$E$37,CC4,"m")/12))/12)),0)*CC16</f>
        <v>36033.330937499988</v>
      </c>
      <c r="CD17" s="489">
        <f>IFERROR(IF(CD4&lt;Inputs!$E$37,0,IF(CD4&gt;=EDATE(Inputs!$E$26,Inputs!$E$27*12),0,(Inputs!$E$33*(1+Inputs!$E$35)^INT(DATEDIF(Inputs!$E$37,CD4,"m")/12))/12)),0)*CD16</f>
        <v>36033.330937499988</v>
      </c>
      <c r="CE17" s="489">
        <f>IFERROR(IF(CE4&lt;Inputs!$E$37,0,IF(CE4&gt;=EDATE(Inputs!$E$26,Inputs!$E$27*12),0,(Inputs!$E$33*(1+Inputs!$E$35)^INT(DATEDIF(Inputs!$E$37,CE4,"m")/12))/12)),0)*CE16</f>
        <v>36033.330937499988</v>
      </c>
      <c r="CF17" s="489">
        <f>IFERROR(IF(CF4&lt;Inputs!$E$37,0,IF(CF4&gt;=EDATE(Inputs!$E$26,Inputs!$E$27*12),0,(Inputs!$E$33*(1+Inputs!$E$35)^INT(DATEDIF(Inputs!$E$37,CF4,"m")/12))/12)),0)*CF16</f>
        <v>36033.330937499988</v>
      </c>
      <c r="CG17" s="489">
        <f>IFERROR(IF(CG4&lt;Inputs!$E$37,0,IF(CG4&gt;=EDATE(Inputs!$E$26,Inputs!$E$27*12),0,(Inputs!$E$33*(1+Inputs!$E$35)^INT(DATEDIF(Inputs!$E$37,CG4,"m")/12))/12)),0)*CG16</f>
        <v>36033.330937499988</v>
      </c>
      <c r="CH17" s="489">
        <f>IFERROR(IF(CH4&lt;Inputs!$E$37,0,IF(CH4&gt;=EDATE(Inputs!$E$26,Inputs!$E$27*12),0,(Inputs!$E$33*(1+Inputs!$E$35)^INT(DATEDIF(Inputs!$E$37,CH4,"m")/12))/12)),0)*CH16</f>
        <v>36033.330937499988</v>
      </c>
      <c r="CI17" s="489">
        <f>IFERROR(IF(CI4&lt;Inputs!$E$37,0,IF(CI4&gt;=EDATE(Inputs!$E$26,Inputs!$E$27*12),0,(Inputs!$E$33*(1+Inputs!$E$35)^INT(DATEDIF(Inputs!$E$37,CI4,"m")/12))/12)),0)*CI16</f>
        <v>36033.330937499988</v>
      </c>
      <c r="CJ17" s="489">
        <f>IFERROR(IF(CJ4&lt;Inputs!$E$37,0,IF(CJ4&gt;=EDATE(Inputs!$E$26,Inputs!$E$27*12),0,(Inputs!$E$33*(1+Inputs!$E$35)^INT(DATEDIF(Inputs!$E$37,CJ4,"m")/12))/12)),0)*CJ16</f>
        <v>36033.330937499988</v>
      </c>
      <c r="CK17" s="489">
        <f>IFERROR(IF(CK4&lt;Inputs!$E$37,0,IF(CK4&gt;=EDATE(Inputs!$E$26,Inputs!$E$27*12),0,(Inputs!$E$33*(1+Inputs!$E$35)^INT(DATEDIF(Inputs!$E$37,CK4,"m")/12))/12)),0)*CK16</f>
        <v>36033.330937499988</v>
      </c>
      <c r="CL17" s="489">
        <f>IFERROR(IF(CL4&lt;Inputs!$E$37,0,IF(CL4&gt;=EDATE(Inputs!$E$26,Inputs!$E$27*12),0,(Inputs!$E$33*(1+Inputs!$E$35)^INT(DATEDIF(Inputs!$E$37,CL4,"m")/12))/12)),0)*CL16</f>
        <v>36033.330937499988</v>
      </c>
      <c r="CM17" s="489">
        <f>IFERROR(IF(CM4&lt;Inputs!$E$37,0,IF(CM4&gt;=EDATE(Inputs!$E$26,Inputs!$E$27*12),0,(Inputs!$E$33*(1+Inputs!$E$35)^INT(DATEDIF(Inputs!$E$37,CM4,"m")/12))/12)),0)*CM16</f>
        <v>36033.330937499988</v>
      </c>
      <c r="CN17" s="489">
        <f>IFERROR(IF(CN4&lt;Inputs!$E$37,0,IF(CN4&gt;=EDATE(Inputs!$E$26,Inputs!$E$27*12),0,(Inputs!$E$33*(1+Inputs!$E$35)^INT(DATEDIF(Inputs!$E$37,CN4,"m")/12))/12)),0)*CN16</f>
        <v>36033.330937499988</v>
      </c>
      <c r="CO17" s="489">
        <f>IFERROR(IF(CO4&lt;Inputs!$E$37,0,IF(CO4&gt;=EDATE(Inputs!$E$26,Inputs!$E$27*12),0,(Inputs!$E$33*(1+Inputs!$E$35)^INT(DATEDIF(Inputs!$E$37,CO4,"m")/12))/12)),0)*CO16</f>
        <v>74588.99504062497</v>
      </c>
      <c r="CP17" s="489">
        <f>IFERROR(IF(CP4&lt;Inputs!$E$37,0,IF(CP4&gt;=EDATE(Inputs!$E$26,Inputs!$E$27*12),0,(Inputs!$E$33*(1+Inputs!$E$35)^INT(DATEDIF(Inputs!$E$37,CP4,"m")/12))/12)),0)*CP16</f>
        <v>74588.99504062497</v>
      </c>
      <c r="CQ17" s="489">
        <f>IFERROR(IF(CQ4&lt;Inputs!$E$37,0,IF(CQ4&gt;=EDATE(Inputs!$E$26,Inputs!$E$27*12),0,(Inputs!$E$33*(1+Inputs!$E$35)^INT(DATEDIF(Inputs!$E$37,CQ4,"m")/12))/12)),0)*CQ16</f>
        <v>74588.99504062497</v>
      </c>
      <c r="CR17" s="489">
        <f>IFERROR(IF(CR4&lt;Inputs!$E$37,0,IF(CR4&gt;=EDATE(Inputs!$E$26,Inputs!$E$27*12),0,(Inputs!$E$33*(1+Inputs!$E$35)^INT(DATEDIF(Inputs!$E$37,CR4,"m")/12))/12)),0)*CR16</f>
        <v>74588.99504062497</v>
      </c>
      <c r="CS17" s="489">
        <f>IFERROR(IF(CS4&lt;Inputs!$E$37,0,IF(CS4&gt;=EDATE(Inputs!$E$26,Inputs!$E$27*12),0,(Inputs!$E$33*(1+Inputs!$E$35)^INT(DATEDIF(Inputs!$E$37,CS4,"m")/12))/12)),0)*CS16</f>
        <v>74588.99504062497</v>
      </c>
      <c r="CT17" s="489">
        <f>IFERROR(IF(CT4&lt;Inputs!$E$37,0,IF(CT4&gt;=EDATE(Inputs!$E$26,Inputs!$E$27*12),0,(Inputs!$E$33*(1+Inputs!$E$35)^INT(DATEDIF(Inputs!$E$37,CT4,"m")/12))/12)),0)*CT16</f>
        <v>74588.99504062497</v>
      </c>
      <c r="CU17" s="489">
        <f>IFERROR(IF(CU4&lt;Inputs!$E$37,0,IF(CU4&gt;=EDATE(Inputs!$E$26,Inputs!$E$27*12),0,(Inputs!$E$33*(1+Inputs!$E$35)^INT(DATEDIF(Inputs!$E$37,CU4,"m")/12))/12)),0)*CU16</f>
        <v>74588.99504062497</v>
      </c>
      <c r="CV17" s="489">
        <f>IFERROR(IF(CV4&lt;Inputs!$E$37,0,IF(CV4&gt;=EDATE(Inputs!$E$26,Inputs!$E$27*12),0,(Inputs!$E$33*(1+Inputs!$E$35)^INT(DATEDIF(Inputs!$E$37,CV4,"m")/12))/12)),0)*CV16</f>
        <v>74588.99504062497</v>
      </c>
      <c r="CW17" s="489">
        <f>IFERROR(IF(CW4&lt;Inputs!$E$37,0,IF(CW4&gt;=EDATE(Inputs!$E$26,Inputs!$E$27*12),0,(Inputs!$E$33*(1+Inputs!$E$35)^INT(DATEDIF(Inputs!$E$37,CW4,"m")/12))/12)),0)*CW16</f>
        <v>74588.99504062497</v>
      </c>
      <c r="CX17" s="489">
        <f>IFERROR(IF(CX4&lt;Inputs!$E$37,0,IF(CX4&gt;=EDATE(Inputs!$E$26,Inputs!$E$27*12),0,(Inputs!$E$33*(1+Inputs!$E$35)^INT(DATEDIF(Inputs!$E$37,CX4,"m")/12))/12)),0)*CX16</f>
        <v>74588.99504062497</v>
      </c>
      <c r="CY17" s="489">
        <f>IFERROR(IF(CY4&lt;Inputs!$E$37,0,IF(CY4&gt;=EDATE(Inputs!$E$26,Inputs!$E$27*12),0,(Inputs!$E$33*(1+Inputs!$E$35)^INT(DATEDIF(Inputs!$E$37,CY4,"m")/12))/12)),0)*CY16</f>
        <v>74588.99504062497</v>
      </c>
      <c r="CZ17" s="489">
        <f>IFERROR(IF(CZ4&lt;Inputs!$E$37,0,IF(CZ4&gt;=EDATE(Inputs!$E$26,Inputs!$E$27*12),0,(Inputs!$E$33*(1+Inputs!$E$35)^INT(DATEDIF(Inputs!$E$37,CZ4,"m")/12))/12)),0)*CZ16</f>
        <v>74588.99504062497</v>
      </c>
      <c r="DA17" s="489">
        <f>IFERROR(IF(DA4&lt;Inputs!$E$37,0,IF(DA4&gt;=EDATE(Inputs!$E$26,Inputs!$E$27*12),0,(Inputs!$E$33*(1+Inputs!$E$35)^INT(DATEDIF(Inputs!$E$37,DA4,"m")/12))/12)),0)*DA16</f>
        <v>77199.609867046835</v>
      </c>
      <c r="DB17" s="489">
        <f>IFERROR(IF(DB4&lt;Inputs!$E$37,0,IF(DB4&gt;=EDATE(Inputs!$E$26,Inputs!$E$27*12),0,(Inputs!$E$33*(1+Inputs!$E$35)^INT(DATEDIF(Inputs!$E$37,DB4,"m")/12))/12)),0)*DB16</f>
        <v>77199.609867046835</v>
      </c>
      <c r="DC17" s="489">
        <f>IFERROR(IF(DC4&lt;Inputs!$E$37,0,IF(DC4&gt;=EDATE(Inputs!$E$26,Inputs!$E$27*12),0,(Inputs!$E$33*(1+Inputs!$E$35)^INT(DATEDIF(Inputs!$E$37,DC4,"m")/12))/12)),0)*DC16</f>
        <v>77199.609867046835</v>
      </c>
      <c r="DD17" s="489">
        <f>IFERROR(IF(DD4&lt;Inputs!$E$37,0,IF(DD4&gt;=EDATE(Inputs!$E$26,Inputs!$E$27*12),0,(Inputs!$E$33*(1+Inputs!$E$35)^INT(DATEDIF(Inputs!$E$37,DD4,"m")/12))/12)),0)*DD16</f>
        <v>77199.609867046835</v>
      </c>
      <c r="DE17" s="489">
        <f>IFERROR(IF(DE4&lt;Inputs!$E$37,0,IF(DE4&gt;=EDATE(Inputs!$E$26,Inputs!$E$27*12),0,(Inputs!$E$33*(1+Inputs!$E$35)^INT(DATEDIF(Inputs!$E$37,DE4,"m")/12))/12)),0)*DE16</f>
        <v>77199.609867046835</v>
      </c>
      <c r="DF17" s="489">
        <f>IFERROR(IF(DF4&lt;Inputs!$E$37,0,IF(DF4&gt;=EDATE(Inputs!$E$26,Inputs!$E$27*12),0,(Inputs!$E$33*(1+Inputs!$E$35)^INT(DATEDIF(Inputs!$E$37,DF4,"m")/12))/12)),0)*DF16</f>
        <v>77199.609867046835</v>
      </c>
      <c r="DG17" s="489">
        <f>IFERROR(IF(DG4&lt;Inputs!$E$37,0,IF(DG4&gt;=EDATE(Inputs!$E$26,Inputs!$E$27*12),0,(Inputs!$E$33*(1+Inputs!$E$35)^INT(DATEDIF(Inputs!$E$37,DG4,"m")/12))/12)),0)*DG16</f>
        <v>77199.609867046835</v>
      </c>
      <c r="DH17" s="489">
        <f>IFERROR(IF(DH4&lt;Inputs!$E$37,0,IF(DH4&gt;=EDATE(Inputs!$E$26,Inputs!$E$27*12),0,(Inputs!$E$33*(1+Inputs!$E$35)^INT(DATEDIF(Inputs!$E$37,DH4,"m")/12))/12)),0)*DH16</f>
        <v>77199.609867046835</v>
      </c>
      <c r="DI17" s="489">
        <f>IFERROR(IF(DI4&lt;Inputs!$E$37,0,IF(DI4&gt;=EDATE(Inputs!$E$26,Inputs!$E$27*12),0,(Inputs!$E$33*(1+Inputs!$E$35)^INT(DATEDIF(Inputs!$E$37,DI4,"m")/12))/12)),0)*DI16</f>
        <v>77199.609867046835</v>
      </c>
      <c r="DJ17" s="489">
        <f>IFERROR(IF(DJ4&lt;Inputs!$E$37,0,IF(DJ4&gt;=EDATE(Inputs!$E$26,Inputs!$E$27*12),0,(Inputs!$E$33*(1+Inputs!$E$35)^INT(DATEDIF(Inputs!$E$37,DJ4,"m")/12))/12)),0)*DJ16</f>
        <v>77199.609867046835</v>
      </c>
      <c r="DK17" s="489">
        <f>IFERROR(IF(DK4&lt;Inputs!$E$37,0,IF(DK4&gt;=EDATE(Inputs!$E$26,Inputs!$E$27*12),0,(Inputs!$E$33*(1+Inputs!$E$35)^INT(DATEDIF(Inputs!$E$37,DK4,"m")/12))/12)),0)*DK16</f>
        <v>77199.609867046835</v>
      </c>
      <c r="DL17" s="489">
        <f>IFERROR(IF(DL4&lt;Inputs!$E$37,0,IF(DL4&gt;=EDATE(Inputs!$E$26,Inputs!$E$27*12),0,(Inputs!$E$33*(1+Inputs!$E$35)^INT(DATEDIF(Inputs!$E$37,DL4,"m")/12))/12)),0)*DL16</f>
        <v>77199.609867046835</v>
      </c>
      <c r="DM17" s="489">
        <f>IFERROR(IF(DM4&lt;Inputs!$E$37,0,IF(DM4&gt;=EDATE(Inputs!$E$26,Inputs!$E$27*12),0,(Inputs!$E$33*(1+Inputs!$E$35)^INT(DATEDIF(Inputs!$E$37,DM4,"m")/12))/12)),0)*DM16</f>
        <v>79901.596212393488</v>
      </c>
      <c r="DN17" s="489">
        <f>IFERROR(IF(DN4&lt;Inputs!$E$37,0,IF(DN4&gt;=EDATE(Inputs!$E$26,Inputs!$E$27*12),0,(Inputs!$E$33*(1+Inputs!$E$35)^INT(DATEDIF(Inputs!$E$37,DN4,"m")/12))/12)),0)*DN16</f>
        <v>79901.596212393488</v>
      </c>
      <c r="DO17" s="489">
        <f>IFERROR(IF(DO4&lt;Inputs!$E$37,0,IF(DO4&gt;=EDATE(Inputs!$E$26,Inputs!$E$27*12),0,(Inputs!$E$33*(1+Inputs!$E$35)^INT(DATEDIF(Inputs!$E$37,DO4,"m")/12))/12)),0)*DO16</f>
        <v>79901.596212393488</v>
      </c>
      <c r="DP17" s="489">
        <f>IFERROR(IF(DP4&lt;Inputs!$E$37,0,IF(DP4&gt;=EDATE(Inputs!$E$26,Inputs!$E$27*12),0,(Inputs!$E$33*(1+Inputs!$E$35)^INT(DATEDIF(Inputs!$E$37,DP4,"m")/12))/12)),0)*DP16</f>
        <v>79901.596212393488</v>
      </c>
      <c r="DQ17" s="489">
        <f>IFERROR(IF(DQ4&lt;Inputs!$E$37,0,IF(DQ4&gt;=EDATE(Inputs!$E$26,Inputs!$E$27*12),0,(Inputs!$E$33*(1+Inputs!$E$35)^INT(DATEDIF(Inputs!$E$37,DQ4,"m")/12))/12)),0)*DQ16</f>
        <v>79901.596212393488</v>
      </c>
      <c r="DR17" s="489">
        <f>IFERROR(IF(DR4&lt;Inputs!$E$37,0,IF(DR4&gt;=EDATE(Inputs!$E$26,Inputs!$E$27*12),0,(Inputs!$E$33*(1+Inputs!$E$35)^INT(DATEDIF(Inputs!$E$37,DR4,"m")/12))/12)),0)*DR16</f>
        <v>79901.596212393488</v>
      </c>
      <c r="DS17" s="489">
        <f>IFERROR(IF(DS4&lt;Inputs!$E$37,0,IF(DS4&gt;=EDATE(Inputs!$E$26,Inputs!$E$27*12),0,(Inputs!$E$33*(1+Inputs!$E$35)^INT(DATEDIF(Inputs!$E$37,DS4,"m")/12))/12)),0)*DS16</f>
        <v>79901.596212393488</v>
      </c>
      <c r="DT17" s="489">
        <f>IFERROR(IF(DT4&lt;Inputs!$E$37,0,IF(DT4&gt;=EDATE(Inputs!$E$26,Inputs!$E$27*12),0,(Inputs!$E$33*(1+Inputs!$E$35)^INT(DATEDIF(Inputs!$E$37,DT4,"m")/12))/12)),0)*DT16</f>
        <v>79901.596212393488</v>
      </c>
      <c r="DU17" s="489">
        <f>IFERROR(IF(DU4&lt;Inputs!$E$37,0,IF(DU4&gt;=EDATE(Inputs!$E$26,Inputs!$E$27*12),0,(Inputs!$E$33*(1+Inputs!$E$35)^INT(DATEDIF(Inputs!$E$37,DU4,"m")/12))/12)),0)*DU16</f>
        <v>79901.596212393488</v>
      </c>
      <c r="DV17" s="489">
        <f>IFERROR(IF(DV4&lt;Inputs!$E$37,0,IF(DV4&gt;=EDATE(Inputs!$E$26,Inputs!$E$27*12),0,(Inputs!$E$33*(1+Inputs!$E$35)^INT(DATEDIF(Inputs!$E$37,DV4,"m")/12))/12)),0)*DV16</f>
        <v>79901.596212393488</v>
      </c>
      <c r="DW17" s="489">
        <f>IFERROR(IF(DW4&lt;Inputs!$E$37,0,IF(DW4&gt;=EDATE(Inputs!$E$26,Inputs!$E$27*12),0,(Inputs!$E$33*(1+Inputs!$E$35)^INT(DATEDIF(Inputs!$E$37,DW4,"m")/12))/12)),0)*DW16</f>
        <v>79901.596212393488</v>
      </c>
      <c r="DX17" s="489">
        <f>IFERROR(IF(DX4&lt;Inputs!$E$37,0,IF(DX4&gt;=EDATE(Inputs!$E$26,Inputs!$E$27*12),0,(Inputs!$E$33*(1+Inputs!$E$35)^INT(DATEDIF(Inputs!$E$37,DX4,"m")/12))/12)),0)*DX16</f>
        <v>79901.596212393488</v>
      </c>
      <c r="DY17" s="489">
        <f>IFERROR(IF(DY4&lt;Inputs!$E$37,0,IF(DY4&gt;=EDATE(Inputs!$E$26,Inputs!$E$27*12),0,(Inputs!$E$33*(1+Inputs!$E$35)^INT(DATEDIF(Inputs!$E$37,DY4,"m")/12))/12)),0)*DY16</f>
        <v>82698.152079827254</v>
      </c>
      <c r="DZ17" s="489">
        <f>IFERROR(IF(DZ4&lt;Inputs!$E$37,0,IF(DZ4&gt;=EDATE(Inputs!$E$26,Inputs!$E$27*12),0,(Inputs!$E$33*(1+Inputs!$E$35)^INT(DATEDIF(Inputs!$E$37,DZ4,"m")/12))/12)),0)*DZ16</f>
        <v>82698.152079827254</v>
      </c>
      <c r="EA17" s="489">
        <f>IFERROR(IF(EA4&lt;Inputs!$E$37,0,IF(EA4&gt;=EDATE(Inputs!$E$26,Inputs!$E$27*12),0,(Inputs!$E$33*(1+Inputs!$E$35)^INT(DATEDIF(Inputs!$E$37,EA4,"m")/12))/12)),0)*EA16</f>
        <v>82698.152079827254</v>
      </c>
      <c r="EB17" s="489">
        <f>IFERROR(IF(EB4&lt;Inputs!$E$37,0,IF(EB4&gt;=EDATE(Inputs!$E$26,Inputs!$E$27*12),0,(Inputs!$E$33*(1+Inputs!$E$35)^INT(DATEDIF(Inputs!$E$37,EB4,"m")/12))/12)),0)*EB16</f>
        <v>82698.152079827254</v>
      </c>
      <c r="EC17" s="489">
        <f>IFERROR(IF(EC4&lt;Inputs!$E$37,0,IF(EC4&gt;=EDATE(Inputs!$E$26,Inputs!$E$27*12),0,(Inputs!$E$33*(1+Inputs!$E$35)^INT(DATEDIF(Inputs!$E$37,EC4,"m")/12))/12)),0)*EC16</f>
        <v>82698.152079827254</v>
      </c>
      <c r="ED17" s="489">
        <f>IFERROR(IF(ED4&lt;Inputs!$E$37,0,IF(ED4&gt;=EDATE(Inputs!$E$26,Inputs!$E$27*12),0,(Inputs!$E$33*(1+Inputs!$E$35)^INT(DATEDIF(Inputs!$E$37,ED4,"m")/12))/12)),0)*ED16</f>
        <v>82698.152079827254</v>
      </c>
      <c r="EE17" s="489">
        <f>IFERROR(IF(EE4&lt;Inputs!$E$37,0,IF(EE4&gt;=EDATE(Inputs!$E$26,Inputs!$E$27*12),0,(Inputs!$E$33*(1+Inputs!$E$35)^INT(DATEDIF(Inputs!$E$37,EE4,"m")/12))/12)),0)*EE16</f>
        <v>82698.152079827254</v>
      </c>
      <c r="EF17" s="489">
        <f>IFERROR(IF(EF4&lt;Inputs!$E$37,0,IF(EF4&gt;=EDATE(Inputs!$E$26,Inputs!$E$27*12),0,(Inputs!$E$33*(1+Inputs!$E$35)^INT(DATEDIF(Inputs!$E$37,EF4,"m")/12))/12)),0)*EF16</f>
        <v>82698.152079827254</v>
      </c>
      <c r="EG17" s="489">
        <f>IFERROR(IF(EG4&lt;Inputs!$E$37,0,IF(EG4&gt;=EDATE(Inputs!$E$26,Inputs!$E$27*12),0,(Inputs!$E$33*(1+Inputs!$E$35)^INT(DATEDIF(Inputs!$E$37,EG4,"m")/12))/12)),0)*EG16</f>
        <v>82698.152079827254</v>
      </c>
      <c r="EH17" s="489">
        <f>IFERROR(IF(EH4&lt;Inputs!$E$37,0,IF(EH4&gt;=EDATE(Inputs!$E$26,Inputs!$E$27*12),0,(Inputs!$E$33*(1+Inputs!$E$35)^INT(DATEDIF(Inputs!$E$37,EH4,"m")/12))/12)),0)*EH16</f>
        <v>82698.152079827254</v>
      </c>
      <c r="EI17" s="489">
        <f>IFERROR(IF(EI4&lt;Inputs!$E$37,0,IF(EI4&gt;=EDATE(Inputs!$E$26,Inputs!$E$27*12),0,(Inputs!$E$33*(1+Inputs!$E$35)^INT(DATEDIF(Inputs!$E$37,EI4,"m")/12))/12)),0)*EI16</f>
        <v>82698.152079827254</v>
      </c>
      <c r="EJ17" s="489">
        <f>IFERROR(IF(EJ4&lt;Inputs!$E$37,0,IF(EJ4&gt;=EDATE(Inputs!$E$26,Inputs!$E$27*12),0,(Inputs!$E$33*(1+Inputs!$E$35)^INT(DATEDIF(Inputs!$E$37,EJ4,"m")/12))/12)),0)*EJ16</f>
        <v>82698.152079827254</v>
      </c>
      <c r="EK17" s="489">
        <f>IFERROR(IF(EK4&lt;Inputs!$E$37,0,IF(EK4&gt;=EDATE(Inputs!$E$26,Inputs!$E$27*12),0,(Inputs!$E$33*(1+Inputs!$E$35)^INT(DATEDIF(Inputs!$E$37,EK4,"m")/12))/12)),0)*EK16</f>
        <v>85592.587402621182</v>
      </c>
      <c r="EL17" s="489">
        <f>IFERROR(IF(EL4&lt;Inputs!$E$37,0,IF(EL4&gt;=EDATE(Inputs!$E$26,Inputs!$E$27*12),0,(Inputs!$E$33*(1+Inputs!$E$35)^INT(DATEDIF(Inputs!$E$37,EL4,"m")/12))/12)),0)*EL16</f>
        <v>85592.587402621182</v>
      </c>
      <c r="EM17" s="489">
        <f>IFERROR(IF(EM4&lt;Inputs!$E$37,0,IF(EM4&gt;=EDATE(Inputs!$E$26,Inputs!$E$27*12),0,(Inputs!$E$33*(1+Inputs!$E$35)^INT(DATEDIF(Inputs!$E$37,EM4,"m")/12))/12)),0)*EM16</f>
        <v>85592.587402621182</v>
      </c>
      <c r="EN17" s="489">
        <f>IFERROR(IF(EN4&lt;Inputs!$E$37,0,IF(EN4&gt;=EDATE(Inputs!$E$26,Inputs!$E$27*12),0,(Inputs!$E$33*(1+Inputs!$E$35)^INT(DATEDIF(Inputs!$E$37,EN4,"m")/12))/12)),0)*EN16</f>
        <v>85592.587402621182</v>
      </c>
    </row>
    <row r="18" spans="1:144" x14ac:dyDescent="0.35">
      <c r="A18" s="72" t="s">
        <v>1659</v>
      </c>
      <c r="B18" s="331"/>
      <c r="C18" s="489">
        <f>IFERROR((IF(OR(C4&lt;Inputs!$I$45,C4&gt;=EDATE(Inputs!$F$30,Inputs!$F$32*12)),0,(Inputs!$I$44*(1+Inputs!$F$36)^INT(DATEDIF(Inputs!$I$45,C4,"m")/12))/12))*Scenarios!$B$22,"")</f>
        <v>0</v>
      </c>
      <c r="D18" s="489">
        <f>IFERROR((IF(OR(D4&lt;Inputs!$I$45,D4&gt;=EDATE(Inputs!$F$30,Inputs!$F$32*12)),0,(Inputs!$I$44*(1+Inputs!$F$36)^INT(DATEDIF(Inputs!$I$45,D4,"m")/12))/12))*Scenarios!$B$22,"")</f>
        <v>0</v>
      </c>
      <c r="E18" s="489">
        <f>IFERROR((IF(OR(E4&lt;Inputs!$I$45,E4&gt;=EDATE(Inputs!$F$30,Inputs!$F$32*12)),0,(Inputs!$I$44*(1+Inputs!$F$36)^INT(DATEDIF(Inputs!$I$45,E4,"m")/12))/12))*Scenarios!$B$22,"")</f>
        <v>0</v>
      </c>
      <c r="F18" s="489">
        <f>IFERROR((IF(OR(F4&lt;Inputs!$I$45,F4&gt;=EDATE(Inputs!$F$30,Inputs!$F$32*12)),0,(Inputs!$I$44*(1+Inputs!$F$36)^INT(DATEDIF(Inputs!$I$45,F4,"m")/12))/12))*Scenarios!$B$22,"")</f>
        <v>0</v>
      </c>
      <c r="G18" s="489">
        <f>IFERROR((IF(OR(G4&lt;Inputs!$I$45,G4&gt;=EDATE(Inputs!$F$30,Inputs!$F$32*12)),0,(Inputs!$I$44*(1+Inputs!$F$36)^INT(DATEDIF(Inputs!$I$45,G4,"m")/12))/12))*Scenarios!$B$22,"")</f>
        <v>0</v>
      </c>
      <c r="H18" s="489">
        <f>IFERROR((IF(OR(H4&lt;Inputs!$I$45,H4&gt;=EDATE(Inputs!$F$30,Inputs!$F$32*12)),0,(Inputs!$I$44*(1+Inputs!$F$36)^INT(DATEDIF(Inputs!$I$45,H4,"m")/12))/12))*Scenarios!$B$22,"")</f>
        <v>0</v>
      </c>
      <c r="I18" s="489">
        <f>IFERROR((IF(OR(I4&lt;Inputs!$I$45,I4&gt;=EDATE(Inputs!$F$30,Inputs!$F$32*12)),0,(Inputs!$I$44*(1+Inputs!$F$36)^INT(DATEDIF(Inputs!$I$45,I4,"m")/12))/12))*Scenarios!$B$22,"")</f>
        <v>0</v>
      </c>
      <c r="J18" s="489">
        <f>IFERROR((IF(OR(J4&lt;Inputs!$I$45,J4&gt;=EDATE(Inputs!$F$30,Inputs!$F$32*12)),0,(Inputs!$I$44*(1+Inputs!$F$36)^INT(DATEDIF(Inputs!$I$45,J4,"m")/12))/12))*Scenarios!$B$22,"")</f>
        <v>0</v>
      </c>
      <c r="K18" s="489">
        <f>IFERROR((IF(OR(K4&lt;Inputs!$I$45,K4&gt;=EDATE(Inputs!$F$30,Inputs!$F$32*12)),0,(Inputs!$I$44*(1+Inputs!$F$36)^INT(DATEDIF(Inputs!$I$45,K4,"m")/12))/12))*Scenarios!$B$22,"")</f>
        <v>0</v>
      </c>
      <c r="L18" s="489">
        <f>IFERROR((IF(OR(L4&lt;Inputs!$I$45,L4&gt;=EDATE(Inputs!$F$30,Inputs!$F$32*12)),0,(Inputs!$I$44*(1+Inputs!$F$36)^INT(DATEDIF(Inputs!$I$45,L4,"m")/12))/12))*Scenarios!$B$22,"")</f>
        <v>0</v>
      </c>
      <c r="M18" s="489">
        <f>IFERROR((IF(OR(M4&lt;Inputs!$I$45,M4&gt;=EDATE(Inputs!$F$30,Inputs!$F$32*12)),0,(Inputs!$I$44*(1+Inputs!$F$36)^INT(DATEDIF(Inputs!$I$45,M4,"m")/12))/12))*Scenarios!$B$22,"")</f>
        <v>0</v>
      </c>
      <c r="N18" s="489">
        <f>IFERROR((IF(OR(N4&lt;Inputs!$I$45,N4&gt;=EDATE(Inputs!$F$30,Inputs!$F$32*12)),0,(Inputs!$I$44*(1+Inputs!$F$36)^INT(DATEDIF(Inputs!$I$45,N4,"m")/12))/12))*Scenarios!$B$22,"")</f>
        <v>0</v>
      </c>
      <c r="O18" s="489">
        <f>IFERROR((IF(OR(O4&lt;Inputs!$I$45,O4&gt;=EDATE(Inputs!$F$30,Inputs!$F$32*12)),0,(Inputs!$I$44*(1+Inputs!$F$36)^INT(DATEDIF(Inputs!$I$45,O4,"m")/12))/12))*Scenarios!$B$22,"")</f>
        <v>0</v>
      </c>
      <c r="P18" s="489">
        <f>IFERROR((IF(OR(P4&lt;Inputs!$I$45,P4&gt;=EDATE(Inputs!$F$30,Inputs!$F$32*12)),0,(Inputs!$I$44*(1+Inputs!$F$36)^INT(DATEDIF(Inputs!$I$45,P4,"m")/12))/12))*Scenarios!$B$22,"")</f>
        <v>0</v>
      </c>
      <c r="Q18" s="489">
        <f>IFERROR((IF(OR(Q4&lt;Inputs!$I$45,Q4&gt;=EDATE(Inputs!$F$30,Inputs!$F$32*12)),0,(Inputs!$I$44*(1+Inputs!$F$36)^INT(DATEDIF(Inputs!$I$45,Q4,"m")/12))/12))*Scenarios!$B$22,"")</f>
        <v>0</v>
      </c>
      <c r="R18" s="489">
        <f>IFERROR((IF(OR(R4&lt;Inputs!$I$45,R4&gt;=EDATE(Inputs!$F$30,Inputs!$F$32*12)),0,(Inputs!$I$44*(1+Inputs!$F$36)^INT(DATEDIF(Inputs!$I$45,R4,"m")/12))/12))*Scenarios!$B$22,"")</f>
        <v>0</v>
      </c>
      <c r="S18" s="489">
        <f>IFERROR((IF(OR(S4&lt;Inputs!$I$45,S4&gt;=EDATE(Inputs!$F$30,Inputs!$F$32*12)),0,(Inputs!$I$44*(1+Inputs!$F$36)^INT(DATEDIF(Inputs!$I$45,S4,"m")/12))/12))*Scenarios!$B$22,"")</f>
        <v>0</v>
      </c>
      <c r="T18" s="489">
        <f>IFERROR((IF(OR(T4&lt;Inputs!$I$45,T4&gt;=EDATE(Inputs!$F$30,Inputs!$F$32*12)),0,(Inputs!$I$44*(1+Inputs!$F$36)^INT(DATEDIF(Inputs!$I$45,T4,"m")/12))/12))*Scenarios!$B$22,"")</f>
        <v>0</v>
      </c>
      <c r="U18" s="489">
        <f>IFERROR((IF(OR(U4&lt;Inputs!$I$45,U4&gt;=EDATE(Inputs!$F$30,Inputs!$F$32*12)),0,(Inputs!$I$44*(1+Inputs!$F$36)^INT(DATEDIF(Inputs!$I$45,U4,"m")/12))/12))*Scenarios!$B$22,"")</f>
        <v>0</v>
      </c>
      <c r="V18" s="489">
        <f>IFERROR((IF(OR(V4&lt;Inputs!$I$45,V4&gt;=EDATE(Inputs!$F$30,Inputs!$F$32*12)),0,(Inputs!$I$44*(1+Inputs!$F$36)^INT(DATEDIF(Inputs!$I$45,V4,"m")/12))/12))*Scenarios!$B$22,"")</f>
        <v>0</v>
      </c>
      <c r="W18" s="489">
        <f>IFERROR((IF(OR(W4&lt;Inputs!$I$45,W4&gt;=EDATE(Inputs!$F$30,Inputs!$F$32*12)),0,(Inputs!$I$44*(1+Inputs!$F$36)^INT(DATEDIF(Inputs!$I$45,W4,"m")/12))/12))*Scenarios!$B$22,"")</f>
        <v>0</v>
      </c>
      <c r="X18" s="489">
        <f>IFERROR((IF(OR(X4&lt;Inputs!$I$45,X4&gt;=EDATE(Inputs!$F$30,Inputs!$F$32*12)),0,(Inputs!$I$44*(1+Inputs!$F$36)^INT(DATEDIF(Inputs!$I$45,X4,"m")/12))/12))*Scenarios!$B$22,"")</f>
        <v>0</v>
      </c>
      <c r="Y18" s="489">
        <f>IFERROR((IF(OR(Y4&lt;Inputs!$I$45,Y4&gt;=EDATE(Inputs!$F$30,Inputs!$F$32*12)),0,(Inputs!$I$44*(1+Inputs!$F$36)^INT(DATEDIF(Inputs!$I$45,Y4,"m")/12))/12))*Scenarios!$B$22,"")</f>
        <v>0</v>
      </c>
      <c r="Z18" s="489">
        <f>IFERROR((IF(OR(Z4&lt;Inputs!$I$45,Z4&gt;=EDATE(Inputs!$F$30,Inputs!$F$32*12)),0,(Inputs!$I$44*(1+Inputs!$F$36)^INT(DATEDIF(Inputs!$I$45,Z4,"m")/12))/12))*Scenarios!$B$22,"")</f>
        <v>0</v>
      </c>
      <c r="AA18" s="489">
        <f>IFERROR((IF(OR(AA4&lt;Inputs!$I$45,AA4&gt;=EDATE(Inputs!$F$30,Inputs!$F$32*12)),0,(Inputs!$I$44*(1+Inputs!$F$36)^INT(DATEDIF(Inputs!$I$45,AA4,"m")/12))/12))*Scenarios!$B$22,"")</f>
        <v>0</v>
      </c>
      <c r="AB18" s="489">
        <f>IFERROR((IF(OR(AB4&lt;Inputs!$I$45,AB4&gt;=EDATE(Inputs!$F$30,Inputs!$F$32*12)),0,(Inputs!$I$44*(1+Inputs!$F$36)^INT(DATEDIF(Inputs!$I$45,AB4,"m")/12))/12))*Scenarios!$B$22,"")</f>
        <v>0</v>
      </c>
      <c r="AC18" s="489">
        <f>IFERROR((IF(OR(AC4&lt;Inputs!$I$45,AC4&gt;=EDATE(Inputs!$F$30,Inputs!$F$32*12)),0,(Inputs!$I$44*(1+Inputs!$F$36)^INT(DATEDIF(Inputs!$I$45,AC4,"m")/12))/12))*Scenarios!$B$22,"")</f>
        <v>0</v>
      </c>
      <c r="AD18" s="489">
        <f>IFERROR((IF(OR(AD4&lt;Inputs!$I$45,AD4&gt;=EDATE(Inputs!$F$30,Inputs!$F$32*12)),0,(Inputs!$I$44*(1+Inputs!$F$36)^INT(DATEDIF(Inputs!$I$45,AD4,"m")/12))/12))*Scenarios!$B$22,"")</f>
        <v>0</v>
      </c>
      <c r="AE18" s="489">
        <f>IFERROR((IF(OR(AE4&lt;Inputs!$I$45,AE4&gt;=EDATE(Inputs!$F$30,Inputs!$F$32*12)),0,(Inputs!$I$44*(1+Inputs!$F$36)^INT(DATEDIF(Inputs!$I$45,AE4,"m")/12))/12))*Scenarios!$B$22,"")</f>
        <v>0</v>
      </c>
      <c r="AF18" s="489">
        <f>IFERROR((IF(OR(AF4&lt;Inputs!$I$45,AF4&gt;=EDATE(Inputs!$F$30,Inputs!$F$32*12)),0,(Inputs!$I$44*(1+Inputs!$F$36)^INT(DATEDIF(Inputs!$I$45,AF4,"m")/12))/12))*Scenarios!$B$22,"")</f>
        <v>0</v>
      </c>
      <c r="AG18" s="489">
        <f>IFERROR((IF(OR(AG4&lt;Inputs!$I$45,AG4&gt;=EDATE(Inputs!$F$30,Inputs!$F$32*12)),0,(Inputs!$I$44*(1+Inputs!$F$36)^INT(DATEDIF(Inputs!$I$45,AG4,"m")/12))/12))*Scenarios!$B$22,"")</f>
        <v>0</v>
      </c>
      <c r="AH18" s="489">
        <f>IFERROR((IF(OR(AH4&lt;Inputs!$I$45,AH4&gt;=EDATE(Inputs!$F$30,Inputs!$F$32*12)),0,(Inputs!$I$44*(1+Inputs!$F$36)^INT(DATEDIF(Inputs!$I$45,AH4,"m")/12))/12))*Scenarios!$B$22,"")</f>
        <v>0</v>
      </c>
      <c r="AI18" s="489">
        <f>IFERROR((IF(OR(AI4&lt;Inputs!$I$45,AI4&gt;=EDATE(Inputs!$F$30,Inputs!$F$32*12)),0,(Inputs!$I$44*(1+Inputs!$F$36)^INT(DATEDIF(Inputs!$I$45,AI4,"m")/12))/12))*Scenarios!$B$22,"")</f>
        <v>0</v>
      </c>
      <c r="AJ18" s="489">
        <f>IFERROR((IF(OR(AJ4&lt;Inputs!$I$45,AJ4&gt;=EDATE(Inputs!$F$30,Inputs!$F$32*12)),0,(Inputs!$I$44*(1+Inputs!$F$36)^INT(DATEDIF(Inputs!$I$45,AJ4,"m")/12))/12))*Scenarios!$B$22,"")</f>
        <v>0</v>
      </c>
      <c r="AK18" s="489">
        <f>IFERROR((IF(OR(AK4&lt;Inputs!$I$45,AK4&gt;=EDATE(Inputs!$F$30,Inputs!$F$32*12)),0,(Inputs!$I$44*(1+Inputs!$F$36)^INT(DATEDIF(Inputs!$I$45,AK4,"m")/12))/12))*Scenarios!$B$22,"")</f>
        <v>0</v>
      </c>
      <c r="AL18" s="489">
        <f>IFERROR((IF(OR(AL4&lt;Inputs!$I$45,AL4&gt;=EDATE(Inputs!$F$30,Inputs!$F$32*12)),0,(Inputs!$I$44*(1+Inputs!$F$36)^INT(DATEDIF(Inputs!$I$45,AL4,"m")/12))/12))*Scenarios!$B$22,"")</f>
        <v>0</v>
      </c>
      <c r="AM18" s="489">
        <f>IFERROR((IF(OR(AM4&lt;Inputs!$I$45,AM4&gt;=EDATE(Inputs!$F$30,Inputs!$F$32*12)),0,(Inputs!$I$44*(1+Inputs!$F$36)^INT(DATEDIF(Inputs!$I$45,AM4,"m")/12))/12))*Scenarios!$B$22,"")</f>
        <v>0</v>
      </c>
      <c r="AN18" s="489">
        <f>IFERROR((IF(OR(AN4&lt;Inputs!$I$45,AN4&gt;=EDATE(Inputs!$F$30,Inputs!$F$32*12)),0,(Inputs!$I$44*(1+Inputs!$F$36)^INT(DATEDIF(Inputs!$I$45,AN4,"m")/12))/12))*Scenarios!$B$22,"")</f>
        <v>0</v>
      </c>
      <c r="AO18" s="489">
        <f>IFERROR((IF(OR(AO4&lt;Inputs!$I$45,AO4&gt;=EDATE(Inputs!$F$30,Inputs!$F$32*12)),0,(Inputs!$I$44*(1+Inputs!$F$36)^INT(DATEDIF(Inputs!$I$45,AO4,"m")/12))/12))*Scenarios!$B$22,"")</f>
        <v>0</v>
      </c>
      <c r="AP18" s="489">
        <f>IFERROR((IF(OR(AP4&lt;Inputs!$I$45,AP4&gt;=EDATE(Inputs!$F$30,Inputs!$F$32*12)),0,(Inputs!$I$44*(1+Inputs!$F$36)^INT(DATEDIF(Inputs!$I$45,AP4,"m")/12))/12))*Scenarios!$B$22,"")</f>
        <v>0</v>
      </c>
      <c r="AQ18" s="489">
        <f>IFERROR((IF(OR(AQ4&lt;Inputs!$I$45,AQ4&gt;=EDATE(Inputs!$F$30,Inputs!$F$32*12)),0,(Inputs!$I$44*(1+Inputs!$F$36)^INT(DATEDIF(Inputs!$I$45,AQ4,"m")/12))/12))*Scenarios!$B$22,"")</f>
        <v>0</v>
      </c>
      <c r="AR18" s="489">
        <f>IFERROR((IF(OR(AR4&lt;Inputs!$I$45,AR4&gt;=EDATE(Inputs!$F$30,Inputs!$F$32*12)),0,(Inputs!$I$44*(1+Inputs!$F$36)^INT(DATEDIF(Inputs!$I$45,AR4,"m")/12))/12))*Scenarios!$B$22,"")</f>
        <v>0</v>
      </c>
      <c r="AS18" s="489">
        <f>IFERROR((IF(OR(AS4&lt;Inputs!$I$45,AS4&gt;=EDATE(Inputs!$F$30,Inputs!$F$32*12)),0,(Inputs!$I$44*(1+Inputs!$F$36)^INT(DATEDIF(Inputs!$I$45,AS4,"m")/12))/12))*Scenarios!$B$22,"")</f>
        <v>0</v>
      </c>
      <c r="AT18" s="489">
        <f>IFERROR((IF(OR(AT4&lt;Inputs!$I$45,AT4&gt;=EDATE(Inputs!$F$30,Inputs!$F$32*12)),0,(Inputs!$I$44*(1+Inputs!$F$36)^INT(DATEDIF(Inputs!$I$45,AT4,"m")/12))/12))*Scenarios!$B$22,"")</f>
        <v>0</v>
      </c>
      <c r="AU18" s="489">
        <f>IFERROR((IF(OR(AU4&lt;Inputs!$I$45,AU4&gt;=EDATE(Inputs!$F$30,Inputs!$F$32*12)),0,(Inputs!$I$44*(1+Inputs!$F$36)^INT(DATEDIF(Inputs!$I$45,AU4,"m")/12))/12))*Scenarios!$B$22,"")</f>
        <v>0</v>
      </c>
      <c r="AV18" s="489">
        <f>IFERROR((IF(OR(AV4&lt;Inputs!$I$45,AV4&gt;=EDATE(Inputs!$F$30,Inputs!$F$32*12)),0,(Inputs!$I$44*(1+Inputs!$F$36)^INT(DATEDIF(Inputs!$I$45,AV4,"m")/12))/12))*Scenarios!$B$22,"")</f>
        <v>0</v>
      </c>
      <c r="AW18" s="489">
        <f>IFERROR((IF(OR(AW4&lt;Inputs!$I$45,AW4&gt;=EDATE(Inputs!$F$30,Inputs!$F$32*12)),0,(Inputs!$I$44*(1+Inputs!$F$36)^INT(DATEDIF(Inputs!$I$45,AW4,"m")/12))/12))*Scenarios!$B$22,"")</f>
        <v>0</v>
      </c>
      <c r="AX18" s="489">
        <f>IFERROR((IF(OR(AX4&lt;Inputs!$I$45,AX4&gt;=EDATE(Inputs!$F$30,Inputs!$F$32*12)),0,(Inputs!$I$44*(1+Inputs!$F$36)^INT(DATEDIF(Inputs!$I$45,AX4,"m")/12))/12))*Scenarios!$B$22,"")</f>
        <v>0</v>
      </c>
      <c r="AY18" s="489">
        <f>IFERROR((IF(OR(AY4&lt;Inputs!$I$45,AY4&gt;=EDATE(Inputs!$F$30,Inputs!$F$32*12)),0,(Inputs!$I$44*(1+Inputs!$F$36)^INT(DATEDIF(Inputs!$I$45,AY4,"m")/12))/12))*Scenarios!$B$22,"")</f>
        <v>0</v>
      </c>
      <c r="AZ18" s="489">
        <f>IFERROR((IF(OR(AZ4&lt;Inputs!$I$45,AZ4&gt;=EDATE(Inputs!$F$30,Inputs!$F$32*12)),0,(Inputs!$I$44*(1+Inputs!$F$36)^INT(DATEDIF(Inputs!$I$45,AZ4,"m")/12))/12))*Scenarios!$B$22,"")</f>
        <v>0</v>
      </c>
      <c r="BA18" s="489">
        <f>IFERROR((IF(OR(BA4&lt;Inputs!$I$45,BA4&gt;=EDATE(Inputs!$F$30,Inputs!$F$32*12)),0,(Inputs!$I$44*(1+Inputs!$F$36)^INT(DATEDIF(Inputs!$I$45,BA4,"m")/12))/12))*Scenarios!$B$22,"")</f>
        <v>0</v>
      </c>
      <c r="BB18" s="489">
        <f>IFERROR((IF(OR(BB4&lt;Inputs!$I$45,BB4&gt;=EDATE(Inputs!$F$30,Inputs!$F$32*12)),0,(Inputs!$I$44*(1+Inputs!$F$36)^INT(DATEDIF(Inputs!$I$45,BB4,"m")/12))/12))*Scenarios!$B$22,"")</f>
        <v>0</v>
      </c>
      <c r="BC18" s="489">
        <f>IFERROR((IF(OR(BC4&lt;Inputs!$I$45,BC4&gt;=EDATE(Inputs!$F$30,Inputs!$F$32*12)),0,(Inputs!$I$44*(1+Inputs!$F$36)^INT(DATEDIF(Inputs!$I$45,BC4,"m")/12))/12))*Scenarios!$B$22,"")</f>
        <v>0</v>
      </c>
      <c r="BD18" s="489">
        <f>IFERROR((IF(OR(BD4&lt;Inputs!$I$45,BD4&gt;=EDATE(Inputs!$F$30,Inputs!$F$32*12)),0,(Inputs!$I$44*(1+Inputs!$F$36)^INT(DATEDIF(Inputs!$I$45,BD4,"m")/12))/12))*Scenarios!$B$22,"")</f>
        <v>0</v>
      </c>
      <c r="BE18" s="489">
        <f>IFERROR((IF(OR(BE4&lt;Inputs!$I$45,BE4&gt;=EDATE(Inputs!$F$30,Inputs!$F$32*12)),0,(Inputs!$I$44*(1+Inputs!$F$36)^INT(DATEDIF(Inputs!$I$45,BE4,"m")/12))/12))*Scenarios!$B$22,"")</f>
        <v>0</v>
      </c>
      <c r="BF18" s="489">
        <f>IFERROR((IF(OR(BF4&lt;Inputs!$I$45,BF4&gt;=EDATE(Inputs!$F$30,Inputs!$F$32*12)),0,(Inputs!$I$44*(1+Inputs!$F$36)^INT(DATEDIF(Inputs!$I$45,BF4,"m")/12))/12))*Scenarios!$B$22,"")</f>
        <v>0</v>
      </c>
      <c r="BG18" s="489">
        <f>IFERROR((IF(OR(BG4&lt;Inputs!$I$45,BG4&gt;=EDATE(Inputs!$F$30,Inputs!$F$32*12)),0,(Inputs!$I$44*(1+Inputs!$F$36)^INT(DATEDIF(Inputs!$I$45,BG4,"m")/12))/12))*Scenarios!$B$22,"")</f>
        <v>0</v>
      </c>
      <c r="BH18" s="489">
        <f>IFERROR((IF(OR(BH4&lt;Inputs!$I$45,BH4&gt;=EDATE(Inputs!$F$30,Inputs!$F$32*12)),0,(Inputs!$I$44*(1+Inputs!$F$36)^INT(DATEDIF(Inputs!$I$45,BH4,"m")/12))/12))*Scenarios!$B$22,"")</f>
        <v>0</v>
      </c>
      <c r="BI18" s="489">
        <f>IFERROR((IF(OR(BI4&lt;Inputs!$I$45,BI4&gt;=EDATE(Inputs!$F$30,Inputs!$F$32*12)),0,(Inputs!$I$44*(1+Inputs!$F$36)^INT(DATEDIF(Inputs!$I$45,BI4,"m")/12))/12))*Scenarios!$B$22,"")</f>
        <v>0</v>
      </c>
      <c r="BJ18" s="489">
        <f>IFERROR((IF(OR(BJ4&lt;Inputs!$I$45,BJ4&gt;=EDATE(Inputs!$F$30,Inputs!$F$32*12)),0,(Inputs!$I$44*(1+Inputs!$F$36)^INT(DATEDIF(Inputs!$I$45,BJ4,"m")/12))/12))*Scenarios!$B$22,"")</f>
        <v>0</v>
      </c>
      <c r="BK18" s="489">
        <f>IFERROR((IF(OR(BK4&lt;Inputs!$I$45,BK4&gt;=EDATE(Inputs!$F$30,Inputs!$F$32*12)),0,(Inputs!$I$44*(1+Inputs!$F$36)^INT(DATEDIF(Inputs!$I$45,BK4,"m")/12))/12))*Scenarios!$B$22,"")</f>
        <v>0</v>
      </c>
      <c r="BL18" s="489">
        <f>IFERROR((IF(OR(BL4&lt;Inputs!$I$45,BL4&gt;=EDATE(Inputs!$F$30,Inputs!$F$32*12)),0,(Inputs!$I$44*(1+Inputs!$F$36)^INT(DATEDIF(Inputs!$I$45,BL4,"m")/12))/12))*Scenarios!$B$22,"")</f>
        <v>0</v>
      </c>
      <c r="BM18" s="489">
        <f>IFERROR((IF(OR(BM4&lt;Inputs!$I$45,BM4&gt;=EDATE(Inputs!$F$30,Inputs!$F$32*12)),0,(Inputs!$I$44*(1+Inputs!$F$36)^INT(DATEDIF(Inputs!$I$45,BM4,"m")/12))/12))*Scenarios!$B$22,"")</f>
        <v>0</v>
      </c>
      <c r="BN18" s="489">
        <f>IFERROR((IF(OR(BN4&lt;Inputs!$I$45,BN4&gt;=EDATE(Inputs!$F$30,Inputs!$F$32*12)),0,(Inputs!$I$44*(1+Inputs!$F$36)^INT(DATEDIF(Inputs!$I$45,BN4,"m")/12))/12))*Scenarios!$B$22,"")</f>
        <v>0</v>
      </c>
      <c r="BO18" s="489">
        <f>IFERROR((IF(OR(BO4&lt;Inputs!$I$45,BO4&gt;=EDATE(Inputs!$F$30,Inputs!$F$32*12)),0,(Inputs!$I$44*(1+Inputs!$F$36)^INT(DATEDIF(Inputs!$I$45,BO4,"m")/12))/12))*Scenarios!$B$22,"")</f>
        <v>0</v>
      </c>
      <c r="BP18" s="489">
        <f>IFERROR((IF(OR(BP4&lt;Inputs!$I$45,BP4&gt;=EDATE(Inputs!$F$30,Inputs!$F$32*12)),0,(Inputs!$I$44*(1+Inputs!$F$36)^INT(DATEDIF(Inputs!$I$45,BP4,"m")/12))/12))*Scenarios!$B$22,"")</f>
        <v>0</v>
      </c>
      <c r="BQ18" s="489">
        <f>IFERROR((IF(OR(BQ4&lt;Inputs!$I$45,BQ4&gt;=EDATE(Inputs!$F$30,Inputs!$F$32*12)),0,(Inputs!$I$44*(1+Inputs!$F$36)^INT(DATEDIF(Inputs!$I$45,BQ4,"m")/12))/12))*Scenarios!$B$22,"")</f>
        <v>0</v>
      </c>
      <c r="BR18" s="489">
        <f>IFERROR((IF(OR(BR4&lt;Inputs!$I$45,BR4&gt;=EDATE(Inputs!$F$30,Inputs!$F$32*12)),0,(Inputs!$I$44*(1+Inputs!$F$36)^INT(DATEDIF(Inputs!$I$45,BR4,"m")/12))/12))*Scenarios!$B$22,"")</f>
        <v>0</v>
      </c>
      <c r="BS18" s="489">
        <f>IFERROR((IF(OR(BS4&lt;Inputs!$I$45,BS4&gt;=EDATE(Inputs!$F$30,Inputs!$F$32*12)),0,(Inputs!$I$44*(1+Inputs!$F$36)^INT(DATEDIF(Inputs!$I$45,BS4,"m")/12))/12))*Scenarios!$B$22,"")</f>
        <v>0</v>
      </c>
      <c r="BT18" s="489">
        <f>IFERROR((IF(OR(BT4&lt;Inputs!$I$45,BT4&gt;=EDATE(Inputs!$F$30,Inputs!$F$32*12)),0,(Inputs!$I$44*(1+Inputs!$F$36)^INT(DATEDIF(Inputs!$I$45,BT4,"m")/12))/12))*Scenarios!$B$22,"")</f>
        <v>0</v>
      </c>
      <c r="BU18" s="489">
        <f>IFERROR((IF(OR(BU4&lt;Inputs!$I$45,BU4&gt;=EDATE(Inputs!$F$30,Inputs!$F$32*12)),0,(Inputs!$I$44*(1+Inputs!$F$36)^INT(DATEDIF(Inputs!$I$45,BU4,"m")/12))/12))*Scenarios!$B$22,"")</f>
        <v>0</v>
      </c>
      <c r="BV18" s="489">
        <f>IFERROR((IF(OR(BV4&lt;Inputs!$I$45,BV4&gt;=EDATE(Inputs!$F$30,Inputs!$F$32*12)),0,(Inputs!$I$44*(1+Inputs!$F$36)^INT(DATEDIF(Inputs!$I$45,BV4,"m")/12))/12))*Scenarios!$B$22,"")</f>
        <v>0</v>
      </c>
      <c r="BW18" s="489">
        <f>IFERROR((IF(OR(BW4&lt;Inputs!$I$45,BW4&gt;=EDATE(Inputs!$F$30,Inputs!$F$32*12)),0,(Inputs!$I$44*(1+Inputs!$F$36)^INT(DATEDIF(Inputs!$I$45,BW4,"m")/12))/12))*Scenarios!$B$22,"")</f>
        <v>0</v>
      </c>
      <c r="BX18" s="489">
        <f>IFERROR((IF(OR(BX4&lt;Inputs!$I$45,BX4&gt;=EDATE(Inputs!$F$30,Inputs!$F$32*12)),0,(Inputs!$I$44*(1+Inputs!$F$36)^INT(DATEDIF(Inputs!$I$45,BX4,"m")/12))/12))*Scenarios!$B$22,"")</f>
        <v>0</v>
      </c>
      <c r="BY18" s="489">
        <f>IFERROR((IF(OR(BY4&lt;Inputs!$I$45,BY4&gt;=EDATE(Inputs!$F$30,Inputs!$F$32*12)),0,(Inputs!$I$44*(1+Inputs!$F$36)^INT(DATEDIF(Inputs!$I$45,BY4,"m")/12))/12))*Scenarios!$B$22,"")</f>
        <v>0</v>
      </c>
      <c r="BZ18" s="489">
        <f>IFERROR((IF(OR(BZ4&lt;Inputs!$I$45,BZ4&gt;=EDATE(Inputs!$F$30,Inputs!$F$32*12)),0,(Inputs!$I$44*(1+Inputs!$F$36)^INT(DATEDIF(Inputs!$I$45,BZ4,"m")/12))/12))*Scenarios!$B$22,"")</f>
        <v>0</v>
      </c>
      <c r="CA18" s="489">
        <f>IFERROR((IF(OR(CA4&lt;Inputs!$I$45,CA4&gt;=EDATE(Inputs!$F$30,Inputs!$F$32*12)),0,(Inputs!$I$44*(1+Inputs!$F$36)^INT(DATEDIF(Inputs!$I$45,CA4,"m")/12))/12))*Scenarios!$B$22,"")</f>
        <v>0</v>
      </c>
      <c r="CB18" s="489">
        <f>IFERROR((IF(OR(CB4&lt;Inputs!$I$45,CB4&gt;=EDATE(Inputs!$F$30,Inputs!$F$32*12)),0,(Inputs!$I$44*(1+Inputs!$F$36)^INT(DATEDIF(Inputs!$I$45,CB4,"m")/12))/12))*Scenarios!$B$22,"")</f>
        <v>0</v>
      </c>
      <c r="CC18" s="489">
        <f>IFERROR((IF(OR(CC4&lt;Inputs!$I$45,CC4&gt;=EDATE(Inputs!$F$30,Inputs!$F$32*12)),0,(Inputs!$I$44*(1+Inputs!$F$36)^INT(DATEDIF(Inputs!$I$45,CC4,"m")/12))/12))*Scenarios!$B$22,"")</f>
        <v>0</v>
      </c>
      <c r="CD18" s="489">
        <f>IFERROR((IF(OR(CD4&lt;Inputs!$I$45,CD4&gt;=EDATE(Inputs!$F$30,Inputs!$F$32*12)),0,(Inputs!$I$44*(1+Inputs!$F$36)^INT(DATEDIF(Inputs!$I$45,CD4,"m")/12))/12))*Scenarios!$B$22,"")</f>
        <v>0</v>
      </c>
      <c r="CE18" s="489">
        <f>IFERROR((IF(OR(CE4&lt;Inputs!$I$45,CE4&gt;=EDATE(Inputs!$F$30,Inputs!$F$32*12)),0,(Inputs!$I$44*(1+Inputs!$F$36)^INT(DATEDIF(Inputs!$I$45,CE4,"m")/12))/12))*Scenarios!$B$22,"")</f>
        <v>0</v>
      </c>
      <c r="CF18" s="489">
        <f>IFERROR((IF(OR(CF4&lt;Inputs!$I$45,CF4&gt;=EDATE(Inputs!$F$30,Inputs!$F$32*12)),0,(Inputs!$I$44*(1+Inputs!$F$36)^INT(DATEDIF(Inputs!$I$45,CF4,"m")/12))/12))*Scenarios!$B$22,"")</f>
        <v>0</v>
      </c>
      <c r="CG18" s="489">
        <f>IFERROR((IF(OR(CG4&lt;Inputs!$I$45,CG4&gt;=EDATE(Inputs!$F$30,Inputs!$F$32*12)),0,(Inputs!$I$44*(1+Inputs!$F$36)^INT(DATEDIF(Inputs!$I$45,CG4,"m")/12))/12))*Scenarios!$B$22,"")</f>
        <v>0</v>
      </c>
      <c r="CH18" s="489">
        <f>IFERROR((IF(OR(CH4&lt;Inputs!$I$45,CH4&gt;=EDATE(Inputs!$F$30,Inputs!$F$32*12)),0,(Inputs!$I$44*(1+Inputs!$F$36)^INT(DATEDIF(Inputs!$I$45,CH4,"m")/12))/12))*Scenarios!$B$22,"")</f>
        <v>0</v>
      </c>
      <c r="CI18" s="489">
        <f>IFERROR((IF(OR(CI4&lt;Inputs!$I$45,CI4&gt;=EDATE(Inputs!$F$30,Inputs!$F$32*12)),0,(Inputs!$I$44*(1+Inputs!$F$36)^INT(DATEDIF(Inputs!$I$45,CI4,"m")/12))/12))*Scenarios!$B$22,"")</f>
        <v>0</v>
      </c>
      <c r="CJ18" s="489">
        <f>IFERROR((IF(OR(CJ4&lt;Inputs!$I$45,CJ4&gt;=EDATE(Inputs!$F$30,Inputs!$F$32*12)),0,(Inputs!$I$44*(1+Inputs!$F$36)^INT(DATEDIF(Inputs!$I$45,CJ4,"m")/12))/12))*Scenarios!$B$22,"")</f>
        <v>0</v>
      </c>
      <c r="CK18" s="489">
        <f>IFERROR((IF(OR(CK4&lt;Inputs!$I$45,CK4&gt;=EDATE(Inputs!$F$30,Inputs!$F$32*12)),0,(Inputs!$I$44*(1+Inputs!$F$36)^INT(DATEDIF(Inputs!$I$45,CK4,"m")/12))/12))*Scenarios!$B$22,"")</f>
        <v>0</v>
      </c>
      <c r="CL18" s="489">
        <f>IFERROR((IF(OR(CL4&lt;Inputs!$I$45,CL4&gt;=EDATE(Inputs!$F$30,Inputs!$F$32*12)),0,(Inputs!$I$44*(1+Inputs!$F$36)^INT(DATEDIF(Inputs!$I$45,CL4,"m")/12))/12))*Scenarios!$B$22,"")</f>
        <v>0</v>
      </c>
      <c r="CM18" s="489">
        <f>IFERROR((IF(OR(CM4&lt;Inputs!$I$45,CM4&gt;=EDATE(Inputs!$F$30,Inputs!$F$32*12)),0,(Inputs!$I$44*(1+Inputs!$F$36)^INT(DATEDIF(Inputs!$I$45,CM4,"m")/12))/12))*Scenarios!$B$22,"")</f>
        <v>0</v>
      </c>
      <c r="CN18" s="489">
        <f>IFERROR((IF(OR(CN4&lt;Inputs!$I$45,CN4&gt;=EDATE(Inputs!$F$30,Inputs!$F$32*12)),0,(Inputs!$I$44*(1+Inputs!$F$36)^INT(DATEDIF(Inputs!$I$45,CN4,"m")/12))/12))*Scenarios!$B$22,"")</f>
        <v>0</v>
      </c>
      <c r="CO18" s="489">
        <f>IFERROR((IF(OR(CO4&lt;Inputs!$I$45,CO4&gt;=EDATE(Inputs!$F$30,Inputs!$F$32*12)),0,(Inputs!$I$44*(1+Inputs!$F$36)^INT(DATEDIF(Inputs!$I$45,CO4,"m")/12))/12))*Scenarios!$B$22,"")</f>
        <v>0</v>
      </c>
      <c r="CP18" s="489">
        <f>IFERROR((IF(OR(CP4&lt;Inputs!$I$45,CP4&gt;=EDATE(Inputs!$F$30,Inputs!$F$32*12)),0,(Inputs!$I$44*(1+Inputs!$F$36)^INT(DATEDIF(Inputs!$I$45,CP4,"m")/12))/12))*Scenarios!$B$22,"")</f>
        <v>0</v>
      </c>
      <c r="CQ18" s="489">
        <f>IFERROR((IF(OR(CQ4&lt;Inputs!$I$45,CQ4&gt;=EDATE(Inputs!$F$30,Inputs!$F$32*12)),0,(Inputs!$I$44*(1+Inputs!$F$36)^INT(DATEDIF(Inputs!$I$45,CQ4,"m")/12))/12))*Scenarios!$B$22,"")</f>
        <v>0</v>
      </c>
      <c r="CR18" s="489">
        <f>IFERROR((IF(OR(CR4&lt;Inputs!$I$45,CR4&gt;=EDATE(Inputs!$F$30,Inputs!$F$32*12)),0,(Inputs!$I$44*(1+Inputs!$F$36)^INT(DATEDIF(Inputs!$I$45,CR4,"m")/12))/12))*Scenarios!$B$22,"")</f>
        <v>0</v>
      </c>
      <c r="CS18" s="489">
        <f>IFERROR((IF(OR(CS4&lt;Inputs!$I$45,CS4&gt;=EDATE(Inputs!$F$30,Inputs!$F$32*12)),0,(Inputs!$I$44*(1+Inputs!$F$36)^INT(DATEDIF(Inputs!$I$45,CS4,"m")/12))/12))*Scenarios!$B$22,"")</f>
        <v>0</v>
      </c>
      <c r="CT18" s="489">
        <f>IFERROR((IF(OR(CT4&lt;Inputs!$I$45,CT4&gt;=EDATE(Inputs!$F$30,Inputs!$F$32*12)),0,(Inputs!$I$44*(1+Inputs!$F$36)^INT(DATEDIF(Inputs!$I$45,CT4,"m")/12))/12))*Scenarios!$B$22,"")</f>
        <v>0</v>
      </c>
      <c r="CU18" s="489">
        <f>IFERROR((IF(OR(CU4&lt;Inputs!$I$45,CU4&gt;=EDATE(Inputs!$F$30,Inputs!$F$32*12)),0,(Inputs!$I$44*(1+Inputs!$F$36)^INT(DATEDIF(Inputs!$I$45,CU4,"m")/12))/12))*Scenarios!$B$22,"")</f>
        <v>0</v>
      </c>
      <c r="CV18" s="489">
        <f>IFERROR((IF(OR(CV4&lt;Inputs!$I$45,CV4&gt;=EDATE(Inputs!$F$30,Inputs!$F$32*12)),0,(Inputs!$I$44*(1+Inputs!$F$36)^INT(DATEDIF(Inputs!$I$45,CV4,"m")/12))/12))*Scenarios!$B$22,"")</f>
        <v>0</v>
      </c>
      <c r="CW18" s="489">
        <f>IFERROR((IF(OR(CW4&lt;Inputs!$I$45,CW4&gt;=EDATE(Inputs!$F$30,Inputs!$F$32*12)),0,(Inputs!$I$44*(1+Inputs!$F$36)^INT(DATEDIF(Inputs!$I$45,CW4,"m")/12))/12))*Scenarios!$B$22,"")</f>
        <v>0</v>
      </c>
      <c r="CX18" s="489">
        <f>IFERROR((IF(OR(CX4&lt;Inputs!$I$45,CX4&gt;=EDATE(Inputs!$F$30,Inputs!$F$32*12)),0,(Inputs!$I$44*(1+Inputs!$F$36)^INT(DATEDIF(Inputs!$I$45,CX4,"m")/12))/12))*Scenarios!$B$22,"")</f>
        <v>0</v>
      </c>
      <c r="CY18" s="489">
        <f>IFERROR((IF(OR(CY4&lt;Inputs!$I$45,CY4&gt;=EDATE(Inputs!$F$30,Inputs!$F$32*12)),0,(Inputs!$I$44*(1+Inputs!$F$36)^INT(DATEDIF(Inputs!$I$45,CY4,"m")/12))/12))*Scenarios!$B$22,"")</f>
        <v>0</v>
      </c>
      <c r="CZ18" s="489">
        <f>IFERROR((IF(OR(CZ4&lt;Inputs!$I$45,CZ4&gt;=EDATE(Inputs!$F$30,Inputs!$F$32*12)),0,(Inputs!$I$44*(1+Inputs!$F$36)^INT(DATEDIF(Inputs!$I$45,CZ4,"m")/12))/12))*Scenarios!$B$22,"")</f>
        <v>0</v>
      </c>
      <c r="DA18" s="489">
        <f>IFERROR((IF(OR(DA4&lt;Inputs!$I$45,DA4&gt;=EDATE(Inputs!$F$30,Inputs!$F$32*12)),0,(Inputs!$I$44*(1+Inputs!$F$36)^INT(DATEDIF(Inputs!$I$45,DA4,"m")/12))/12))*Scenarios!$B$22,"")</f>
        <v>0</v>
      </c>
      <c r="DB18" s="489">
        <f>IFERROR((IF(OR(DB4&lt;Inputs!$I$45,DB4&gt;=EDATE(Inputs!$F$30,Inputs!$F$32*12)),0,(Inputs!$I$44*(1+Inputs!$F$36)^INT(DATEDIF(Inputs!$I$45,DB4,"m")/12))/12))*Scenarios!$B$22,"")</f>
        <v>0</v>
      </c>
      <c r="DC18" s="489">
        <f>IFERROR((IF(OR(DC4&lt;Inputs!$I$45,DC4&gt;=EDATE(Inputs!$F$30,Inputs!$F$32*12)),0,(Inputs!$I$44*(1+Inputs!$F$36)^INT(DATEDIF(Inputs!$I$45,DC4,"m")/12))/12))*Scenarios!$B$22,"")</f>
        <v>0</v>
      </c>
      <c r="DD18" s="489">
        <f>IFERROR((IF(OR(DD4&lt;Inputs!$I$45,DD4&gt;=EDATE(Inputs!$F$30,Inputs!$F$32*12)),0,(Inputs!$I$44*(1+Inputs!$F$36)^INT(DATEDIF(Inputs!$I$45,DD4,"m")/12))/12))*Scenarios!$B$22,"")</f>
        <v>0</v>
      </c>
      <c r="DE18" s="489">
        <f>IFERROR((IF(OR(DE4&lt;Inputs!$I$45,DE4&gt;=EDATE(Inputs!$F$30,Inputs!$F$32*12)),0,(Inputs!$I$44*(1+Inputs!$F$36)^INT(DATEDIF(Inputs!$I$45,DE4,"m")/12))/12))*Scenarios!$B$22,"")</f>
        <v>0</v>
      </c>
      <c r="DF18" s="489">
        <f>IFERROR((IF(OR(DF4&lt;Inputs!$I$45,DF4&gt;=EDATE(Inputs!$F$30,Inputs!$F$32*12)),0,(Inputs!$I$44*(1+Inputs!$F$36)^INT(DATEDIF(Inputs!$I$45,DF4,"m")/12))/12))*Scenarios!$B$22,"")</f>
        <v>0</v>
      </c>
      <c r="DG18" s="489">
        <f>IFERROR((IF(OR(DG4&lt;Inputs!$I$45,DG4&gt;=EDATE(Inputs!$F$30,Inputs!$F$32*12)),0,(Inputs!$I$44*(1+Inputs!$F$36)^INT(DATEDIF(Inputs!$I$45,DG4,"m")/12))/12))*Scenarios!$B$22,"")</f>
        <v>0</v>
      </c>
      <c r="DH18" s="489">
        <f>IFERROR((IF(OR(DH4&lt;Inputs!$I$45,DH4&gt;=EDATE(Inputs!$F$30,Inputs!$F$32*12)),0,(Inputs!$I$44*(1+Inputs!$F$36)^INT(DATEDIF(Inputs!$I$45,DH4,"m")/12))/12))*Scenarios!$B$22,"")</f>
        <v>0</v>
      </c>
      <c r="DI18" s="489">
        <f>IFERROR((IF(OR(DI4&lt;Inputs!$I$45,DI4&gt;=EDATE(Inputs!$F$30,Inputs!$F$32*12)),0,(Inputs!$I$44*(1+Inputs!$F$36)^INT(DATEDIF(Inputs!$I$45,DI4,"m")/12))/12))*Scenarios!$B$22,"")</f>
        <v>0</v>
      </c>
      <c r="DJ18" s="489">
        <f>IFERROR((IF(OR(DJ4&lt;Inputs!$I$45,DJ4&gt;=EDATE(Inputs!$F$30,Inputs!$F$32*12)),0,(Inputs!$I$44*(1+Inputs!$F$36)^INT(DATEDIF(Inputs!$I$45,DJ4,"m")/12))/12))*Scenarios!$B$22,"")</f>
        <v>0</v>
      </c>
      <c r="DK18" s="489">
        <f>IFERROR((IF(OR(DK4&lt;Inputs!$I$45,DK4&gt;=EDATE(Inputs!$F$30,Inputs!$F$32*12)),0,(Inputs!$I$44*(1+Inputs!$F$36)^INT(DATEDIF(Inputs!$I$45,DK4,"m")/12))/12))*Scenarios!$B$22,"")</f>
        <v>0</v>
      </c>
      <c r="DL18" s="489">
        <f>IFERROR((IF(OR(DL4&lt;Inputs!$I$45,DL4&gt;=EDATE(Inputs!$F$30,Inputs!$F$32*12)),0,(Inputs!$I$44*(1+Inputs!$F$36)^INT(DATEDIF(Inputs!$I$45,DL4,"m")/12))/12))*Scenarios!$B$22,"")</f>
        <v>0</v>
      </c>
      <c r="DM18" s="489">
        <f>IFERROR((IF(OR(DM4&lt;Inputs!$I$45,DM4&gt;=EDATE(Inputs!$F$30,Inputs!$F$32*12)),0,(Inputs!$I$44*(1+Inputs!$F$36)^INT(DATEDIF(Inputs!$I$45,DM4,"m")/12))/12))*Scenarios!$B$22,"")</f>
        <v>0</v>
      </c>
      <c r="DN18" s="489">
        <f>IFERROR((IF(OR(DN4&lt;Inputs!$I$45,DN4&gt;=EDATE(Inputs!$F$30,Inputs!$F$32*12)),0,(Inputs!$I$44*(1+Inputs!$F$36)^INT(DATEDIF(Inputs!$I$45,DN4,"m")/12))/12))*Scenarios!$B$22,"")</f>
        <v>0</v>
      </c>
      <c r="DO18" s="489">
        <f>IFERROR((IF(OR(DO4&lt;Inputs!$I$45,DO4&gt;=EDATE(Inputs!$F$30,Inputs!$F$32*12)),0,(Inputs!$I$44*(1+Inputs!$F$36)^INT(DATEDIF(Inputs!$I$45,DO4,"m")/12))/12))*Scenarios!$B$22,"")</f>
        <v>0</v>
      </c>
      <c r="DP18" s="489">
        <f>IFERROR((IF(OR(DP4&lt;Inputs!$I$45,DP4&gt;=EDATE(Inputs!$F$30,Inputs!$F$32*12)),0,(Inputs!$I$44*(1+Inputs!$F$36)^INT(DATEDIF(Inputs!$I$45,DP4,"m")/12))/12))*Scenarios!$B$22,"")</f>
        <v>0</v>
      </c>
      <c r="DQ18" s="489">
        <f>IFERROR((IF(OR(DQ4&lt;Inputs!$I$45,DQ4&gt;=EDATE(Inputs!$F$30,Inputs!$F$32*12)),0,(Inputs!$I$44*(1+Inputs!$F$36)^INT(DATEDIF(Inputs!$I$45,DQ4,"m")/12))/12))*Scenarios!$B$22,"")</f>
        <v>0</v>
      </c>
      <c r="DR18" s="489">
        <f>IFERROR((IF(OR(DR4&lt;Inputs!$I$45,DR4&gt;=EDATE(Inputs!$F$30,Inputs!$F$32*12)),0,(Inputs!$I$44*(1+Inputs!$F$36)^INT(DATEDIF(Inputs!$I$45,DR4,"m")/12))/12))*Scenarios!$B$22,"")</f>
        <v>0</v>
      </c>
      <c r="DS18" s="489">
        <f>IFERROR((IF(OR(DS4&lt;Inputs!$I$45,DS4&gt;=EDATE(Inputs!$F$30,Inputs!$F$32*12)),0,(Inputs!$I$44*(1+Inputs!$F$36)^INT(DATEDIF(Inputs!$I$45,DS4,"m")/12))/12))*Scenarios!$B$22,"")</f>
        <v>0</v>
      </c>
      <c r="DT18" s="489">
        <f>IFERROR((IF(OR(DT4&lt;Inputs!$I$45,DT4&gt;=EDATE(Inputs!$F$30,Inputs!$F$32*12)),0,(Inputs!$I$44*(1+Inputs!$F$36)^INT(DATEDIF(Inputs!$I$45,DT4,"m")/12))/12))*Scenarios!$B$22,"")</f>
        <v>0</v>
      </c>
      <c r="DU18" s="489">
        <f>IFERROR((IF(OR(DU4&lt;Inputs!$I$45,DU4&gt;=EDATE(Inputs!$F$30,Inputs!$F$32*12)),0,(Inputs!$I$44*(1+Inputs!$F$36)^INT(DATEDIF(Inputs!$I$45,DU4,"m")/12))/12))*Scenarios!$B$22,"")</f>
        <v>0</v>
      </c>
      <c r="DV18" s="489">
        <f>IFERROR((IF(OR(DV4&lt;Inputs!$I$45,DV4&gt;=EDATE(Inputs!$F$30,Inputs!$F$32*12)),0,(Inputs!$I$44*(1+Inputs!$F$36)^INT(DATEDIF(Inputs!$I$45,DV4,"m")/12))/12))*Scenarios!$B$22,"")</f>
        <v>0</v>
      </c>
      <c r="DW18" s="489">
        <f>IFERROR((IF(OR(DW4&lt;Inputs!$I$45,DW4&gt;=EDATE(Inputs!$F$30,Inputs!$F$32*12)),0,(Inputs!$I$44*(1+Inputs!$F$36)^INT(DATEDIF(Inputs!$I$45,DW4,"m")/12))/12))*Scenarios!$B$22,"")</f>
        <v>0</v>
      </c>
      <c r="DX18" s="489">
        <f>IFERROR((IF(OR(DX4&lt;Inputs!$I$45,DX4&gt;=EDATE(Inputs!$F$30,Inputs!$F$32*12)),0,(Inputs!$I$44*(1+Inputs!$F$36)^INT(DATEDIF(Inputs!$I$45,DX4,"m")/12))/12))*Scenarios!$B$22,"")</f>
        <v>0</v>
      </c>
      <c r="DY18" s="489">
        <f>IFERROR((IF(OR(DY4&lt;Inputs!$I$45,DY4&gt;=EDATE(Inputs!$F$30,Inputs!$F$32*12)),0,(Inputs!$I$44*(1+Inputs!$F$36)^INT(DATEDIF(Inputs!$I$45,DY4,"m")/12))/12))*Scenarios!$B$22,"")</f>
        <v>0</v>
      </c>
      <c r="DZ18" s="489">
        <f>IFERROR((IF(OR(DZ4&lt;Inputs!$I$45,DZ4&gt;=EDATE(Inputs!$F$30,Inputs!$F$32*12)),0,(Inputs!$I$44*(1+Inputs!$F$36)^INT(DATEDIF(Inputs!$I$45,DZ4,"m")/12))/12))*Scenarios!$B$22,"")</f>
        <v>0</v>
      </c>
      <c r="EA18" s="489">
        <f>IFERROR((IF(OR(EA4&lt;Inputs!$I$45,EA4&gt;=EDATE(Inputs!$F$30,Inputs!$F$32*12)),0,(Inputs!$I$44*(1+Inputs!$F$36)^INT(DATEDIF(Inputs!$I$45,EA4,"m")/12))/12))*Scenarios!$B$22,"")</f>
        <v>0</v>
      </c>
      <c r="EB18" s="489">
        <f>IFERROR((IF(OR(EB4&lt;Inputs!$I$45,EB4&gt;=EDATE(Inputs!$F$30,Inputs!$F$32*12)),0,(Inputs!$I$44*(1+Inputs!$F$36)^INT(DATEDIF(Inputs!$I$45,EB4,"m")/12))/12))*Scenarios!$B$22,"")</f>
        <v>0</v>
      </c>
      <c r="EC18" s="489">
        <f>IFERROR((IF(OR(EC4&lt;Inputs!$I$45,EC4&gt;=EDATE(Inputs!$F$30,Inputs!$F$32*12)),0,(Inputs!$I$44*(1+Inputs!$F$36)^INT(DATEDIF(Inputs!$I$45,EC4,"m")/12))/12))*Scenarios!$B$22,"")</f>
        <v>0</v>
      </c>
      <c r="ED18" s="489">
        <f>IFERROR((IF(OR(ED4&lt;Inputs!$I$45,ED4&gt;=EDATE(Inputs!$F$30,Inputs!$F$32*12)),0,(Inputs!$I$44*(1+Inputs!$F$36)^INT(DATEDIF(Inputs!$I$45,ED4,"m")/12))/12))*Scenarios!$B$22,"")</f>
        <v>0</v>
      </c>
      <c r="EE18" s="489">
        <f>IFERROR((IF(OR(EE4&lt;Inputs!$I$45,EE4&gt;=EDATE(Inputs!$F$30,Inputs!$F$32*12)),0,(Inputs!$I$44*(1+Inputs!$F$36)^INT(DATEDIF(Inputs!$I$45,EE4,"m")/12))/12))*Scenarios!$B$22,"")</f>
        <v>0</v>
      </c>
      <c r="EF18" s="489">
        <f>IFERROR((IF(OR(EF4&lt;Inputs!$I$45,EF4&gt;=EDATE(Inputs!$F$30,Inputs!$F$32*12)),0,(Inputs!$I$44*(1+Inputs!$F$36)^INT(DATEDIF(Inputs!$I$45,EF4,"m")/12))/12))*Scenarios!$B$22,"")</f>
        <v>0</v>
      </c>
      <c r="EG18" s="489">
        <f>IFERROR((IF(OR(EG4&lt;Inputs!$I$45,EG4&gt;=EDATE(Inputs!$F$30,Inputs!$F$32*12)),0,(Inputs!$I$44*(1+Inputs!$F$36)^INT(DATEDIF(Inputs!$I$45,EG4,"m")/12))/12))*Scenarios!$B$22,"")</f>
        <v>0</v>
      </c>
      <c r="EH18" s="489">
        <f>IFERROR((IF(OR(EH4&lt;Inputs!$I$45,EH4&gt;=EDATE(Inputs!$F$30,Inputs!$F$32*12)),0,(Inputs!$I$44*(1+Inputs!$F$36)^INT(DATEDIF(Inputs!$I$45,EH4,"m")/12))/12))*Scenarios!$B$22,"")</f>
        <v>0</v>
      </c>
      <c r="EI18" s="489">
        <f>IFERROR((IF(OR(EI4&lt;Inputs!$I$45,EI4&gt;=EDATE(Inputs!$F$30,Inputs!$F$32*12)),0,(Inputs!$I$44*(1+Inputs!$F$36)^INT(DATEDIF(Inputs!$I$45,EI4,"m")/12))/12))*Scenarios!$B$22,"")</f>
        <v>0</v>
      </c>
      <c r="EJ18" s="489">
        <f>IFERROR((IF(OR(EJ4&lt;Inputs!$I$45,EJ4&gt;=EDATE(Inputs!$F$30,Inputs!$F$32*12)),0,(Inputs!$I$44*(1+Inputs!$F$36)^INT(DATEDIF(Inputs!$I$45,EJ4,"m")/12))/12))*Scenarios!$B$22,"")</f>
        <v>0</v>
      </c>
      <c r="EK18" s="489">
        <f>IFERROR((IF(OR(EK4&lt;Inputs!$I$45,EK4&gt;=EDATE(Inputs!$F$30,Inputs!$F$32*12)),0,(Inputs!$I$44*(1+Inputs!$F$36)^INT(DATEDIF(Inputs!$I$45,EK4,"m")/12))/12))*Scenarios!$B$22,"")</f>
        <v>0</v>
      </c>
      <c r="EL18" s="489">
        <f>IFERROR((IF(OR(EL4&lt;Inputs!$I$45,EL4&gt;=EDATE(Inputs!$F$30,Inputs!$F$32*12)),0,(Inputs!$I$44*(1+Inputs!$F$36)^INT(DATEDIF(Inputs!$I$45,EL4,"m")/12))/12))*Scenarios!$B$22,"")</f>
        <v>0</v>
      </c>
      <c r="EM18" s="489">
        <f>IFERROR((IF(OR(EM4&lt;Inputs!$I$45,EM4&gt;=EDATE(Inputs!$F$30,Inputs!$F$32*12)),0,(Inputs!$I$44*(1+Inputs!$F$36)^INT(DATEDIF(Inputs!$I$45,EM4,"m")/12))/12))*Scenarios!$B$22,"")</f>
        <v>0</v>
      </c>
      <c r="EN18" s="489">
        <f>IFERROR((IF(OR(EN4&lt;Inputs!$I$45,EN4&gt;=EDATE(Inputs!$F$30,Inputs!$F$32*12)),0,(Inputs!$I$44*(1+Inputs!$F$36)^INT(DATEDIF(Inputs!$I$45,EN4,"m")/12))/12))*Scenarios!$B$22,"")</f>
        <v>0</v>
      </c>
    </row>
    <row r="19" spans="1:144" x14ac:dyDescent="0.35">
      <c r="A19" s="72" t="s">
        <v>1660</v>
      </c>
      <c r="B19" s="331"/>
      <c r="C19" s="489">
        <f t="shared" ref="C19:AH19" si="25">IFERROR(C17+C18,"")</f>
        <v>0</v>
      </c>
      <c r="D19" s="489">
        <f t="shared" si="25"/>
        <v>0</v>
      </c>
      <c r="E19" s="489">
        <f t="shared" si="25"/>
        <v>0</v>
      </c>
      <c r="F19" s="489">
        <f t="shared" si="25"/>
        <v>0</v>
      </c>
      <c r="G19" s="489">
        <f t="shared" si="25"/>
        <v>0</v>
      </c>
      <c r="H19" s="489">
        <f t="shared" si="25"/>
        <v>0</v>
      </c>
      <c r="I19" s="489">
        <f t="shared" si="25"/>
        <v>0</v>
      </c>
      <c r="J19" s="489">
        <f t="shared" si="25"/>
        <v>0</v>
      </c>
      <c r="K19" s="489">
        <f t="shared" si="25"/>
        <v>0</v>
      </c>
      <c r="L19" s="489">
        <f t="shared" si="25"/>
        <v>0</v>
      </c>
      <c r="M19" s="489">
        <f t="shared" si="25"/>
        <v>0</v>
      </c>
      <c r="N19" s="489">
        <f t="shared" si="25"/>
        <v>0</v>
      </c>
      <c r="O19" s="489">
        <f t="shared" si="25"/>
        <v>0</v>
      </c>
      <c r="P19" s="489">
        <f t="shared" si="25"/>
        <v>0</v>
      </c>
      <c r="Q19" s="489">
        <f t="shared" si="25"/>
        <v>0</v>
      </c>
      <c r="R19" s="489">
        <f t="shared" si="25"/>
        <v>0</v>
      </c>
      <c r="S19" s="489">
        <f t="shared" si="25"/>
        <v>0</v>
      </c>
      <c r="T19" s="489">
        <f t="shared" si="25"/>
        <v>0</v>
      </c>
      <c r="U19" s="489">
        <f t="shared" si="25"/>
        <v>0</v>
      </c>
      <c r="V19" s="489">
        <f t="shared" si="25"/>
        <v>0</v>
      </c>
      <c r="W19" s="489">
        <f t="shared" si="25"/>
        <v>0</v>
      </c>
      <c r="X19" s="489">
        <f t="shared" si="25"/>
        <v>0</v>
      </c>
      <c r="Y19" s="489">
        <f t="shared" si="25"/>
        <v>0</v>
      </c>
      <c r="Z19" s="489">
        <f t="shared" si="25"/>
        <v>0</v>
      </c>
      <c r="AA19" s="489">
        <f t="shared" si="25"/>
        <v>0</v>
      </c>
      <c r="AB19" s="489">
        <f t="shared" si="25"/>
        <v>0</v>
      </c>
      <c r="AC19" s="489">
        <f t="shared" si="25"/>
        <v>0</v>
      </c>
      <c r="AD19" s="489">
        <f t="shared" si="25"/>
        <v>0</v>
      </c>
      <c r="AE19" s="489">
        <f t="shared" si="25"/>
        <v>0</v>
      </c>
      <c r="AF19" s="489">
        <f t="shared" si="25"/>
        <v>0</v>
      </c>
      <c r="AG19" s="489">
        <f t="shared" si="25"/>
        <v>0</v>
      </c>
      <c r="AH19" s="489">
        <f t="shared" si="25"/>
        <v>0</v>
      </c>
      <c r="AI19" s="489">
        <f t="shared" ref="AI19:BN19" si="26">IFERROR(AI17+AI18,"")</f>
        <v>0</v>
      </c>
      <c r="AJ19" s="489">
        <f t="shared" si="26"/>
        <v>0</v>
      </c>
      <c r="AK19" s="489">
        <f t="shared" si="26"/>
        <v>0</v>
      </c>
      <c r="AL19" s="489">
        <f t="shared" si="26"/>
        <v>0</v>
      </c>
      <c r="AM19" s="489">
        <f t="shared" si="26"/>
        <v>0</v>
      </c>
      <c r="AN19" s="489">
        <f t="shared" si="26"/>
        <v>0</v>
      </c>
      <c r="AO19" s="489">
        <f t="shared" si="26"/>
        <v>0</v>
      </c>
      <c r="AP19" s="489">
        <f t="shared" si="26"/>
        <v>0</v>
      </c>
      <c r="AQ19" s="489">
        <f t="shared" si="26"/>
        <v>0</v>
      </c>
      <c r="AR19" s="489">
        <f t="shared" si="26"/>
        <v>0</v>
      </c>
      <c r="AS19" s="489">
        <f t="shared" si="26"/>
        <v>32500</v>
      </c>
      <c r="AT19" s="489">
        <f t="shared" si="26"/>
        <v>32500</v>
      </c>
      <c r="AU19" s="489">
        <f t="shared" si="26"/>
        <v>32500</v>
      </c>
      <c r="AV19" s="489">
        <f t="shared" si="26"/>
        <v>32500</v>
      </c>
      <c r="AW19" s="489">
        <f t="shared" si="26"/>
        <v>32500</v>
      </c>
      <c r="AX19" s="489">
        <f t="shared" si="26"/>
        <v>32500</v>
      </c>
      <c r="AY19" s="489">
        <f t="shared" si="26"/>
        <v>32500</v>
      </c>
      <c r="AZ19" s="489">
        <f t="shared" si="26"/>
        <v>32500</v>
      </c>
      <c r="BA19" s="489">
        <f t="shared" si="26"/>
        <v>32500</v>
      </c>
      <c r="BB19" s="489">
        <f t="shared" si="26"/>
        <v>32500</v>
      </c>
      <c r="BC19" s="489">
        <f t="shared" si="26"/>
        <v>32500</v>
      </c>
      <c r="BD19" s="489">
        <f t="shared" si="26"/>
        <v>32500</v>
      </c>
      <c r="BE19" s="489">
        <f t="shared" si="26"/>
        <v>33637.499999999993</v>
      </c>
      <c r="BF19" s="489">
        <f t="shared" si="26"/>
        <v>33637.499999999993</v>
      </c>
      <c r="BG19" s="489">
        <f t="shared" si="26"/>
        <v>33637.499999999993</v>
      </c>
      <c r="BH19" s="489">
        <f t="shared" si="26"/>
        <v>33637.499999999993</v>
      </c>
      <c r="BI19" s="489">
        <f t="shared" si="26"/>
        <v>33637.499999999993</v>
      </c>
      <c r="BJ19" s="489">
        <f t="shared" si="26"/>
        <v>33637.499999999993</v>
      </c>
      <c r="BK19" s="489">
        <f t="shared" si="26"/>
        <v>33637.499999999993</v>
      </c>
      <c r="BL19" s="489">
        <f t="shared" si="26"/>
        <v>33637.499999999993</v>
      </c>
      <c r="BM19" s="489">
        <f t="shared" si="26"/>
        <v>33637.499999999993</v>
      </c>
      <c r="BN19" s="489">
        <f t="shared" si="26"/>
        <v>33637.499999999993</v>
      </c>
      <c r="BO19" s="489">
        <f t="shared" ref="BO19:CT19" si="27">IFERROR(BO17+BO18,"")</f>
        <v>33637.499999999993</v>
      </c>
      <c r="BP19" s="489">
        <f t="shared" si="27"/>
        <v>33637.499999999993</v>
      </c>
      <c r="BQ19" s="489">
        <f t="shared" si="27"/>
        <v>34814.812499999993</v>
      </c>
      <c r="BR19" s="489">
        <f t="shared" si="27"/>
        <v>34814.812499999993</v>
      </c>
      <c r="BS19" s="489">
        <f t="shared" si="27"/>
        <v>34814.812499999993</v>
      </c>
      <c r="BT19" s="489">
        <f t="shared" si="27"/>
        <v>34814.812499999993</v>
      </c>
      <c r="BU19" s="489">
        <f t="shared" si="27"/>
        <v>34814.812499999993</v>
      </c>
      <c r="BV19" s="489">
        <f t="shared" si="27"/>
        <v>34814.812499999993</v>
      </c>
      <c r="BW19" s="489">
        <f t="shared" si="27"/>
        <v>34814.812499999993</v>
      </c>
      <c r="BX19" s="489">
        <f t="shared" si="27"/>
        <v>34814.812499999993</v>
      </c>
      <c r="BY19" s="489">
        <f t="shared" si="27"/>
        <v>34814.812499999993</v>
      </c>
      <c r="BZ19" s="489">
        <f t="shared" si="27"/>
        <v>34814.812499999993</v>
      </c>
      <c r="CA19" s="489">
        <f t="shared" si="27"/>
        <v>34814.812499999993</v>
      </c>
      <c r="CB19" s="489">
        <f t="shared" si="27"/>
        <v>34814.812499999993</v>
      </c>
      <c r="CC19" s="489">
        <f t="shared" si="27"/>
        <v>36033.330937499988</v>
      </c>
      <c r="CD19" s="489">
        <f t="shared" si="27"/>
        <v>36033.330937499988</v>
      </c>
      <c r="CE19" s="489">
        <f t="shared" si="27"/>
        <v>36033.330937499988</v>
      </c>
      <c r="CF19" s="489">
        <f t="shared" si="27"/>
        <v>36033.330937499988</v>
      </c>
      <c r="CG19" s="489">
        <f t="shared" si="27"/>
        <v>36033.330937499988</v>
      </c>
      <c r="CH19" s="489">
        <f t="shared" si="27"/>
        <v>36033.330937499988</v>
      </c>
      <c r="CI19" s="489">
        <f t="shared" si="27"/>
        <v>36033.330937499988</v>
      </c>
      <c r="CJ19" s="489">
        <f t="shared" si="27"/>
        <v>36033.330937499988</v>
      </c>
      <c r="CK19" s="489">
        <f t="shared" si="27"/>
        <v>36033.330937499988</v>
      </c>
      <c r="CL19" s="489">
        <f t="shared" si="27"/>
        <v>36033.330937499988</v>
      </c>
      <c r="CM19" s="489">
        <f t="shared" si="27"/>
        <v>36033.330937499988</v>
      </c>
      <c r="CN19" s="489">
        <f t="shared" si="27"/>
        <v>36033.330937499988</v>
      </c>
      <c r="CO19" s="489">
        <f t="shared" si="27"/>
        <v>74588.99504062497</v>
      </c>
      <c r="CP19" s="489">
        <f t="shared" si="27"/>
        <v>74588.99504062497</v>
      </c>
      <c r="CQ19" s="489">
        <f t="shared" si="27"/>
        <v>74588.99504062497</v>
      </c>
      <c r="CR19" s="489">
        <f t="shared" si="27"/>
        <v>74588.99504062497</v>
      </c>
      <c r="CS19" s="489">
        <f t="shared" si="27"/>
        <v>74588.99504062497</v>
      </c>
      <c r="CT19" s="489">
        <f t="shared" si="27"/>
        <v>74588.99504062497</v>
      </c>
      <c r="CU19" s="489">
        <f t="shared" ref="CU19:DZ19" si="28">IFERROR(CU17+CU18,"")</f>
        <v>74588.99504062497</v>
      </c>
      <c r="CV19" s="489">
        <f t="shared" si="28"/>
        <v>74588.99504062497</v>
      </c>
      <c r="CW19" s="489">
        <f t="shared" si="28"/>
        <v>74588.99504062497</v>
      </c>
      <c r="CX19" s="489">
        <f t="shared" si="28"/>
        <v>74588.99504062497</v>
      </c>
      <c r="CY19" s="489">
        <f t="shared" si="28"/>
        <v>74588.99504062497</v>
      </c>
      <c r="CZ19" s="489">
        <f t="shared" si="28"/>
        <v>74588.99504062497</v>
      </c>
      <c r="DA19" s="489">
        <f t="shared" si="28"/>
        <v>77199.609867046835</v>
      </c>
      <c r="DB19" s="489">
        <f t="shared" si="28"/>
        <v>77199.609867046835</v>
      </c>
      <c r="DC19" s="489">
        <f t="shared" si="28"/>
        <v>77199.609867046835</v>
      </c>
      <c r="DD19" s="489">
        <f t="shared" si="28"/>
        <v>77199.609867046835</v>
      </c>
      <c r="DE19" s="489">
        <f t="shared" si="28"/>
        <v>77199.609867046835</v>
      </c>
      <c r="DF19" s="489">
        <f t="shared" si="28"/>
        <v>77199.609867046835</v>
      </c>
      <c r="DG19" s="489">
        <f t="shared" si="28"/>
        <v>77199.609867046835</v>
      </c>
      <c r="DH19" s="489">
        <f t="shared" si="28"/>
        <v>77199.609867046835</v>
      </c>
      <c r="DI19" s="489">
        <f t="shared" si="28"/>
        <v>77199.609867046835</v>
      </c>
      <c r="DJ19" s="489">
        <f t="shared" si="28"/>
        <v>77199.609867046835</v>
      </c>
      <c r="DK19" s="489">
        <f t="shared" si="28"/>
        <v>77199.609867046835</v>
      </c>
      <c r="DL19" s="489">
        <f t="shared" si="28"/>
        <v>77199.609867046835</v>
      </c>
      <c r="DM19" s="489">
        <f t="shared" si="28"/>
        <v>79901.596212393488</v>
      </c>
      <c r="DN19" s="489">
        <f t="shared" si="28"/>
        <v>79901.596212393488</v>
      </c>
      <c r="DO19" s="489">
        <f t="shared" si="28"/>
        <v>79901.596212393488</v>
      </c>
      <c r="DP19" s="489">
        <f t="shared" si="28"/>
        <v>79901.596212393488</v>
      </c>
      <c r="DQ19" s="489">
        <f t="shared" si="28"/>
        <v>79901.596212393488</v>
      </c>
      <c r="DR19" s="489">
        <f t="shared" si="28"/>
        <v>79901.596212393488</v>
      </c>
      <c r="DS19" s="489">
        <f t="shared" si="28"/>
        <v>79901.596212393488</v>
      </c>
      <c r="DT19" s="489">
        <f t="shared" si="28"/>
        <v>79901.596212393488</v>
      </c>
      <c r="DU19" s="489">
        <f t="shared" si="28"/>
        <v>79901.596212393488</v>
      </c>
      <c r="DV19" s="489">
        <f t="shared" si="28"/>
        <v>79901.596212393488</v>
      </c>
      <c r="DW19" s="489">
        <f t="shared" si="28"/>
        <v>79901.596212393488</v>
      </c>
      <c r="DX19" s="489">
        <f t="shared" si="28"/>
        <v>79901.596212393488</v>
      </c>
      <c r="DY19" s="489">
        <f t="shared" si="28"/>
        <v>82698.152079827254</v>
      </c>
      <c r="DZ19" s="489">
        <f t="shared" si="28"/>
        <v>82698.152079827254</v>
      </c>
      <c r="EA19" s="489">
        <f t="shared" ref="EA19:EN19" si="29">IFERROR(EA17+EA18,"")</f>
        <v>82698.152079827254</v>
      </c>
      <c r="EB19" s="489">
        <f t="shared" si="29"/>
        <v>82698.152079827254</v>
      </c>
      <c r="EC19" s="489">
        <f t="shared" si="29"/>
        <v>82698.152079827254</v>
      </c>
      <c r="ED19" s="489">
        <f t="shared" si="29"/>
        <v>82698.152079827254</v>
      </c>
      <c r="EE19" s="489">
        <f t="shared" si="29"/>
        <v>82698.152079827254</v>
      </c>
      <c r="EF19" s="489">
        <f t="shared" si="29"/>
        <v>82698.152079827254</v>
      </c>
      <c r="EG19" s="489">
        <f t="shared" si="29"/>
        <v>82698.152079827254</v>
      </c>
      <c r="EH19" s="489">
        <f t="shared" si="29"/>
        <v>82698.152079827254</v>
      </c>
      <c r="EI19" s="489">
        <f t="shared" si="29"/>
        <v>82698.152079827254</v>
      </c>
      <c r="EJ19" s="489">
        <f t="shared" si="29"/>
        <v>82698.152079827254</v>
      </c>
      <c r="EK19" s="489">
        <f t="shared" si="29"/>
        <v>85592.587402621182</v>
      </c>
      <c r="EL19" s="489">
        <f t="shared" si="29"/>
        <v>85592.587402621182</v>
      </c>
      <c r="EM19" s="489">
        <f t="shared" si="29"/>
        <v>85592.587402621182</v>
      </c>
      <c r="EN19" s="489">
        <f t="shared" si="29"/>
        <v>85592.587402621182</v>
      </c>
    </row>
    <row r="20" spans="1:144" x14ac:dyDescent="0.35">
      <c r="A20" s="331"/>
      <c r="B20" s="331"/>
      <c r="C20" s="331"/>
      <c r="D20" s="331"/>
      <c r="E20" s="331"/>
      <c r="F20" s="331"/>
      <c r="G20" s="331"/>
      <c r="H20" s="331"/>
      <c r="I20" s="331"/>
      <c r="J20" s="331"/>
      <c r="K20" s="331"/>
      <c r="L20" s="331"/>
      <c r="M20" s="331"/>
      <c r="N20" s="331"/>
      <c r="O20" s="331"/>
      <c r="P20" s="331"/>
      <c r="Q20" s="331"/>
      <c r="R20" s="331"/>
      <c r="S20" s="331"/>
      <c r="T20" s="331"/>
      <c r="U20" s="331"/>
      <c r="V20" s="331"/>
      <c r="W20" s="331"/>
      <c r="X20" s="331"/>
      <c r="Y20" s="331"/>
      <c r="Z20" s="331"/>
      <c r="AA20" s="331"/>
      <c r="AB20" s="331"/>
      <c r="AC20" s="331"/>
      <c r="AD20" s="331"/>
      <c r="AE20" s="331"/>
      <c r="AF20" s="331"/>
      <c r="AG20" s="331"/>
      <c r="AH20" s="331"/>
      <c r="AI20" s="331"/>
      <c r="AJ20" s="331"/>
      <c r="AK20" s="331"/>
      <c r="AL20" s="331"/>
      <c r="AM20" s="331"/>
      <c r="AN20" s="331"/>
      <c r="AO20" s="331"/>
      <c r="AP20" s="331"/>
      <c r="AQ20" s="331"/>
      <c r="AR20" s="331"/>
      <c r="AS20" s="331"/>
      <c r="AT20" s="331"/>
      <c r="AU20" s="331"/>
      <c r="AV20" s="331"/>
      <c r="AW20" s="331"/>
      <c r="AX20" s="331"/>
      <c r="AY20" s="331"/>
      <c r="AZ20" s="331"/>
      <c r="BA20" s="331"/>
      <c r="BB20" s="331"/>
      <c r="BC20" s="331"/>
      <c r="BD20" s="331"/>
      <c r="BE20" s="331"/>
      <c r="BF20" s="331"/>
      <c r="BG20" s="331"/>
      <c r="BH20" s="331"/>
      <c r="BI20" s="331"/>
      <c r="BJ20" s="331"/>
      <c r="BK20" s="331"/>
      <c r="BL20" s="331"/>
      <c r="BM20" s="331"/>
      <c r="BN20" s="331"/>
      <c r="BO20" s="331"/>
      <c r="BP20" s="331"/>
      <c r="BQ20" s="331"/>
      <c r="BR20" s="331"/>
      <c r="BS20" s="331"/>
      <c r="BT20" s="331"/>
      <c r="BU20" s="331"/>
      <c r="BV20" s="331"/>
      <c r="BW20" s="331"/>
      <c r="BX20" s="331"/>
      <c r="BY20" s="331"/>
      <c r="BZ20" s="331"/>
      <c r="CA20" s="331"/>
      <c r="CB20" s="331"/>
      <c r="CC20" s="331"/>
      <c r="CD20" s="331"/>
      <c r="CE20" s="331"/>
      <c r="CF20" s="331"/>
      <c r="CG20" s="331"/>
      <c r="CH20" s="331"/>
      <c r="CI20" s="331"/>
      <c r="CJ20" s="331"/>
      <c r="CK20" s="331"/>
      <c r="CL20" s="331"/>
      <c r="CM20" s="331"/>
      <c r="CN20" s="331"/>
      <c r="CO20" s="331"/>
      <c r="CP20" s="331"/>
      <c r="CQ20" s="331"/>
      <c r="CR20" s="331"/>
      <c r="CS20" s="331"/>
      <c r="CT20" s="331"/>
      <c r="CU20" s="331"/>
      <c r="CV20" s="331"/>
      <c r="CW20" s="331"/>
      <c r="CX20" s="331"/>
      <c r="CY20" s="331"/>
      <c r="CZ20" s="331"/>
      <c r="DA20" s="331"/>
      <c r="DB20" s="331"/>
      <c r="DC20" s="331"/>
      <c r="DD20" s="331"/>
      <c r="DE20" s="331"/>
      <c r="DF20" s="331"/>
      <c r="DG20" s="331"/>
      <c r="DH20" s="331"/>
      <c r="DI20" s="331"/>
      <c r="DJ20" s="331"/>
      <c r="DK20" s="331"/>
      <c r="DL20" s="331"/>
      <c r="DM20" s="331"/>
      <c r="DN20" s="331"/>
      <c r="DO20" s="331"/>
      <c r="DP20" s="331"/>
      <c r="DQ20" s="331"/>
      <c r="DR20" s="331"/>
      <c r="DS20" s="331"/>
      <c r="DT20" s="331"/>
      <c r="DU20" s="331"/>
      <c r="DV20" s="331"/>
      <c r="DW20" s="331"/>
      <c r="DX20" s="331"/>
      <c r="DY20" s="331"/>
      <c r="DZ20" s="331"/>
      <c r="EA20" s="331"/>
      <c r="EB20" s="331"/>
      <c r="EC20" s="331"/>
      <c r="ED20" s="331"/>
      <c r="EE20" s="331"/>
      <c r="EF20" s="331"/>
      <c r="EG20" s="331"/>
      <c r="EH20" s="331"/>
      <c r="EI20" s="331"/>
      <c r="EJ20" s="331"/>
      <c r="EK20" s="331"/>
      <c r="EL20" s="331"/>
      <c r="EM20" s="331"/>
      <c r="EN20" s="331"/>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2:B54"/>
  <sheetViews>
    <sheetView topLeftCell="A6" workbookViewId="0">
      <selection activeCell="B21" sqref="B21"/>
    </sheetView>
  </sheetViews>
  <sheetFormatPr defaultRowHeight="14.5" x14ac:dyDescent="0.35"/>
  <cols>
    <col min="1" max="1" width="3.81640625" customWidth="1"/>
    <col min="2" max="2" width="114.1796875" customWidth="1"/>
  </cols>
  <sheetData>
    <row r="2" spans="2:2" ht="23.5" customHeight="1" x14ac:dyDescent="0.55000000000000004">
      <c r="B2" s="147" t="s">
        <v>1661</v>
      </c>
    </row>
    <row r="4" spans="2:2" ht="18.649999999999999" customHeight="1" x14ac:dyDescent="0.45">
      <c r="B4" s="148" t="s">
        <v>1662</v>
      </c>
    </row>
    <row r="5" spans="2:2" x14ac:dyDescent="0.35">
      <c r="B5" s="328" t="s">
        <v>1663</v>
      </c>
    </row>
    <row r="8" spans="2:2" ht="16" customHeight="1" x14ac:dyDescent="0.4">
      <c r="B8" s="149" t="s">
        <v>1664</v>
      </c>
    </row>
    <row r="9" spans="2:2" ht="80.25" customHeight="1" x14ac:dyDescent="0.35">
      <c r="B9" s="112" t="s">
        <v>1665</v>
      </c>
    </row>
    <row r="12" spans="2:2" ht="16" customHeight="1" x14ac:dyDescent="0.4">
      <c r="B12" s="149" t="s">
        <v>1666</v>
      </c>
    </row>
    <row r="13" spans="2:2" ht="80.25" customHeight="1" x14ac:dyDescent="0.35">
      <c r="B13" s="112" t="s">
        <v>1667</v>
      </c>
    </row>
    <row r="16" spans="2:2" ht="16" customHeight="1" x14ac:dyDescent="0.4">
      <c r="B16" s="149" t="s">
        <v>1668</v>
      </c>
    </row>
    <row r="17" spans="2:2" ht="80.25" customHeight="1" x14ac:dyDescent="0.35">
      <c r="B17" s="112" t="s">
        <v>1669</v>
      </c>
    </row>
    <row r="20" spans="2:2" ht="16" customHeight="1" x14ac:dyDescent="0.4">
      <c r="B20" s="149" t="s">
        <v>1670</v>
      </c>
    </row>
    <row r="21" spans="2:2" ht="80.25" customHeight="1" x14ac:dyDescent="0.35">
      <c r="B21" s="112" t="s">
        <v>1671</v>
      </c>
    </row>
    <row r="24" spans="2:2" ht="16" customHeight="1" x14ac:dyDescent="0.4">
      <c r="B24" s="149" t="s">
        <v>1672</v>
      </c>
    </row>
    <row r="25" spans="2:2" ht="159.75" customHeight="1" x14ac:dyDescent="0.35">
      <c r="B25" s="112" t="s">
        <v>1673</v>
      </c>
    </row>
    <row r="28" spans="2:2" ht="16" customHeight="1" x14ac:dyDescent="0.4">
      <c r="B28" s="149" t="s">
        <v>1674</v>
      </c>
    </row>
    <row r="29" spans="2:2" ht="80.25" customHeight="1" x14ac:dyDescent="0.35">
      <c r="B29" s="112" t="s">
        <v>1675</v>
      </c>
    </row>
    <row r="32" spans="2:2" ht="16" customHeight="1" x14ac:dyDescent="0.4">
      <c r="B32" s="149" t="s">
        <v>1676</v>
      </c>
    </row>
    <row r="33" spans="2:2" ht="80.25" customHeight="1" x14ac:dyDescent="0.35">
      <c r="B33" s="112" t="s">
        <v>1677</v>
      </c>
    </row>
    <row r="36" spans="2:2" ht="16" customHeight="1" x14ac:dyDescent="0.4">
      <c r="B36" s="149" t="s">
        <v>1678</v>
      </c>
    </row>
    <row r="37" spans="2:2" ht="80.25" customHeight="1" x14ac:dyDescent="0.35">
      <c r="B37" s="112" t="s">
        <v>1679</v>
      </c>
    </row>
    <row r="40" spans="2:2" ht="16" customHeight="1" x14ac:dyDescent="0.4">
      <c r="B40" s="149" t="s">
        <v>1680</v>
      </c>
    </row>
    <row r="41" spans="2:2" ht="80.25" customHeight="1" x14ac:dyDescent="0.35">
      <c r="B41" s="112" t="s">
        <v>1681</v>
      </c>
    </row>
    <row r="44" spans="2:2" ht="16" customHeight="1" x14ac:dyDescent="0.4">
      <c r="B44" s="149" t="s">
        <v>1682</v>
      </c>
    </row>
    <row r="45" spans="2:2" ht="80.25" customHeight="1" x14ac:dyDescent="0.35">
      <c r="B45" s="112" t="s">
        <v>1683</v>
      </c>
    </row>
    <row r="48" spans="2:2" ht="16" customHeight="1" x14ac:dyDescent="0.4">
      <c r="B48" s="150" t="s">
        <v>1684</v>
      </c>
    </row>
    <row r="49" spans="2:2" ht="80.25" customHeight="1" x14ac:dyDescent="0.35">
      <c r="B49" s="151" t="s">
        <v>1685</v>
      </c>
    </row>
    <row r="52" spans="2:2" x14ac:dyDescent="0.35">
      <c r="B52" s="152" t="s">
        <v>1686</v>
      </c>
    </row>
    <row r="54" spans="2:2" x14ac:dyDescent="0.35">
      <c r="B54" s="328" t="s">
        <v>1687</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X65"/>
  <sheetViews>
    <sheetView workbookViewId="0">
      <selection activeCell="S35" sqref="S35"/>
    </sheetView>
  </sheetViews>
  <sheetFormatPr defaultRowHeight="14.5" x14ac:dyDescent="0.35"/>
  <sheetData>
    <row r="1" spans="1:24" x14ac:dyDescent="0.35">
      <c r="A1" s="155" t="s">
        <v>1688</v>
      </c>
      <c r="B1" s="155" t="s">
        <v>1689</v>
      </c>
      <c r="C1" s="155" t="s">
        <v>1689</v>
      </c>
      <c r="D1" s="155" t="s">
        <v>1689</v>
      </c>
      <c r="E1" s="331"/>
      <c r="F1" s="331"/>
      <c r="G1" s="331"/>
      <c r="H1" s="331"/>
      <c r="I1" s="331"/>
      <c r="J1" s="331"/>
      <c r="K1" s="331"/>
      <c r="L1" s="331"/>
      <c r="M1" s="331"/>
      <c r="N1" s="331"/>
      <c r="O1" s="331"/>
      <c r="P1" s="331"/>
      <c r="Q1" s="331"/>
      <c r="R1" s="331"/>
      <c r="S1" s="331"/>
      <c r="T1" s="331"/>
      <c r="U1" s="331"/>
      <c r="V1" s="331"/>
      <c r="W1" s="331"/>
      <c r="X1" s="331"/>
    </row>
    <row r="2" spans="1:24" x14ac:dyDescent="0.35">
      <c r="A2" s="331"/>
      <c r="B2" s="331"/>
      <c r="C2" s="331"/>
      <c r="D2" s="331"/>
      <c r="E2" s="331"/>
      <c r="F2" s="331"/>
      <c r="G2" s="331"/>
      <c r="H2" s="331"/>
      <c r="I2" s="331"/>
      <c r="J2" s="331"/>
      <c r="K2" s="331"/>
      <c r="L2" s="331"/>
      <c r="M2" s="331"/>
      <c r="N2" s="331"/>
      <c r="O2" s="331"/>
      <c r="P2" s="331"/>
      <c r="Q2" s="331"/>
      <c r="R2" s="331"/>
      <c r="S2" s="331"/>
      <c r="T2" s="331"/>
      <c r="U2" s="331"/>
      <c r="V2" s="331"/>
      <c r="W2" s="331"/>
      <c r="X2" s="331"/>
    </row>
    <row r="3" spans="1:24" x14ac:dyDescent="0.35">
      <c r="A3" s="331"/>
      <c r="B3" s="331"/>
      <c r="C3" s="331"/>
      <c r="D3" s="331"/>
      <c r="E3" s="331"/>
      <c r="F3" s="331"/>
      <c r="G3" s="331"/>
      <c r="H3" s="331"/>
      <c r="I3" s="331"/>
      <c r="J3" s="331"/>
      <c r="K3" s="331"/>
      <c r="L3" s="739" t="s">
        <v>1690</v>
      </c>
      <c r="M3" s="704"/>
      <c r="N3" s="704"/>
      <c r="O3" s="704"/>
      <c r="P3" s="704"/>
      <c r="Q3" s="704"/>
      <c r="R3" s="331"/>
      <c r="S3" s="331"/>
      <c r="T3" s="331"/>
      <c r="U3" s="331"/>
      <c r="V3" s="331"/>
      <c r="W3" s="331"/>
      <c r="X3" s="331"/>
    </row>
    <row r="4" spans="1:24" ht="16" customHeight="1" x14ac:dyDescent="0.4">
      <c r="A4" s="331"/>
      <c r="B4" s="156" t="s">
        <v>1691</v>
      </c>
      <c r="C4" s="156"/>
      <c r="D4" s="156"/>
      <c r="E4" s="156" t="s">
        <v>1692</v>
      </c>
      <c r="F4" s="156" t="s">
        <v>1693</v>
      </c>
      <c r="G4" s="156" t="s">
        <v>1694</v>
      </c>
      <c r="H4" s="156" t="s">
        <v>1695</v>
      </c>
      <c r="I4" s="156" t="s">
        <v>1696</v>
      </c>
      <c r="J4" s="156" t="s">
        <v>1697</v>
      </c>
      <c r="K4" s="156" t="s">
        <v>1698</v>
      </c>
      <c r="L4" s="156" t="s">
        <v>1699</v>
      </c>
      <c r="M4" s="156" t="s">
        <v>1700</v>
      </c>
      <c r="N4" s="156" t="s">
        <v>1701</v>
      </c>
      <c r="O4" s="156" t="s">
        <v>1702</v>
      </c>
      <c r="P4" s="156" t="s">
        <v>1703</v>
      </c>
      <c r="Q4" s="156" t="s">
        <v>1704</v>
      </c>
      <c r="R4" s="156" t="s">
        <v>1079</v>
      </c>
      <c r="S4" s="331"/>
      <c r="T4" s="164"/>
      <c r="U4" s="331"/>
      <c r="V4" s="331"/>
      <c r="W4" s="331"/>
      <c r="X4" s="331"/>
    </row>
    <row r="5" spans="1:24" x14ac:dyDescent="0.35">
      <c r="A5" s="331"/>
      <c r="B5" s="331"/>
      <c r="C5" s="331"/>
      <c r="D5" s="331"/>
      <c r="E5" s="331"/>
      <c r="F5" s="331"/>
      <c r="G5" s="331"/>
      <c r="H5" s="331"/>
      <c r="I5" s="331"/>
      <c r="J5" s="331"/>
      <c r="K5" s="331"/>
      <c r="L5" s="331"/>
      <c r="M5" s="331"/>
      <c r="N5" s="331"/>
      <c r="O5" s="331"/>
      <c r="P5" s="331"/>
      <c r="Q5" s="331"/>
      <c r="R5" s="331"/>
      <c r="S5" s="331"/>
      <c r="T5" s="20"/>
      <c r="U5" s="331"/>
      <c r="V5" s="331"/>
      <c r="W5" s="331"/>
      <c r="X5" s="331"/>
    </row>
    <row r="6" spans="1:24" x14ac:dyDescent="0.35">
      <c r="A6" s="331"/>
      <c r="B6" s="157" t="s">
        <v>204</v>
      </c>
      <c r="C6" s="158"/>
      <c r="D6" s="158"/>
      <c r="E6" s="331"/>
      <c r="F6" s="331"/>
      <c r="G6" s="331"/>
      <c r="H6" s="331"/>
      <c r="I6" s="331"/>
      <c r="J6" s="331"/>
      <c r="K6" s="331"/>
      <c r="L6" s="331"/>
      <c r="M6" s="331"/>
      <c r="N6" s="331"/>
      <c r="O6" s="331"/>
      <c r="P6" s="331"/>
      <c r="Q6" s="331"/>
      <c r="R6" s="331"/>
      <c r="S6" s="331"/>
      <c r="T6" s="331"/>
      <c r="U6" s="331"/>
      <c r="V6" s="331"/>
      <c r="W6" s="331"/>
      <c r="X6" s="331" t="s">
        <v>1705</v>
      </c>
    </row>
    <row r="7" spans="1:24" x14ac:dyDescent="0.35">
      <c r="A7" s="331"/>
      <c r="B7" s="331" t="s">
        <v>1706</v>
      </c>
      <c r="C7" s="331"/>
      <c r="D7" s="331"/>
      <c r="E7" s="331" t="s">
        <v>1707</v>
      </c>
      <c r="F7" s="331" t="s">
        <v>1707</v>
      </c>
      <c r="G7" s="331" t="s">
        <v>1707</v>
      </c>
      <c r="H7" s="331" t="s">
        <v>1707</v>
      </c>
      <c r="I7" s="331" t="s">
        <v>1707</v>
      </c>
      <c r="J7" s="331" t="s">
        <v>1707</v>
      </c>
      <c r="K7" s="331" t="s">
        <v>1707</v>
      </c>
      <c r="L7" s="490">
        <v>300000</v>
      </c>
      <c r="M7" s="331" t="s">
        <v>1707</v>
      </c>
      <c r="N7" s="331" t="s">
        <v>1707</v>
      </c>
      <c r="O7" s="331" t="s">
        <v>1707</v>
      </c>
      <c r="P7" s="331" t="s">
        <v>1707</v>
      </c>
      <c r="Q7" s="331" t="s">
        <v>1707</v>
      </c>
      <c r="R7" s="490">
        <v>300000</v>
      </c>
      <c r="S7" s="331"/>
      <c r="T7" s="331"/>
      <c r="U7" s="331"/>
      <c r="V7" s="331"/>
      <c r="W7" s="331"/>
      <c r="X7" s="331" t="s">
        <v>1705</v>
      </c>
    </row>
    <row r="8" spans="1:24" x14ac:dyDescent="0.35">
      <c r="A8" s="331"/>
      <c r="B8" s="331" t="s">
        <v>1708</v>
      </c>
      <c r="C8" s="331"/>
      <c r="D8" s="331"/>
      <c r="E8" s="490">
        <v>666667</v>
      </c>
      <c r="F8" s="331" t="s">
        <v>1707</v>
      </c>
      <c r="G8" s="490">
        <v>666667</v>
      </c>
      <c r="H8" s="331"/>
      <c r="I8" s="490">
        <v>666667</v>
      </c>
      <c r="J8" s="331"/>
      <c r="K8" s="331"/>
      <c r="L8" s="331" t="s">
        <v>1707</v>
      </c>
      <c r="M8" s="331" t="s">
        <v>1707</v>
      </c>
      <c r="N8" s="331" t="s">
        <v>1707</v>
      </c>
      <c r="O8" s="331" t="s">
        <v>1707</v>
      </c>
      <c r="P8" s="331" t="s">
        <v>1707</v>
      </c>
      <c r="Q8" s="331" t="s">
        <v>1707</v>
      </c>
      <c r="R8" s="490">
        <v>2000000</v>
      </c>
      <c r="S8" s="331"/>
      <c r="T8" s="331"/>
      <c r="U8" s="331"/>
      <c r="V8" s="331"/>
      <c r="W8" s="331"/>
      <c r="X8" s="331"/>
    </row>
    <row r="9" spans="1:24" x14ac:dyDescent="0.35">
      <c r="A9" s="331"/>
      <c r="B9" s="331" t="s">
        <v>1709</v>
      </c>
      <c r="C9" s="331"/>
      <c r="D9" s="331"/>
      <c r="E9" s="331" t="s">
        <v>1707</v>
      </c>
      <c r="F9" s="490">
        <v>750000</v>
      </c>
      <c r="G9" s="331" t="s">
        <v>1707</v>
      </c>
      <c r="H9" s="490">
        <v>750000</v>
      </c>
      <c r="I9" s="331" t="s">
        <v>1707</v>
      </c>
      <c r="J9" s="490">
        <v>750000</v>
      </c>
      <c r="K9" s="490">
        <v>750000</v>
      </c>
      <c r="L9" s="331" t="s">
        <v>1707</v>
      </c>
      <c r="M9" s="331" t="s">
        <v>1707</v>
      </c>
      <c r="N9" s="331" t="s">
        <v>1707</v>
      </c>
      <c r="O9" s="331" t="s">
        <v>1707</v>
      </c>
      <c r="P9" s="331" t="s">
        <v>1707</v>
      </c>
      <c r="Q9" s="331" t="s">
        <v>1707</v>
      </c>
      <c r="R9" s="490">
        <v>3000000</v>
      </c>
      <c r="S9" s="331"/>
      <c r="T9" s="331"/>
      <c r="U9" s="331"/>
      <c r="V9" s="331"/>
      <c r="W9" s="331"/>
      <c r="X9" s="331"/>
    </row>
    <row r="10" spans="1:24" x14ac:dyDescent="0.35">
      <c r="A10" s="331"/>
      <c r="B10" s="331"/>
      <c r="C10" s="159" t="s">
        <v>1710</v>
      </c>
      <c r="D10" s="159"/>
      <c r="E10" s="491">
        <v>666667</v>
      </c>
      <c r="F10" s="491">
        <v>750000</v>
      </c>
      <c r="G10" s="491">
        <v>666667</v>
      </c>
      <c r="H10" s="491">
        <v>750000</v>
      </c>
      <c r="I10" s="491">
        <v>666667</v>
      </c>
      <c r="J10" s="491">
        <v>750000</v>
      </c>
      <c r="K10" s="491">
        <v>750000</v>
      </c>
      <c r="L10" s="491">
        <v>300000</v>
      </c>
      <c r="M10" s="160" t="s">
        <v>1707</v>
      </c>
      <c r="N10" s="160" t="s">
        <v>1707</v>
      </c>
      <c r="O10" s="160" t="s">
        <v>1707</v>
      </c>
      <c r="P10" s="160" t="s">
        <v>1707</v>
      </c>
      <c r="Q10" s="160" t="s">
        <v>1707</v>
      </c>
      <c r="R10" s="491">
        <v>5300000</v>
      </c>
      <c r="S10" s="331"/>
      <c r="T10" s="331"/>
      <c r="U10" s="331"/>
      <c r="V10" s="331"/>
      <c r="W10" s="331"/>
      <c r="X10" s="331"/>
    </row>
    <row r="11" spans="1:24" x14ac:dyDescent="0.35">
      <c r="A11" s="331"/>
      <c r="B11" s="331"/>
      <c r="C11" s="331"/>
      <c r="D11" s="331"/>
      <c r="E11" s="331"/>
      <c r="F11" s="331"/>
      <c r="G11" s="331"/>
      <c r="H11" s="331"/>
      <c r="I11" s="331"/>
      <c r="J11" s="331"/>
      <c r="K11" s="331"/>
      <c r="L11" s="331"/>
      <c r="M11" s="331"/>
      <c r="N11" s="331"/>
      <c r="O11" s="331"/>
      <c r="P11" s="331"/>
      <c r="Q11" s="331"/>
      <c r="R11" s="331"/>
      <c r="S11" s="331"/>
      <c r="T11" s="331"/>
      <c r="U11" s="331"/>
      <c r="V11" s="331"/>
      <c r="W11" s="331"/>
      <c r="X11" s="331"/>
    </row>
    <row r="12" spans="1:24" x14ac:dyDescent="0.35">
      <c r="A12" s="331"/>
      <c r="B12" s="157" t="s">
        <v>1711</v>
      </c>
      <c r="C12" s="158"/>
      <c r="D12" s="331"/>
      <c r="E12" s="331"/>
      <c r="F12" s="331"/>
      <c r="G12" s="331"/>
      <c r="H12" s="331"/>
      <c r="I12" s="331"/>
      <c r="J12" s="331"/>
      <c r="K12" s="331"/>
      <c r="L12" s="331"/>
      <c r="M12" s="331"/>
      <c r="N12" s="331"/>
      <c r="O12" s="331"/>
      <c r="P12" s="331"/>
      <c r="Q12" s="331"/>
      <c r="R12" s="331"/>
      <c r="S12" s="331"/>
      <c r="T12" s="165"/>
      <c r="U12" s="331"/>
      <c r="V12" s="165"/>
      <c r="W12" s="331"/>
      <c r="X12" s="331"/>
    </row>
    <row r="13" spans="1:24" x14ac:dyDescent="0.35">
      <c r="A13" s="331"/>
      <c r="B13" s="331" t="s">
        <v>1712</v>
      </c>
      <c r="C13" s="331"/>
      <c r="D13" s="331"/>
      <c r="E13" s="331" t="s">
        <v>1707</v>
      </c>
      <c r="F13" s="331" t="s">
        <v>1707</v>
      </c>
      <c r="G13" s="331" t="s">
        <v>1707</v>
      </c>
      <c r="H13" s="331" t="s">
        <v>1707</v>
      </c>
      <c r="I13" s="331" t="s">
        <v>1707</v>
      </c>
      <c r="J13" s="331" t="s">
        <v>1707</v>
      </c>
      <c r="K13" s="331" t="s">
        <v>1707</v>
      </c>
      <c r="L13" s="331" t="s">
        <v>1707</v>
      </c>
      <c r="M13" s="331" t="s">
        <v>1707</v>
      </c>
      <c r="N13" s="331" t="s">
        <v>1707</v>
      </c>
      <c r="O13" s="331" t="s">
        <v>1707</v>
      </c>
      <c r="P13" s="331" t="s">
        <v>1707</v>
      </c>
      <c r="Q13" s="331" t="s">
        <v>1707</v>
      </c>
      <c r="R13" s="331" t="s">
        <v>1707</v>
      </c>
      <c r="S13" s="331"/>
      <c r="T13" s="331"/>
      <c r="U13" s="331"/>
      <c r="V13" s="331"/>
      <c r="W13" s="331"/>
      <c r="X13" s="331"/>
    </row>
    <row r="14" spans="1:24" x14ac:dyDescent="0.35">
      <c r="A14" s="331"/>
      <c r="B14" s="331"/>
      <c r="C14" s="159" t="s">
        <v>1713</v>
      </c>
      <c r="D14" s="159"/>
      <c r="E14" s="160" t="s">
        <v>1707</v>
      </c>
      <c r="F14" s="160" t="s">
        <v>1707</v>
      </c>
      <c r="G14" s="160" t="s">
        <v>1707</v>
      </c>
      <c r="H14" s="160" t="s">
        <v>1707</v>
      </c>
      <c r="I14" s="160" t="s">
        <v>1707</v>
      </c>
      <c r="J14" s="160" t="s">
        <v>1707</v>
      </c>
      <c r="K14" s="160" t="s">
        <v>1707</v>
      </c>
      <c r="L14" s="160" t="s">
        <v>1707</v>
      </c>
      <c r="M14" s="160" t="s">
        <v>1707</v>
      </c>
      <c r="N14" s="160" t="s">
        <v>1707</v>
      </c>
      <c r="O14" s="160" t="s">
        <v>1707</v>
      </c>
      <c r="P14" s="160" t="s">
        <v>1707</v>
      </c>
      <c r="Q14" s="160" t="s">
        <v>1707</v>
      </c>
      <c r="R14" s="160" t="s">
        <v>1707</v>
      </c>
      <c r="S14" s="331"/>
      <c r="T14" s="331"/>
      <c r="U14" s="331"/>
      <c r="V14" s="331"/>
      <c r="W14" s="331"/>
      <c r="X14" s="331"/>
    </row>
    <row r="20" spans="2:18" x14ac:dyDescent="0.35">
      <c r="B20" s="157" t="s">
        <v>1714</v>
      </c>
      <c r="C20" s="157"/>
      <c r="D20" s="331"/>
      <c r="E20" s="331"/>
      <c r="F20" s="331"/>
      <c r="G20" s="331"/>
      <c r="H20" s="331"/>
      <c r="I20" s="331"/>
      <c r="J20" s="331"/>
      <c r="K20" s="331"/>
      <c r="L20" s="331"/>
      <c r="M20" s="331"/>
      <c r="N20" s="331"/>
      <c r="O20" s="331"/>
      <c r="P20" s="331"/>
      <c r="Q20" s="331"/>
      <c r="R20" s="331"/>
    </row>
    <row r="21" spans="2:18" x14ac:dyDescent="0.35">
      <c r="B21" s="331" t="s">
        <v>1715</v>
      </c>
      <c r="C21" s="331"/>
      <c r="D21" s="331"/>
      <c r="E21" s="331" t="s">
        <v>1707</v>
      </c>
      <c r="F21" s="331" t="s">
        <v>1707</v>
      </c>
      <c r="G21" s="331" t="s">
        <v>1707</v>
      </c>
      <c r="H21" s="331" t="s">
        <v>1707</v>
      </c>
      <c r="I21" s="331" t="s">
        <v>1707</v>
      </c>
      <c r="J21" s="331" t="s">
        <v>1707</v>
      </c>
      <c r="K21" s="331" t="s">
        <v>1707</v>
      </c>
      <c r="L21" s="331" t="s">
        <v>1707</v>
      </c>
      <c r="M21" s="331" t="s">
        <v>1707</v>
      </c>
      <c r="N21" s="490">
        <v>173748</v>
      </c>
      <c r="O21" s="490">
        <v>173748</v>
      </c>
      <c r="P21" s="490">
        <v>173748</v>
      </c>
      <c r="Q21" s="331" t="s">
        <v>1707</v>
      </c>
      <c r="R21" s="490">
        <v>521245</v>
      </c>
    </row>
    <row r="22" spans="2:18" x14ac:dyDescent="0.35">
      <c r="B22" s="331" t="s">
        <v>1716</v>
      </c>
      <c r="C22" s="331"/>
      <c r="D22" s="331"/>
      <c r="E22" s="331" t="s">
        <v>1707</v>
      </c>
      <c r="F22" s="331" t="s">
        <v>1707</v>
      </c>
      <c r="G22" s="331" t="s">
        <v>1707</v>
      </c>
      <c r="H22" s="331" t="s">
        <v>1707</v>
      </c>
      <c r="I22" s="331" t="s">
        <v>1707</v>
      </c>
      <c r="J22" s="331" t="s">
        <v>1707</v>
      </c>
      <c r="K22" s="331"/>
      <c r="L22" s="331" t="s">
        <v>1707</v>
      </c>
      <c r="M22" s="331" t="s">
        <v>1707</v>
      </c>
      <c r="N22" s="331" t="s">
        <v>1707</v>
      </c>
      <c r="O22" s="331" t="s">
        <v>1707</v>
      </c>
      <c r="P22" s="331" t="s">
        <v>1707</v>
      </c>
      <c r="Q22" s="490">
        <v>450000</v>
      </c>
      <c r="R22" s="490">
        <v>450000</v>
      </c>
    </row>
    <row r="23" spans="2:18" x14ac:dyDescent="0.35">
      <c r="B23" s="331" t="s">
        <v>1717</v>
      </c>
      <c r="C23" s="331"/>
      <c r="D23" s="331"/>
      <c r="E23" s="331" t="s">
        <v>1707</v>
      </c>
      <c r="F23" s="331" t="s">
        <v>1707</v>
      </c>
      <c r="G23" s="331" t="s">
        <v>1707</v>
      </c>
      <c r="H23" s="331" t="s">
        <v>1707</v>
      </c>
      <c r="I23" s="331" t="s">
        <v>1707</v>
      </c>
      <c r="J23" s="331" t="s">
        <v>1707</v>
      </c>
      <c r="K23" s="331" t="s">
        <v>1707</v>
      </c>
      <c r="L23" s="331" t="s">
        <v>1707</v>
      </c>
      <c r="M23" s="331" t="s">
        <v>1707</v>
      </c>
      <c r="N23" s="331" t="s">
        <v>1707</v>
      </c>
      <c r="O23" s="490">
        <v>119743</v>
      </c>
      <c r="P23" s="490">
        <v>119743</v>
      </c>
      <c r="Q23" s="490">
        <v>119743</v>
      </c>
      <c r="R23" s="490">
        <v>359228</v>
      </c>
    </row>
    <row r="24" spans="2:18" x14ac:dyDescent="0.35">
      <c r="B24" s="331" t="s">
        <v>1718</v>
      </c>
      <c r="C24" s="331"/>
      <c r="D24" s="331"/>
      <c r="E24" s="331" t="s">
        <v>1707</v>
      </c>
      <c r="F24" s="331" t="s">
        <v>1707</v>
      </c>
      <c r="G24" s="331" t="s">
        <v>1707</v>
      </c>
      <c r="H24" s="331" t="s">
        <v>1707</v>
      </c>
      <c r="I24" s="331" t="s">
        <v>1707</v>
      </c>
      <c r="J24" s="331" t="s">
        <v>1707</v>
      </c>
      <c r="K24" s="331" t="s">
        <v>1707</v>
      </c>
      <c r="L24" s="331" t="s">
        <v>1707</v>
      </c>
      <c r="M24" s="490">
        <v>31250</v>
      </c>
      <c r="N24" s="490">
        <v>31250</v>
      </c>
      <c r="O24" s="490">
        <v>31250</v>
      </c>
      <c r="P24" s="490">
        <v>31250</v>
      </c>
      <c r="Q24" s="490">
        <v>31250</v>
      </c>
      <c r="R24" s="490">
        <v>156250</v>
      </c>
    </row>
    <row r="25" spans="2:18" x14ac:dyDescent="0.35">
      <c r="B25" s="331"/>
      <c r="C25" s="159" t="s">
        <v>1719</v>
      </c>
      <c r="D25" s="159"/>
      <c r="E25" s="159" t="s">
        <v>1707</v>
      </c>
      <c r="F25" s="159" t="s">
        <v>1707</v>
      </c>
      <c r="G25" s="159" t="s">
        <v>1707</v>
      </c>
      <c r="H25" s="159" t="s">
        <v>1707</v>
      </c>
      <c r="I25" s="159" t="s">
        <v>1707</v>
      </c>
      <c r="J25" s="159" t="s">
        <v>1707</v>
      </c>
      <c r="K25" s="159" t="s">
        <v>1707</v>
      </c>
      <c r="L25" s="159" t="s">
        <v>1707</v>
      </c>
      <c r="M25" s="492">
        <v>31250</v>
      </c>
      <c r="N25" s="492">
        <v>204998</v>
      </c>
      <c r="O25" s="492">
        <v>324741</v>
      </c>
      <c r="P25" s="492">
        <v>324741</v>
      </c>
      <c r="Q25" s="492">
        <v>600993</v>
      </c>
      <c r="R25" s="492">
        <v>1486723</v>
      </c>
    </row>
    <row r="26" spans="2:18" x14ac:dyDescent="0.35">
      <c r="B26" s="331"/>
      <c r="C26" s="331"/>
      <c r="D26" s="331"/>
      <c r="E26" s="331"/>
      <c r="F26" s="331"/>
      <c r="G26" s="331"/>
      <c r="H26" s="331"/>
      <c r="I26" s="331"/>
      <c r="J26" s="331"/>
      <c r="K26" s="331"/>
      <c r="L26" s="331"/>
      <c r="M26" s="331"/>
      <c r="N26" s="331"/>
      <c r="O26" s="331"/>
      <c r="P26" s="331"/>
      <c r="Q26" s="331"/>
      <c r="R26" s="331"/>
    </row>
    <row r="27" spans="2:18" x14ac:dyDescent="0.35">
      <c r="B27" s="331"/>
      <c r="C27" s="159" t="s">
        <v>1720</v>
      </c>
      <c r="D27" s="159"/>
      <c r="E27" s="492">
        <v>666667</v>
      </c>
      <c r="F27" s="492">
        <v>750000</v>
      </c>
      <c r="G27" s="492">
        <v>666667</v>
      </c>
      <c r="H27" s="492">
        <v>750000</v>
      </c>
      <c r="I27" s="492">
        <v>666667</v>
      </c>
      <c r="J27" s="492">
        <v>750000</v>
      </c>
      <c r="K27" s="492">
        <v>750000</v>
      </c>
      <c r="L27" s="492">
        <v>300000</v>
      </c>
      <c r="M27" s="492">
        <v>31250</v>
      </c>
      <c r="N27" s="492">
        <v>204998</v>
      </c>
      <c r="O27" s="492">
        <v>324741</v>
      </c>
      <c r="P27" s="492">
        <v>324741</v>
      </c>
      <c r="Q27" s="492">
        <v>600993</v>
      </c>
      <c r="R27" s="492">
        <v>6786723</v>
      </c>
    </row>
    <row r="28" spans="2:18" x14ac:dyDescent="0.35">
      <c r="B28" s="331"/>
      <c r="C28" s="331"/>
      <c r="D28" s="331"/>
      <c r="E28" s="331"/>
      <c r="F28" s="331"/>
      <c r="G28" s="331"/>
      <c r="H28" s="331"/>
      <c r="I28" s="331"/>
      <c r="J28" s="331"/>
      <c r="K28" s="331"/>
      <c r="L28" s="331"/>
      <c r="M28" s="331"/>
      <c r="N28" s="331"/>
      <c r="O28" s="331"/>
      <c r="P28" s="331"/>
      <c r="Q28" s="331"/>
      <c r="R28" s="331"/>
    </row>
    <row r="29" spans="2:18" x14ac:dyDescent="0.35">
      <c r="B29" s="331"/>
      <c r="C29" s="331"/>
      <c r="D29" s="331"/>
      <c r="E29" s="331"/>
      <c r="F29" s="331"/>
      <c r="G29" s="331"/>
      <c r="H29" s="331"/>
      <c r="I29" s="331"/>
      <c r="J29" s="331"/>
      <c r="K29" s="331"/>
      <c r="L29" s="331"/>
      <c r="M29" s="331"/>
      <c r="N29" s="331"/>
      <c r="O29" s="331"/>
      <c r="P29" s="331"/>
      <c r="Q29" s="331"/>
      <c r="R29" s="331"/>
    </row>
    <row r="30" spans="2:18" x14ac:dyDescent="0.35">
      <c r="B30" s="331"/>
      <c r="C30" s="331"/>
      <c r="D30" s="331"/>
      <c r="E30" s="331"/>
      <c r="F30" s="331"/>
      <c r="G30" s="331"/>
      <c r="H30" s="331"/>
      <c r="I30" s="331"/>
      <c r="J30" s="331"/>
      <c r="K30" s="331"/>
      <c r="L30" s="739" t="s">
        <v>1690</v>
      </c>
      <c r="M30" s="704"/>
      <c r="N30" s="704"/>
      <c r="O30" s="704"/>
      <c r="P30" s="704"/>
      <c r="Q30" s="704"/>
      <c r="R30" s="331"/>
    </row>
    <row r="31" spans="2:18" x14ac:dyDescent="0.35">
      <c r="B31" s="161" t="s">
        <v>1721</v>
      </c>
      <c r="C31" s="162"/>
      <c r="D31" s="162"/>
      <c r="E31" s="156" t="s">
        <v>1692</v>
      </c>
      <c r="F31" s="156" t="s">
        <v>1693</v>
      </c>
      <c r="G31" s="156" t="s">
        <v>1694</v>
      </c>
      <c r="H31" s="156" t="s">
        <v>1695</v>
      </c>
      <c r="I31" s="156" t="s">
        <v>1696</v>
      </c>
      <c r="J31" s="156" t="s">
        <v>1697</v>
      </c>
      <c r="K31" s="156" t="s">
        <v>1698</v>
      </c>
      <c r="L31" s="156" t="s">
        <v>1699</v>
      </c>
      <c r="M31" s="156" t="s">
        <v>1700</v>
      </c>
      <c r="N31" s="156" t="s">
        <v>1701</v>
      </c>
      <c r="O31" s="156" t="s">
        <v>1702</v>
      </c>
      <c r="P31" s="156" t="s">
        <v>1703</v>
      </c>
      <c r="Q31" s="156" t="s">
        <v>1704</v>
      </c>
      <c r="R31" s="156" t="s">
        <v>1079</v>
      </c>
    </row>
    <row r="32" spans="2:18" x14ac:dyDescent="0.35">
      <c r="B32" s="165" t="s">
        <v>1434</v>
      </c>
      <c r="C32" s="331"/>
      <c r="D32" s="331"/>
      <c r="E32" s="331"/>
      <c r="F32" s="331"/>
      <c r="G32" s="331"/>
      <c r="H32" s="331"/>
      <c r="I32" s="331"/>
      <c r="J32" s="331"/>
      <c r="K32" s="331"/>
      <c r="L32" s="331"/>
      <c r="M32" s="331"/>
      <c r="N32" s="331"/>
      <c r="O32" s="331"/>
      <c r="P32" s="331"/>
      <c r="Q32" s="331"/>
      <c r="R32" s="331"/>
    </row>
    <row r="33" spans="2:19" x14ac:dyDescent="0.35">
      <c r="B33" s="331" t="s">
        <v>1722</v>
      </c>
      <c r="C33" s="331"/>
      <c r="D33" s="331"/>
      <c r="E33" s="490">
        <v>780000</v>
      </c>
      <c r="F33" s="331" t="s">
        <v>1707</v>
      </c>
      <c r="G33" s="331" t="s">
        <v>1707</v>
      </c>
      <c r="H33" s="331" t="s">
        <v>1707</v>
      </c>
      <c r="I33" s="331" t="s">
        <v>1707</v>
      </c>
      <c r="J33" s="331" t="s">
        <v>1707</v>
      </c>
      <c r="K33" s="331" t="s">
        <v>1707</v>
      </c>
      <c r="L33" s="331" t="s">
        <v>1707</v>
      </c>
      <c r="M33" s="331" t="s">
        <v>1707</v>
      </c>
      <c r="N33" s="331" t="s">
        <v>1707</v>
      </c>
      <c r="O33" s="331" t="s">
        <v>1707</v>
      </c>
      <c r="P33" s="331" t="s">
        <v>1707</v>
      </c>
      <c r="Q33" s="331" t="s">
        <v>1707</v>
      </c>
      <c r="R33" s="490">
        <v>780000</v>
      </c>
      <c r="S33" s="331"/>
    </row>
    <row r="34" spans="2:19" x14ac:dyDescent="0.35">
      <c r="B34" s="331" t="s">
        <v>1723</v>
      </c>
      <c r="C34" s="331"/>
      <c r="D34" s="331"/>
      <c r="E34" s="331"/>
      <c r="F34" s="331"/>
      <c r="G34" s="331"/>
      <c r="H34" s="331"/>
      <c r="I34" s="331"/>
      <c r="J34" s="331"/>
      <c r="K34" s="331"/>
      <c r="L34" s="490">
        <v>14565</v>
      </c>
      <c r="M34" s="490">
        <v>14565</v>
      </c>
      <c r="N34" s="490">
        <v>14565</v>
      </c>
      <c r="O34" s="490">
        <v>14565</v>
      </c>
      <c r="P34" s="490">
        <v>14565</v>
      </c>
      <c r="Q34" s="490">
        <v>14565</v>
      </c>
      <c r="R34" s="331"/>
      <c r="S34" s="331"/>
    </row>
    <row r="35" spans="2:19" x14ac:dyDescent="0.35">
      <c r="B35" s="331" t="s">
        <v>1724</v>
      </c>
      <c r="C35" s="331"/>
      <c r="D35" s="331"/>
      <c r="E35" s="331"/>
      <c r="F35" s="331"/>
      <c r="G35" s="331"/>
      <c r="H35" s="331"/>
      <c r="I35" s="331"/>
      <c r="J35" s="331"/>
      <c r="K35" s="331"/>
      <c r="L35" s="331" t="s">
        <v>1707</v>
      </c>
      <c r="M35" s="331" t="s">
        <v>1707</v>
      </c>
      <c r="N35" s="331" t="s">
        <v>1707</v>
      </c>
      <c r="O35" s="331" t="s">
        <v>1707</v>
      </c>
      <c r="P35" s="331" t="s">
        <v>1707</v>
      </c>
      <c r="Q35" s="331" t="s">
        <v>1707</v>
      </c>
      <c r="R35" s="331" t="s">
        <v>1707</v>
      </c>
      <c r="S35" s="331" t="s">
        <v>1725</v>
      </c>
    </row>
    <row r="36" spans="2:19" x14ac:dyDescent="0.35">
      <c r="B36" s="331"/>
      <c r="C36" s="331"/>
      <c r="D36" s="331"/>
      <c r="E36" s="331"/>
      <c r="F36" s="331"/>
      <c r="G36" s="331"/>
      <c r="H36" s="331"/>
      <c r="I36" s="331"/>
      <c r="J36" s="331"/>
      <c r="K36" s="331"/>
      <c r="L36" s="331"/>
      <c r="M36" s="331"/>
      <c r="N36" s="331"/>
      <c r="O36" s="331"/>
      <c r="P36" s="331"/>
      <c r="Q36" s="331"/>
      <c r="R36" s="492">
        <v>780000</v>
      </c>
      <c r="S36" s="331"/>
    </row>
    <row r="37" spans="2:19" x14ac:dyDescent="0.35">
      <c r="B37" s="331"/>
      <c r="C37" s="331"/>
      <c r="D37" s="331"/>
      <c r="E37" s="331"/>
      <c r="F37" s="331"/>
      <c r="G37" s="331"/>
      <c r="H37" s="331"/>
      <c r="I37" s="331"/>
      <c r="J37" s="331"/>
      <c r="K37" s="331"/>
      <c r="L37" s="331"/>
      <c r="M37" s="331"/>
      <c r="N37" s="331"/>
      <c r="O37" s="331"/>
      <c r="P37" s="331"/>
      <c r="Q37" s="331"/>
      <c r="R37" s="331"/>
      <c r="S37" s="331"/>
    </row>
    <row r="38" spans="2:19" x14ac:dyDescent="0.35">
      <c r="B38" s="165" t="s">
        <v>1726</v>
      </c>
      <c r="C38" s="331"/>
      <c r="D38" s="331"/>
      <c r="E38" s="331"/>
      <c r="F38" s="331"/>
      <c r="G38" s="331"/>
      <c r="H38" s="331"/>
      <c r="I38" s="331"/>
      <c r="J38" s="331"/>
      <c r="K38" s="331"/>
      <c r="L38" s="331"/>
      <c r="M38" s="331"/>
      <c r="N38" s="331"/>
      <c r="O38" s="331"/>
      <c r="P38" s="331"/>
      <c r="Q38" s="331"/>
      <c r="R38" s="331"/>
      <c r="S38" s="331"/>
    </row>
    <row r="39" spans="2:19" x14ac:dyDescent="0.35">
      <c r="B39" s="331" t="s">
        <v>542</v>
      </c>
      <c r="C39" s="331"/>
      <c r="D39" s="331"/>
      <c r="E39" s="490">
        <v>116538</v>
      </c>
      <c r="F39" s="490">
        <v>216538</v>
      </c>
      <c r="G39" s="490">
        <v>86538</v>
      </c>
      <c r="H39" s="490">
        <v>81538</v>
      </c>
      <c r="I39" s="490">
        <v>91538</v>
      </c>
      <c r="J39" s="490">
        <v>61538</v>
      </c>
      <c r="K39" s="490">
        <v>86538</v>
      </c>
      <c r="L39" s="490">
        <v>86538</v>
      </c>
      <c r="M39" s="490">
        <v>81538</v>
      </c>
      <c r="N39" s="490">
        <v>61538</v>
      </c>
      <c r="O39" s="490">
        <v>66538</v>
      </c>
      <c r="P39" s="490">
        <v>81538</v>
      </c>
      <c r="Q39" s="490">
        <v>151538</v>
      </c>
      <c r="R39" s="490">
        <v>1270000</v>
      </c>
      <c r="S39" s="331"/>
    </row>
    <row r="40" spans="2:19" x14ac:dyDescent="0.35">
      <c r="B40" s="331" t="s">
        <v>544</v>
      </c>
      <c r="C40" s="331"/>
      <c r="D40" s="331"/>
      <c r="E40" s="331" t="s">
        <v>1707</v>
      </c>
      <c r="F40" s="331" t="s">
        <v>1707</v>
      </c>
      <c r="G40" s="331" t="s">
        <v>1707</v>
      </c>
      <c r="H40" s="490">
        <v>680000</v>
      </c>
      <c r="I40" s="490">
        <v>680000</v>
      </c>
      <c r="J40" s="490">
        <v>1811000</v>
      </c>
      <c r="K40" s="490">
        <v>2472000</v>
      </c>
      <c r="L40" s="490">
        <v>730000</v>
      </c>
      <c r="M40" s="490">
        <v>109500</v>
      </c>
      <c r="N40" s="331" t="s">
        <v>1707</v>
      </c>
      <c r="O40" s="331" t="s">
        <v>1707</v>
      </c>
      <c r="P40" s="490">
        <v>165000</v>
      </c>
      <c r="Q40" s="490">
        <v>632500</v>
      </c>
      <c r="R40" s="490">
        <v>7280000</v>
      </c>
      <c r="S40" s="331"/>
    </row>
    <row r="41" spans="2:19" x14ac:dyDescent="0.35">
      <c r="B41" s="331" t="s">
        <v>546</v>
      </c>
      <c r="C41" s="331"/>
      <c r="D41" s="331"/>
      <c r="E41" s="331" t="s">
        <v>1707</v>
      </c>
      <c r="F41" s="331" t="s">
        <v>1707</v>
      </c>
      <c r="G41" s="331" t="s">
        <v>1707</v>
      </c>
      <c r="H41" s="331" t="s">
        <v>1707</v>
      </c>
      <c r="I41" s="331" t="s">
        <v>1707</v>
      </c>
      <c r="J41" s="331" t="s">
        <v>1707</v>
      </c>
      <c r="K41" s="331" t="s">
        <v>1707</v>
      </c>
      <c r="L41" s="331" t="s">
        <v>1707</v>
      </c>
      <c r="M41" s="490">
        <v>600000</v>
      </c>
      <c r="N41" s="490">
        <v>130000</v>
      </c>
      <c r="O41" s="331" t="s">
        <v>1707</v>
      </c>
      <c r="P41" s="490">
        <v>375000</v>
      </c>
      <c r="Q41" s="331" t="s">
        <v>1707</v>
      </c>
      <c r="R41" s="490">
        <v>1105000</v>
      </c>
      <c r="S41" s="331"/>
    </row>
    <row r="42" spans="2:19" x14ac:dyDescent="0.35">
      <c r="B42" s="331" t="s">
        <v>548</v>
      </c>
      <c r="C42" s="331"/>
      <c r="D42" s="331"/>
      <c r="E42" s="331" t="s">
        <v>1707</v>
      </c>
      <c r="F42" s="331" t="s">
        <v>1707</v>
      </c>
      <c r="G42" s="331" t="s">
        <v>1707</v>
      </c>
      <c r="H42" s="490">
        <v>45000</v>
      </c>
      <c r="I42" s="331" t="s">
        <v>1707</v>
      </c>
      <c r="J42" s="331" t="s">
        <v>1707</v>
      </c>
      <c r="K42" s="331" t="s">
        <v>1707</v>
      </c>
      <c r="L42" s="331" t="s">
        <v>1707</v>
      </c>
      <c r="M42" s="331" t="s">
        <v>1707</v>
      </c>
      <c r="N42" s="331" t="s">
        <v>1707</v>
      </c>
      <c r="O42" s="490">
        <v>225000</v>
      </c>
      <c r="P42" s="490">
        <v>150000</v>
      </c>
      <c r="Q42" s="331" t="s">
        <v>1707</v>
      </c>
      <c r="R42" s="490">
        <v>420000</v>
      </c>
      <c r="S42" s="331"/>
    </row>
    <row r="43" spans="2:19" x14ac:dyDescent="0.35">
      <c r="B43" s="331" t="s">
        <v>550</v>
      </c>
      <c r="C43" s="331"/>
      <c r="D43" s="331"/>
      <c r="E43" s="331" t="s">
        <v>1707</v>
      </c>
      <c r="F43" s="331" t="s">
        <v>1707</v>
      </c>
      <c r="G43" s="331" t="s">
        <v>1707</v>
      </c>
      <c r="H43" s="331" t="s">
        <v>1707</v>
      </c>
      <c r="I43" s="331" t="s">
        <v>1707</v>
      </c>
      <c r="J43" s="331" t="s">
        <v>1707</v>
      </c>
      <c r="K43" s="490">
        <v>60000</v>
      </c>
      <c r="L43" s="490">
        <v>20000</v>
      </c>
      <c r="M43" s="490">
        <v>82000</v>
      </c>
      <c r="N43" s="490">
        <v>102000</v>
      </c>
      <c r="O43" s="490">
        <v>676000</v>
      </c>
      <c r="P43" s="490">
        <v>160000</v>
      </c>
      <c r="Q43" s="490">
        <v>100000</v>
      </c>
      <c r="R43" s="490">
        <v>1200000</v>
      </c>
      <c r="S43" s="331"/>
    </row>
    <row r="44" spans="2:19" x14ac:dyDescent="0.35">
      <c r="B44" s="331" t="s">
        <v>552</v>
      </c>
      <c r="C44" s="331"/>
      <c r="D44" s="331"/>
      <c r="E44" s="331" t="s">
        <v>1707</v>
      </c>
      <c r="F44" s="331" t="s">
        <v>1707</v>
      </c>
      <c r="G44" s="331" t="s">
        <v>1707</v>
      </c>
      <c r="H44" s="331" t="s">
        <v>1707</v>
      </c>
      <c r="I44" s="331" t="s">
        <v>1707</v>
      </c>
      <c r="J44" s="490">
        <v>620000</v>
      </c>
      <c r="K44" s="331" t="s">
        <v>1707</v>
      </c>
      <c r="L44" s="331" t="s">
        <v>1707</v>
      </c>
      <c r="M44" s="490">
        <v>900000</v>
      </c>
      <c r="N44" s="490">
        <v>1440000</v>
      </c>
      <c r="O44" s="490">
        <v>1990000</v>
      </c>
      <c r="P44" s="331" t="s">
        <v>1707</v>
      </c>
      <c r="Q44" s="331" t="s">
        <v>1707</v>
      </c>
      <c r="R44" s="490">
        <v>4950000</v>
      </c>
      <c r="S44" s="331"/>
    </row>
    <row r="45" spans="2:19" x14ac:dyDescent="0.35">
      <c r="B45" s="331" t="s">
        <v>554</v>
      </c>
      <c r="C45" s="331"/>
      <c r="D45" s="331"/>
      <c r="E45" s="331" t="s">
        <v>1707</v>
      </c>
      <c r="F45" s="331" t="s">
        <v>1707</v>
      </c>
      <c r="G45" s="331" t="s">
        <v>1707</v>
      </c>
      <c r="H45" s="331" t="s">
        <v>1707</v>
      </c>
      <c r="I45" s="331" t="s">
        <v>1707</v>
      </c>
      <c r="J45" s="331" t="s">
        <v>1707</v>
      </c>
      <c r="K45" s="331" t="s">
        <v>1707</v>
      </c>
      <c r="L45" s="331" t="s">
        <v>1707</v>
      </c>
      <c r="M45" s="490">
        <v>20000</v>
      </c>
      <c r="N45" s="331" t="s">
        <v>1707</v>
      </c>
      <c r="O45" s="490">
        <v>200000</v>
      </c>
      <c r="P45" s="331" t="s">
        <v>1707</v>
      </c>
      <c r="Q45" s="331" t="s">
        <v>1707</v>
      </c>
      <c r="R45" s="490">
        <v>220000</v>
      </c>
      <c r="S45" s="331"/>
    </row>
    <row r="46" spans="2:19" x14ac:dyDescent="0.35">
      <c r="B46" s="165"/>
      <c r="C46" s="331"/>
      <c r="D46" s="331"/>
      <c r="E46" s="331"/>
      <c r="F46" s="331"/>
      <c r="G46" s="331"/>
      <c r="H46" s="331"/>
      <c r="I46" s="331"/>
      <c r="J46" s="331"/>
      <c r="K46" s="331"/>
      <c r="L46" s="331"/>
      <c r="M46" s="331"/>
      <c r="N46" s="331"/>
      <c r="O46" s="331"/>
      <c r="P46" s="331"/>
      <c r="Q46" s="331"/>
      <c r="R46" s="492">
        <v>16445000</v>
      </c>
      <c r="S46" s="331"/>
    </row>
    <row r="47" spans="2:19" x14ac:dyDescent="0.35">
      <c r="B47" s="165"/>
      <c r="C47" s="331"/>
      <c r="D47" s="331"/>
      <c r="E47" s="331"/>
      <c r="F47" s="331"/>
      <c r="G47" s="331"/>
      <c r="H47" s="331"/>
      <c r="I47" s="331"/>
      <c r="J47" s="331"/>
      <c r="K47" s="331"/>
      <c r="L47" s="331"/>
      <c r="M47" s="331"/>
      <c r="N47" s="331"/>
      <c r="O47" s="331"/>
      <c r="P47" s="331"/>
      <c r="Q47" s="331"/>
      <c r="R47" s="331"/>
      <c r="S47" s="331"/>
    </row>
    <row r="48" spans="2:19" x14ac:dyDescent="0.35">
      <c r="B48" s="165" t="s">
        <v>1053</v>
      </c>
      <c r="C48" s="331"/>
      <c r="D48" s="331"/>
      <c r="E48" s="331"/>
      <c r="F48" s="331"/>
      <c r="G48" s="331"/>
      <c r="H48" s="331"/>
      <c r="I48" s="331"/>
      <c r="J48" s="331"/>
      <c r="K48" s="331"/>
      <c r="L48" s="331"/>
      <c r="M48" s="331"/>
      <c r="N48" s="331"/>
      <c r="O48" s="331"/>
      <c r="P48" s="331"/>
      <c r="Q48" s="331"/>
      <c r="R48" s="331"/>
      <c r="S48" s="331"/>
    </row>
    <row r="49" spans="2:18" x14ac:dyDescent="0.35">
      <c r="B49" s="331" t="s">
        <v>716</v>
      </c>
      <c r="C49" s="331"/>
      <c r="D49" s="331"/>
      <c r="E49" s="331" t="s">
        <v>1707</v>
      </c>
      <c r="F49" s="331" t="s">
        <v>1707</v>
      </c>
      <c r="G49" s="331" t="s">
        <v>1707</v>
      </c>
      <c r="H49" s="331" t="s">
        <v>1707</v>
      </c>
      <c r="I49" s="490">
        <v>10000</v>
      </c>
      <c r="J49" s="331" t="s">
        <v>1707</v>
      </c>
      <c r="K49" s="331" t="s">
        <v>1707</v>
      </c>
      <c r="L49" s="490">
        <v>20000</v>
      </c>
      <c r="M49" s="331" t="s">
        <v>1707</v>
      </c>
      <c r="N49" s="331" t="s">
        <v>1707</v>
      </c>
      <c r="O49" s="331" t="s">
        <v>1707</v>
      </c>
      <c r="P49" s="331" t="s">
        <v>1707</v>
      </c>
      <c r="Q49" s="490">
        <v>50000</v>
      </c>
      <c r="R49" s="490">
        <v>80000</v>
      </c>
    </row>
    <row r="50" spans="2:18" x14ac:dyDescent="0.35">
      <c r="B50" s="331" t="s">
        <v>1169</v>
      </c>
      <c r="C50" s="331"/>
      <c r="D50" s="331"/>
      <c r="E50" s="490">
        <v>30000</v>
      </c>
      <c r="F50" s="331" t="s">
        <v>1707</v>
      </c>
      <c r="G50" s="331" t="s">
        <v>1707</v>
      </c>
      <c r="H50" s="331" t="s">
        <v>1707</v>
      </c>
      <c r="I50" s="331" t="s">
        <v>1707</v>
      </c>
      <c r="J50" s="490">
        <v>20000</v>
      </c>
      <c r="K50" s="331" t="s">
        <v>1707</v>
      </c>
      <c r="L50" s="331" t="s">
        <v>1707</v>
      </c>
      <c r="M50" s="331" t="s">
        <v>1707</v>
      </c>
      <c r="N50" s="331" t="s">
        <v>1707</v>
      </c>
      <c r="O50" s="331" t="s">
        <v>1707</v>
      </c>
      <c r="P50" s="331" t="s">
        <v>1707</v>
      </c>
      <c r="Q50" s="331" t="s">
        <v>1707</v>
      </c>
      <c r="R50" s="490">
        <v>50000</v>
      </c>
    </row>
    <row r="51" spans="2:18" x14ac:dyDescent="0.35">
      <c r="B51" s="331" t="s">
        <v>1727</v>
      </c>
      <c r="C51" s="331"/>
      <c r="D51" s="331"/>
      <c r="E51" s="331" t="s">
        <v>1707</v>
      </c>
      <c r="F51" s="331" t="s">
        <v>1707</v>
      </c>
      <c r="G51" s="331" t="s">
        <v>1707</v>
      </c>
      <c r="H51" s="331" t="s">
        <v>1707</v>
      </c>
      <c r="I51" s="331" t="s">
        <v>1707</v>
      </c>
      <c r="J51" s="331" t="s">
        <v>1707</v>
      </c>
      <c r="K51" s="331" t="s">
        <v>1707</v>
      </c>
      <c r="L51" s="331" t="s">
        <v>1707</v>
      </c>
      <c r="M51" s="331" t="s">
        <v>1707</v>
      </c>
      <c r="N51" s="331" t="s">
        <v>1707</v>
      </c>
      <c r="O51" s="331" t="s">
        <v>1707</v>
      </c>
      <c r="P51" s="331" t="s">
        <v>1707</v>
      </c>
      <c r="Q51" s="331" t="s">
        <v>1707</v>
      </c>
      <c r="R51" s="331" t="s">
        <v>1707</v>
      </c>
    </row>
    <row r="52" spans="2:18" x14ac:dyDescent="0.35">
      <c r="B52" s="165"/>
      <c r="C52" s="331"/>
      <c r="D52" s="331"/>
      <c r="E52" s="331"/>
      <c r="F52" s="331"/>
      <c r="G52" s="331"/>
      <c r="H52" s="331"/>
      <c r="I52" s="331"/>
      <c r="J52" s="331"/>
      <c r="K52" s="331"/>
      <c r="L52" s="331"/>
      <c r="M52" s="331"/>
      <c r="N52" s="331"/>
      <c r="O52" s="331"/>
      <c r="P52" s="331"/>
      <c r="Q52" s="331"/>
      <c r="R52" s="492">
        <v>130000</v>
      </c>
    </row>
    <row r="53" spans="2:18" x14ac:dyDescent="0.35">
      <c r="B53" s="165"/>
      <c r="C53" s="331"/>
      <c r="D53" s="331"/>
      <c r="E53" s="331"/>
      <c r="F53" s="331"/>
      <c r="G53" s="331"/>
      <c r="H53" s="331"/>
      <c r="I53" s="331"/>
      <c r="J53" s="331"/>
      <c r="K53" s="331"/>
      <c r="L53" s="331"/>
      <c r="M53" s="331"/>
      <c r="N53" s="331"/>
      <c r="O53" s="331"/>
      <c r="P53" s="331"/>
      <c r="Q53" s="331"/>
      <c r="R53" s="331"/>
    </row>
    <row r="54" spans="2:18" x14ac:dyDescent="0.35">
      <c r="B54" s="165" t="s">
        <v>1634</v>
      </c>
      <c r="C54" s="331"/>
      <c r="D54" s="331"/>
      <c r="E54" s="331"/>
      <c r="F54" s="331"/>
      <c r="G54" s="331"/>
      <c r="H54" s="331"/>
      <c r="I54" s="331"/>
      <c r="J54" s="331"/>
      <c r="K54" s="331"/>
      <c r="L54" s="331"/>
      <c r="M54" s="331"/>
      <c r="N54" s="331"/>
      <c r="O54" s="331"/>
      <c r="P54" s="331"/>
      <c r="Q54" s="331"/>
      <c r="R54" s="331"/>
    </row>
    <row r="55" spans="2:18" x14ac:dyDescent="0.35">
      <c r="B55" s="331" t="s">
        <v>1728</v>
      </c>
      <c r="C55" s="331"/>
      <c r="D55" s="331"/>
      <c r="E55" s="331" t="s">
        <v>1707</v>
      </c>
      <c r="F55" s="331" t="s">
        <v>1707</v>
      </c>
      <c r="G55" s="331" t="s">
        <v>1707</v>
      </c>
      <c r="H55" s="331" t="s">
        <v>1707</v>
      </c>
      <c r="I55" s="331" t="s">
        <v>1707</v>
      </c>
      <c r="J55" s="331" t="s">
        <v>1707</v>
      </c>
      <c r="K55" s="331" t="s">
        <v>1707</v>
      </c>
      <c r="L55" s="331" t="s">
        <v>1707</v>
      </c>
      <c r="M55" s="490">
        <v>89690</v>
      </c>
      <c r="N55" s="490">
        <v>89690</v>
      </c>
      <c r="O55" s="490">
        <v>89690</v>
      </c>
      <c r="P55" s="490">
        <v>89690</v>
      </c>
      <c r="Q55" s="490">
        <v>89690</v>
      </c>
      <c r="R55" s="490">
        <v>448450</v>
      </c>
    </row>
    <row r="56" spans="2:18" x14ac:dyDescent="0.35">
      <c r="B56" s="331" t="s">
        <v>1729</v>
      </c>
      <c r="C56" s="331"/>
      <c r="D56" s="331"/>
      <c r="E56" s="331" t="s">
        <v>1707</v>
      </c>
      <c r="F56" s="331" t="s">
        <v>1707</v>
      </c>
      <c r="G56" s="331" t="s">
        <v>1707</v>
      </c>
      <c r="H56" s="331" t="s">
        <v>1707</v>
      </c>
      <c r="I56" s="331" t="s">
        <v>1707</v>
      </c>
      <c r="J56" s="331" t="s">
        <v>1707</v>
      </c>
      <c r="K56" s="331" t="s">
        <v>1707</v>
      </c>
      <c r="L56" s="331" t="s">
        <v>1707</v>
      </c>
      <c r="M56" s="331" t="s">
        <v>1707</v>
      </c>
      <c r="N56" s="331" t="s">
        <v>1707</v>
      </c>
      <c r="O56" s="331" t="s">
        <v>1707</v>
      </c>
      <c r="P56" s="331" t="s">
        <v>1707</v>
      </c>
      <c r="Q56" s="490">
        <v>162129</v>
      </c>
      <c r="R56" s="490">
        <v>162129</v>
      </c>
    </row>
    <row r="57" spans="2:18" x14ac:dyDescent="0.35">
      <c r="B57" s="331" t="s">
        <v>135</v>
      </c>
      <c r="C57" s="331"/>
      <c r="D57" s="331"/>
      <c r="E57" s="331" t="s">
        <v>1707</v>
      </c>
      <c r="F57" s="331" t="s">
        <v>1707</v>
      </c>
      <c r="G57" s="331" t="s">
        <v>1707</v>
      </c>
      <c r="H57" s="331" t="s">
        <v>1707</v>
      </c>
      <c r="I57" s="331" t="s">
        <v>1707</v>
      </c>
      <c r="J57" s="331" t="s">
        <v>1707</v>
      </c>
      <c r="K57" s="331" t="s">
        <v>1707</v>
      </c>
      <c r="L57" s="331" t="s">
        <v>1707</v>
      </c>
      <c r="M57" s="331" t="s">
        <v>1707</v>
      </c>
      <c r="N57" s="490">
        <v>5000</v>
      </c>
      <c r="O57" s="490">
        <v>5000</v>
      </c>
      <c r="P57" s="490">
        <v>5000</v>
      </c>
      <c r="Q57" s="490">
        <v>5000</v>
      </c>
      <c r="R57" s="490">
        <v>20000</v>
      </c>
    </row>
    <row r="58" spans="2:18" x14ac:dyDescent="0.35">
      <c r="B58" s="331" t="s">
        <v>734</v>
      </c>
      <c r="C58" s="331"/>
      <c r="D58" s="331"/>
      <c r="E58" s="331" t="s">
        <v>1707</v>
      </c>
      <c r="F58" s="331" t="s">
        <v>1707</v>
      </c>
      <c r="G58" s="331" t="s">
        <v>1707</v>
      </c>
      <c r="H58" s="331" t="s">
        <v>1707</v>
      </c>
      <c r="I58" s="331" t="s">
        <v>1707</v>
      </c>
      <c r="J58" s="331" t="s">
        <v>1707</v>
      </c>
      <c r="K58" s="331" t="s">
        <v>1707</v>
      </c>
      <c r="L58" s="331" t="s">
        <v>1707</v>
      </c>
      <c r="M58" s="331" t="s">
        <v>1707</v>
      </c>
      <c r="N58" s="331" t="s">
        <v>1707</v>
      </c>
      <c r="O58" s="331" t="s">
        <v>1707</v>
      </c>
      <c r="P58" s="490">
        <v>6250</v>
      </c>
      <c r="Q58" s="331" t="s">
        <v>1707</v>
      </c>
      <c r="R58" s="490">
        <v>6250</v>
      </c>
    </row>
    <row r="59" spans="2:18" x14ac:dyDescent="0.35">
      <c r="B59" s="331" t="s">
        <v>139</v>
      </c>
      <c r="C59" s="331"/>
      <c r="D59" s="331"/>
      <c r="E59" s="331" t="s">
        <v>1707</v>
      </c>
      <c r="F59" s="331" t="s">
        <v>1707</v>
      </c>
      <c r="G59" s="331" t="s">
        <v>1707</v>
      </c>
      <c r="H59" s="331" t="s">
        <v>1707</v>
      </c>
      <c r="I59" s="331" t="s">
        <v>1707</v>
      </c>
      <c r="J59" s="331" t="s">
        <v>1707</v>
      </c>
      <c r="K59" s="331" t="s">
        <v>1707</v>
      </c>
      <c r="L59" s="331" t="s">
        <v>1707</v>
      </c>
      <c r="M59" s="490">
        <v>5000</v>
      </c>
      <c r="N59" s="490">
        <v>5000</v>
      </c>
      <c r="O59" s="490">
        <v>5000</v>
      </c>
      <c r="P59" s="490">
        <v>5000</v>
      </c>
      <c r="Q59" s="490">
        <v>5000</v>
      </c>
      <c r="R59" s="490">
        <v>25000</v>
      </c>
    </row>
    <row r="60" spans="2:18" x14ac:dyDescent="0.35">
      <c r="B60" s="331" t="s">
        <v>554</v>
      </c>
      <c r="C60" s="331"/>
      <c r="D60" s="331"/>
      <c r="E60" s="331" t="s">
        <v>1707</v>
      </c>
      <c r="F60" s="331" t="s">
        <v>1707</v>
      </c>
      <c r="G60" s="331" t="s">
        <v>1707</v>
      </c>
      <c r="H60" s="331" t="s">
        <v>1707</v>
      </c>
      <c r="I60" s="331" t="s">
        <v>1707</v>
      </c>
      <c r="J60" s="331" t="s">
        <v>1707</v>
      </c>
      <c r="K60" s="331" t="s">
        <v>1707</v>
      </c>
      <c r="L60" s="331" t="s">
        <v>1707</v>
      </c>
      <c r="M60" s="490">
        <v>33333</v>
      </c>
      <c r="N60" s="490">
        <v>33333</v>
      </c>
      <c r="O60" s="490">
        <v>33333</v>
      </c>
      <c r="P60" s="490">
        <v>33333</v>
      </c>
      <c r="Q60" s="490">
        <v>33333</v>
      </c>
      <c r="R60" s="490">
        <v>166667</v>
      </c>
    </row>
    <row r="61" spans="2:18" x14ac:dyDescent="0.35">
      <c r="B61" s="331"/>
      <c r="C61" s="331"/>
      <c r="D61" s="331"/>
      <c r="E61" s="331"/>
      <c r="F61" s="331"/>
      <c r="G61" s="331"/>
      <c r="H61" s="331"/>
      <c r="I61" s="331"/>
      <c r="J61" s="331"/>
      <c r="K61" s="331"/>
      <c r="L61" s="331"/>
      <c r="M61" s="331"/>
      <c r="N61" s="331"/>
      <c r="O61" s="331"/>
      <c r="P61" s="331"/>
      <c r="Q61" s="331"/>
      <c r="R61" s="492">
        <v>828496</v>
      </c>
    </row>
    <row r="62" spans="2:18" x14ac:dyDescent="0.35">
      <c r="B62" s="331"/>
      <c r="C62" s="331"/>
      <c r="D62" s="331"/>
      <c r="E62" s="331"/>
      <c r="F62" s="331"/>
      <c r="G62" s="331"/>
      <c r="H62" s="331"/>
      <c r="I62" s="331"/>
      <c r="J62" s="331"/>
      <c r="K62" s="331"/>
      <c r="L62" s="331"/>
      <c r="M62" s="331"/>
      <c r="N62" s="331"/>
      <c r="O62" s="331"/>
      <c r="P62" s="331"/>
      <c r="Q62" s="331"/>
      <c r="R62" s="331"/>
    </row>
    <row r="63" spans="2:18" x14ac:dyDescent="0.35">
      <c r="B63" s="159" t="s">
        <v>1730</v>
      </c>
      <c r="C63" s="159"/>
      <c r="D63" s="159"/>
      <c r="E63" s="492">
        <v>926538</v>
      </c>
      <c r="F63" s="492">
        <v>216538</v>
      </c>
      <c r="G63" s="492">
        <v>86538</v>
      </c>
      <c r="H63" s="492">
        <v>806538</v>
      </c>
      <c r="I63" s="492">
        <v>781538</v>
      </c>
      <c r="J63" s="492">
        <v>2512538</v>
      </c>
      <c r="K63" s="492">
        <v>2618538</v>
      </c>
      <c r="L63" s="492">
        <v>871103</v>
      </c>
      <c r="M63" s="492">
        <v>1935627</v>
      </c>
      <c r="N63" s="492">
        <v>1881127</v>
      </c>
      <c r="O63" s="492">
        <v>3305127</v>
      </c>
      <c r="P63" s="492">
        <v>1085377</v>
      </c>
      <c r="Q63" s="492">
        <v>1243756</v>
      </c>
      <c r="R63" s="492">
        <v>18183496</v>
      </c>
    </row>
    <row r="65" spans="2:18" x14ac:dyDescent="0.35">
      <c r="B65" s="159" t="s">
        <v>1720</v>
      </c>
      <c r="C65" s="159"/>
      <c r="D65" s="159"/>
      <c r="E65" s="492">
        <v>666667</v>
      </c>
      <c r="F65" s="492">
        <v>750000</v>
      </c>
      <c r="G65" s="492">
        <v>666667</v>
      </c>
      <c r="H65" s="492">
        <v>750000</v>
      </c>
      <c r="I65" s="492">
        <v>666667</v>
      </c>
      <c r="J65" s="492">
        <v>750000</v>
      </c>
      <c r="K65" s="492">
        <v>750000</v>
      </c>
      <c r="L65" s="492">
        <v>300000</v>
      </c>
      <c r="M65" s="492">
        <v>31250</v>
      </c>
      <c r="N65" s="492">
        <v>204998</v>
      </c>
      <c r="O65" s="492">
        <v>324741</v>
      </c>
      <c r="P65" s="492">
        <v>324741</v>
      </c>
      <c r="Q65" s="492">
        <v>600993</v>
      </c>
      <c r="R65" s="492">
        <v>6786723</v>
      </c>
    </row>
  </sheetData>
  <mergeCells count="2">
    <mergeCell ref="L30:Q30"/>
    <mergeCell ref="L3:Q3"/>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D228"/>
  <sheetViews>
    <sheetView topLeftCell="A182" workbookViewId="0">
      <selection activeCell="B211" sqref="B211"/>
    </sheetView>
  </sheetViews>
  <sheetFormatPr defaultRowHeight="14.5" x14ac:dyDescent="0.35"/>
  <cols>
    <col min="1" max="1" width="32.81640625" customWidth="1"/>
    <col min="2" max="2" width="90.81640625" customWidth="1"/>
    <col min="3" max="3" width="36.453125" customWidth="1"/>
    <col min="4" max="4" width="27.1796875" customWidth="1"/>
  </cols>
  <sheetData>
    <row r="1" spans="1:4" ht="21" customHeight="1" x14ac:dyDescent="0.5">
      <c r="A1" s="316" t="s">
        <v>1731</v>
      </c>
      <c r="B1" s="317"/>
      <c r="C1" s="317"/>
      <c r="D1" s="317"/>
    </row>
    <row r="2" spans="1:4" x14ac:dyDescent="0.35">
      <c r="A2" s="329" t="s">
        <v>1732</v>
      </c>
      <c r="B2" s="329"/>
      <c r="C2" s="329"/>
      <c r="D2" s="329"/>
    </row>
    <row r="3" spans="1:4" x14ac:dyDescent="0.35">
      <c r="A3" s="329" t="s">
        <v>1733</v>
      </c>
      <c r="B3" s="329"/>
      <c r="C3" s="329"/>
      <c r="D3" s="329"/>
    </row>
    <row r="5" spans="1:4" x14ac:dyDescent="0.35">
      <c r="A5" s="329" t="s">
        <v>1734</v>
      </c>
      <c r="B5" s="329" t="s">
        <v>1734</v>
      </c>
      <c r="C5" s="329"/>
      <c r="D5" s="329"/>
    </row>
    <row r="6" spans="1:4" ht="16" customHeight="1" x14ac:dyDescent="0.4">
      <c r="A6" s="317" t="s">
        <v>1735</v>
      </c>
      <c r="B6" s="317"/>
      <c r="C6" s="317"/>
      <c r="D6" s="317"/>
    </row>
    <row r="7" spans="1:4" x14ac:dyDescent="0.35">
      <c r="A7" s="329" t="s">
        <v>1734</v>
      </c>
      <c r="B7" s="329" t="s">
        <v>1734</v>
      </c>
      <c r="C7" s="329"/>
      <c r="D7" s="329"/>
    </row>
    <row r="9" spans="1:4" x14ac:dyDescent="0.35">
      <c r="A9" s="318" t="s">
        <v>216</v>
      </c>
      <c r="B9" s="318" t="s">
        <v>1736</v>
      </c>
      <c r="C9" s="318" t="s">
        <v>1737</v>
      </c>
      <c r="D9" s="318" t="s">
        <v>358</v>
      </c>
    </row>
    <row r="10" spans="1:4" x14ac:dyDescent="0.35">
      <c r="A10" s="329" t="s">
        <v>1738</v>
      </c>
      <c r="B10" s="319">
        <v>0.72</v>
      </c>
      <c r="C10" s="319">
        <v>0.78</v>
      </c>
      <c r="D10" s="329" t="s">
        <v>1739</v>
      </c>
    </row>
    <row r="11" spans="1:4" x14ac:dyDescent="0.35">
      <c r="A11" s="329" t="s">
        <v>1740</v>
      </c>
      <c r="B11" s="319">
        <v>0.7</v>
      </c>
      <c r="C11" s="319">
        <v>0.72</v>
      </c>
      <c r="D11" s="329" t="s">
        <v>1739</v>
      </c>
    </row>
    <row r="12" spans="1:4" x14ac:dyDescent="0.35">
      <c r="A12" s="329" t="s">
        <v>1741</v>
      </c>
      <c r="B12" s="319">
        <v>0.68</v>
      </c>
      <c r="C12" s="319">
        <v>0.82</v>
      </c>
      <c r="D12" s="329" t="s">
        <v>1742</v>
      </c>
    </row>
    <row r="13" spans="1:4" x14ac:dyDescent="0.35">
      <c r="A13" s="329" t="s">
        <v>1743</v>
      </c>
      <c r="B13" s="319">
        <v>0.78</v>
      </c>
      <c r="C13" s="319">
        <v>0.85</v>
      </c>
      <c r="D13" s="329" t="s">
        <v>1739</v>
      </c>
    </row>
    <row r="14" spans="1:4" x14ac:dyDescent="0.35">
      <c r="A14" s="329" t="s">
        <v>1744</v>
      </c>
      <c r="B14" s="319">
        <v>0.75</v>
      </c>
      <c r="C14" s="319">
        <v>0.8</v>
      </c>
      <c r="D14" s="329" t="s">
        <v>1739</v>
      </c>
    </row>
    <row r="15" spans="1:4" x14ac:dyDescent="0.35">
      <c r="A15" s="329" t="s">
        <v>1745</v>
      </c>
      <c r="B15" s="319">
        <v>0.62</v>
      </c>
      <c r="C15" s="319">
        <v>0.85</v>
      </c>
      <c r="D15" s="329" t="s">
        <v>1742</v>
      </c>
    </row>
    <row r="16" spans="1:4" x14ac:dyDescent="0.35">
      <c r="A16" s="329" t="s">
        <v>1746</v>
      </c>
      <c r="B16" s="319">
        <v>0.7</v>
      </c>
      <c r="C16" s="319">
        <v>0.8</v>
      </c>
      <c r="D16" s="329" t="s">
        <v>1739</v>
      </c>
    </row>
    <row r="17" spans="1:4" x14ac:dyDescent="0.35">
      <c r="A17" s="329" t="s">
        <v>1747</v>
      </c>
      <c r="B17" s="319">
        <v>0.75</v>
      </c>
      <c r="C17" s="319">
        <v>0.8</v>
      </c>
      <c r="D17" s="329" t="s">
        <v>1739</v>
      </c>
    </row>
    <row r="19" spans="1:4" x14ac:dyDescent="0.35">
      <c r="A19" s="329" t="s">
        <v>1748</v>
      </c>
      <c r="B19" s="319">
        <v>0.71</v>
      </c>
      <c r="C19" s="329" t="s">
        <v>1749</v>
      </c>
      <c r="D19" s="319">
        <v>0.8</v>
      </c>
    </row>
    <row r="21" spans="1:4" x14ac:dyDescent="0.35">
      <c r="A21" s="329" t="s">
        <v>1734</v>
      </c>
      <c r="B21" s="329" t="s">
        <v>1734</v>
      </c>
      <c r="C21" s="329"/>
      <c r="D21" s="329"/>
    </row>
    <row r="22" spans="1:4" ht="16" customHeight="1" x14ac:dyDescent="0.4">
      <c r="A22" s="317" t="s">
        <v>1750</v>
      </c>
      <c r="B22" s="317"/>
      <c r="C22" s="317"/>
      <c r="D22" s="317"/>
    </row>
    <row r="23" spans="1:4" x14ac:dyDescent="0.35">
      <c r="A23" s="329" t="s">
        <v>1734</v>
      </c>
      <c r="B23" s="329" t="s">
        <v>1734</v>
      </c>
      <c r="C23" s="329"/>
      <c r="D23" s="329"/>
    </row>
    <row r="25" spans="1:4" x14ac:dyDescent="0.35">
      <c r="A25" s="318" t="s">
        <v>1751</v>
      </c>
      <c r="B25" s="318" t="s">
        <v>72</v>
      </c>
      <c r="C25" s="318" t="s">
        <v>1752</v>
      </c>
      <c r="D25" s="318" t="s">
        <v>1753</v>
      </c>
    </row>
    <row r="26" spans="1:4" x14ac:dyDescent="0.35">
      <c r="A26" s="329">
        <v>1</v>
      </c>
      <c r="B26" s="329" t="s">
        <v>1754</v>
      </c>
      <c r="C26" s="329" t="s">
        <v>1755</v>
      </c>
      <c r="D26" s="329" t="s">
        <v>1756</v>
      </c>
    </row>
    <row r="27" spans="1:4" x14ac:dyDescent="0.35">
      <c r="A27" s="329">
        <v>2</v>
      </c>
      <c r="B27" s="329" t="s">
        <v>1757</v>
      </c>
      <c r="C27" s="329" t="s">
        <v>1758</v>
      </c>
      <c r="D27" s="329" t="s">
        <v>1759</v>
      </c>
    </row>
    <row r="28" spans="1:4" x14ac:dyDescent="0.35">
      <c r="A28" s="329">
        <v>3</v>
      </c>
      <c r="B28" s="329" t="s">
        <v>1760</v>
      </c>
      <c r="C28" s="329" t="s">
        <v>1761</v>
      </c>
      <c r="D28" s="329" t="s">
        <v>1762</v>
      </c>
    </row>
    <row r="29" spans="1:4" x14ac:dyDescent="0.35">
      <c r="A29" s="329">
        <v>4</v>
      </c>
      <c r="B29" s="329" t="s">
        <v>1763</v>
      </c>
      <c r="C29" s="329" t="s">
        <v>1764</v>
      </c>
      <c r="D29" s="329" t="s">
        <v>1765</v>
      </c>
    </row>
    <row r="30" spans="1:4" x14ac:dyDescent="0.35">
      <c r="A30" s="329">
        <v>5</v>
      </c>
      <c r="B30" s="329" t="s">
        <v>1766</v>
      </c>
      <c r="C30" s="329" t="s">
        <v>1767</v>
      </c>
      <c r="D30" s="329" t="s">
        <v>1768</v>
      </c>
    </row>
    <row r="31" spans="1:4" x14ac:dyDescent="0.35">
      <c r="A31" s="329">
        <v>6</v>
      </c>
      <c r="B31" s="329" t="s">
        <v>1769</v>
      </c>
      <c r="C31" s="329" t="s">
        <v>1770</v>
      </c>
      <c r="D31" s="329" t="s">
        <v>1771</v>
      </c>
    </row>
    <row r="33" spans="1:4" x14ac:dyDescent="0.35">
      <c r="A33" s="329" t="s">
        <v>1734</v>
      </c>
      <c r="B33" s="329" t="s">
        <v>1734</v>
      </c>
      <c r="C33" s="329"/>
      <c r="D33" s="329"/>
    </row>
    <row r="34" spans="1:4" ht="16" customHeight="1" x14ac:dyDescent="0.4">
      <c r="A34" s="317" t="s">
        <v>1772</v>
      </c>
      <c r="B34" s="317"/>
      <c r="C34" s="317"/>
      <c r="D34" s="317"/>
    </row>
    <row r="35" spans="1:4" x14ac:dyDescent="0.35">
      <c r="A35" s="329" t="s">
        <v>1734</v>
      </c>
      <c r="B35" s="329" t="s">
        <v>1734</v>
      </c>
      <c r="C35" s="329"/>
      <c r="D35" s="329"/>
    </row>
    <row r="37" spans="1:4" x14ac:dyDescent="0.35">
      <c r="A37" s="329" t="s">
        <v>1773</v>
      </c>
      <c r="B37" s="329" t="s">
        <v>72</v>
      </c>
      <c r="C37" s="329" t="s">
        <v>1774</v>
      </c>
      <c r="D37" s="329" t="s">
        <v>1775</v>
      </c>
    </row>
    <row r="38" spans="1:4" x14ac:dyDescent="0.35">
      <c r="A38" s="318" t="s">
        <v>1776</v>
      </c>
      <c r="B38" s="318" t="s">
        <v>1777</v>
      </c>
      <c r="C38" s="318" t="s">
        <v>1778</v>
      </c>
      <c r="D38" s="318" t="s">
        <v>1779</v>
      </c>
    </row>
    <row r="39" spans="1:4" x14ac:dyDescent="0.35">
      <c r="A39" s="329" t="s">
        <v>1780</v>
      </c>
      <c r="B39" s="329" t="s">
        <v>1781</v>
      </c>
      <c r="C39" s="329" t="s">
        <v>1782</v>
      </c>
      <c r="D39" s="329" t="s">
        <v>1783</v>
      </c>
    </row>
    <row r="40" spans="1:4" x14ac:dyDescent="0.35">
      <c r="A40" s="329" t="s">
        <v>1784</v>
      </c>
      <c r="B40" s="329" t="s">
        <v>1785</v>
      </c>
      <c r="C40" s="329" t="s">
        <v>1786</v>
      </c>
      <c r="D40" s="329" t="s">
        <v>1787</v>
      </c>
    </row>
    <row r="41" spans="1:4" x14ac:dyDescent="0.35">
      <c r="A41" s="329" t="s">
        <v>1788</v>
      </c>
      <c r="B41" s="329" t="s">
        <v>1789</v>
      </c>
      <c r="C41" s="329" t="s">
        <v>1790</v>
      </c>
      <c r="D41" s="329" t="s">
        <v>1791</v>
      </c>
    </row>
    <row r="42" spans="1:4" x14ac:dyDescent="0.35">
      <c r="A42" s="329" t="s">
        <v>1792</v>
      </c>
      <c r="B42" s="329" t="s">
        <v>1793</v>
      </c>
      <c r="C42" s="329" t="s">
        <v>1794</v>
      </c>
      <c r="D42" s="329" t="s">
        <v>1795</v>
      </c>
    </row>
    <row r="43" spans="1:4" x14ac:dyDescent="0.35">
      <c r="A43" s="329" t="s">
        <v>1796</v>
      </c>
      <c r="B43" s="329" t="s">
        <v>1797</v>
      </c>
      <c r="C43" s="329" t="s">
        <v>1798</v>
      </c>
      <c r="D43" s="329" t="s">
        <v>1799</v>
      </c>
    </row>
    <row r="44" spans="1:4" x14ac:dyDescent="0.35">
      <c r="A44" s="329" t="s">
        <v>1800</v>
      </c>
      <c r="B44" s="329" t="s">
        <v>1801</v>
      </c>
      <c r="C44" s="329" t="s">
        <v>1802</v>
      </c>
      <c r="D44" s="329" t="s">
        <v>1803</v>
      </c>
    </row>
    <row r="45" spans="1:4" x14ac:dyDescent="0.35">
      <c r="A45" s="329" t="s">
        <v>1804</v>
      </c>
      <c r="B45" s="329" t="s">
        <v>1805</v>
      </c>
      <c r="C45" s="329" t="s">
        <v>1806</v>
      </c>
      <c r="D45" s="329" t="s">
        <v>1807</v>
      </c>
    </row>
    <row r="46" spans="1:4" x14ac:dyDescent="0.35">
      <c r="A46" s="329" t="s">
        <v>1808</v>
      </c>
      <c r="B46" s="329" t="s">
        <v>1809</v>
      </c>
      <c r="C46" s="329" t="s">
        <v>1810</v>
      </c>
      <c r="D46" s="329" t="s">
        <v>1811</v>
      </c>
    </row>
    <row r="48" spans="1:4" x14ac:dyDescent="0.35">
      <c r="A48" s="329" t="s">
        <v>1734</v>
      </c>
      <c r="B48" s="329" t="s">
        <v>1734</v>
      </c>
      <c r="C48" s="329"/>
      <c r="D48" s="329"/>
    </row>
    <row r="49" spans="1:3" x14ac:dyDescent="0.35">
      <c r="A49" s="329" t="s">
        <v>1812</v>
      </c>
      <c r="B49" s="329"/>
      <c r="C49" s="329"/>
    </row>
    <row r="50" spans="1:3" x14ac:dyDescent="0.35">
      <c r="A50" s="329" t="s">
        <v>1734</v>
      </c>
      <c r="B50" s="329" t="s">
        <v>1734</v>
      </c>
      <c r="C50" s="329"/>
    </row>
    <row r="52" spans="1:3" x14ac:dyDescent="0.35">
      <c r="A52" s="329" t="s">
        <v>1302</v>
      </c>
      <c r="B52" s="329" t="s">
        <v>1813</v>
      </c>
      <c r="C52" s="329" t="s">
        <v>358</v>
      </c>
    </row>
    <row r="53" spans="1:3" ht="16" customHeight="1" x14ac:dyDescent="0.4">
      <c r="A53" s="317" t="s">
        <v>1814</v>
      </c>
      <c r="B53" s="317" t="s">
        <v>1815</v>
      </c>
      <c r="C53" s="317" t="s">
        <v>1816</v>
      </c>
    </row>
    <row r="54" spans="1:3" x14ac:dyDescent="0.35">
      <c r="A54" s="329" t="s">
        <v>1817</v>
      </c>
      <c r="B54" s="329" t="s">
        <v>1815</v>
      </c>
      <c r="C54" s="329" t="s">
        <v>1816</v>
      </c>
    </row>
    <row r="55" spans="1:3" x14ac:dyDescent="0.35">
      <c r="A55" s="318" t="s">
        <v>1818</v>
      </c>
      <c r="B55" s="318" t="s">
        <v>1815</v>
      </c>
      <c r="C55" s="318" t="s">
        <v>1816</v>
      </c>
    </row>
    <row r="56" spans="1:3" x14ac:dyDescent="0.35">
      <c r="A56" s="329" t="s">
        <v>1819</v>
      </c>
      <c r="B56" s="329">
        <v>0</v>
      </c>
      <c r="C56" s="329" t="s">
        <v>1816</v>
      </c>
    </row>
    <row r="57" spans="1:3" x14ac:dyDescent="0.35">
      <c r="A57" s="329" t="s">
        <v>1820</v>
      </c>
      <c r="B57" s="329">
        <v>0</v>
      </c>
      <c r="C57" s="329" t="s">
        <v>1816</v>
      </c>
    </row>
    <row r="58" spans="1:3" x14ac:dyDescent="0.35">
      <c r="A58" s="329" t="s">
        <v>1821</v>
      </c>
      <c r="B58" s="329">
        <v>0</v>
      </c>
      <c r="C58" s="329" t="s">
        <v>1816</v>
      </c>
    </row>
    <row r="59" spans="1:3" x14ac:dyDescent="0.35">
      <c r="A59" s="329" t="s">
        <v>1822</v>
      </c>
      <c r="B59" s="329" t="s">
        <v>1823</v>
      </c>
      <c r="C59" s="329" t="s">
        <v>1816</v>
      </c>
    </row>
    <row r="60" spans="1:3" x14ac:dyDescent="0.35">
      <c r="A60" s="329" t="s">
        <v>1824</v>
      </c>
      <c r="B60" s="329" t="s">
        <v>1825</v>
      </c>
      <c r="C60" s="329" t="s">
        <v>1816</v>
      </c>
    </row>
    <row r="62" spans="1:3" x14ac:dyDescent="0.35">
      <c r="A62" s="329" t="s">
        <v>1734</v>
      </c>
      <c r="B62" s="329" t="s">
        <v>1734</v>
      </c>
      <c r="C62" s="329"/>
    </row>
    <row r="63" spans="1:3" ht="16" customHeight="1" x14ac:dyDescent="0.4">
      <c r="A63" s="317" t="s">
        <v>1826</v>
      </c>
      <c r="B63" s="317"/>
      <c r="C63" s="317"/>
    </row>
    <row r="64" spans="1:3" x14ac:dyDescent="0.35">
      <c r="A64" s="329" t="s">
        <v>1734</v>
      </c>
      <c r="B64" s="329" t="s">
        <v>1734</v>
      </c>
      <c r="C64" s="329"/>
    </row>
    <row r="66" spans="1:4" x14ac:dyDescent="0.35">
      <c r="A66" s="329" t="s">
        <v>1752</v>
      </c>
      <c r="B66" s="329" t="s">
        <v>1827</v>
      </c>
      <c r="C66" s="329" t="s">
        <v>39</v>
      </c>
      <c r="D66" s="329" t="s">
        <v>1828</v>
      </c>
    </row>
    <row r="67" spans="1:4" x14ac:dyDescent="0.35">
      <c r="A67" s="329" t="s">
        <v>1829</v>
      </c>
      <c r="B67" s="329" t="s">
        <v>1830</v>
      </c>
      <c r="C67" s="329" t="s">
        <v>1831</v>
      </c>
      <c r="D67" s="329" t="s">
        <v>1832</v>
      </c>
    </row>
    <row r="68" spans="1:4" x14ac:dyDescent="0.35">
      <c r="A68" s="318" t="s">
        <v>1833</v>
      </c>
      <c r="B68" s="318" t="s">
        <v>1834</v>
      </c>
      <c r="C68" s="318" t="s">
        <v>1835</v>
      </c>
      <c r="D68" s="318" t="s">
        <v>1836</v>
      </c>
    </row>
    <row r="69" spans="1:4" x14ac:dyDescent="0.35">
      <c r="A69" s="329" t="s">
        <v>1837</v>
      </c>
      <c r="B69" s="329" t="s">
        <v>1838</v>
      </c>
      <c r="C69" s="329" t="s">
        <v>1835</v>
      </c>
      <c r="D69" s="329" t="s">
        <v>1839</v>
      </c>
    </row>
    <row r="70" spans="1:4" x14ac:dyDescent="0.35">
      <c r="A70" s="329" t="s">
        <v>1840</v>
      </c>
      <c r="B70" s="329" t="s">
        <v>1841</v>
      </c>
      <c r="C70" s="329" t="s">
        <v>1835</v>
      </c>
      <c r="D70" s="329" t="s">
        <v>1836</v>
      </c>
    </row>
    <row r="71" spans="1:4" x14ac:dyDescent="0.35">
      <c r="A71" s="329" t="s">
        <v>1842</v>
      </c>
      <c r="B71" s="329" t="s">
        <v>1843</v>
      </c>
      <c r="C71" s="329" t="s">
        <v>1844</v>
      </c>
      <c r="D71" s="329" t="s">
        <v>1845</v>
      </c>
    </row>
    <row r="72" spans="1:4" x14ac:dyDescent="0.35">
      <c r="A72" s="329" t="s">
        <v>1846</v>
      </c>
      <c r="B72" s="329" t="s">
        <v>1847</v>
      </c>
      <c r="C72" s="329" t="s">
        <v>1848</v>
      </c>
      <c r="D72" s="329" t="s">
        <v>1849</v>
      </c>
    </row>
    <row r="73" spans="1:4" ht="16" customHeight="1" x14ac:dyDescent="0.4">
      <c r="A73" s="317" t="s">
        <v>1850</v>
      </c>
      <c r="B73" s="317" t="s">
        <v>1851</v>
      </c>
      <c r="C73" s="317" t="s">
        <v>1852</v>
      </c>
      <c r="D73" s="317" t="s">
        <v>1853</v>
      </c>
    </row>
    <row r="75" spans="1:4" x14ac:dyDescent="0.35">
      <c r="A75" s="329" t="s">
        <v>1734</v>
      </c>
      <c r="B75" s="329" t="s">
        <v>1734</v>
      </c>
      <c r="C75" s="329"/>
      <c r="D75" s="329"/>
    </row>
    <row r="76" spans="1:4" x14ac:dyDescent="0.35">
      <c r="A76" s="329" t="s">
        <v>1854</v>
      </c>
      <c r="B76" s="329"/>
      <c r="C76" s="329"/>
      <c r="D76" s="329"/>
    </row>
    <row r="77" spans="1:4" x14ac:dyDescent="0.35">
      <c r="A77" s="329" t="s">
        <v>1734</v>
      </c>
      <c r="B77" s="329" t="s">
        <v>1734</v>
      </c>
      <c r="C77" s="329"/>
      <c r="D77" s="329"/>
    </row>
    <row r="78" spans="1:4" x14ac:dyDescent="0.35">
      <c r="A78" s="318"/>
      <c r="B78" s="318"/>
      <c r="C78" s="318"/>
      <c r="D78" s="318"/>
    </row>
    <row r="79" spans="1:4" x14ac:dyDescent="0.35">
      <c r="A79" s="329" t="s">
        <v>38</v>
      </c>
      <c r="B79" s="329" t="s">
        <v>39</v>
      </c>
      <c r="C79" s="329" t="s">
        <v>1855</v>
      </c>
      <c r="D79" s="329"/>
    </row>
    <row r="80" spans="1:4" x14ac:dyDescent="0.35">
      <c r="A80" s="329" t="s">
        <v>472</v>
      </c>
      <c r="B80" s="329" t="s">
        <v>1856</v>
      </c>
      <c r="C80" s="329" t="s">
        <v>1857</v>
      </c>
      <c r="D80" s="329"/>
    </row>
    <row r="81" spans="1:3" x14ac:dyDescent="0.35">
      <c r="A81" s="329" t="s">
        <v>83</v>
      </c>
      <c r="B81" s="329" t="s">
        <v>1858</v>
      </c>
      <c r="C81" s="329" t="s">
        <v>1857</v>
      </c>
    </row>
    <row r="82" spans="1:3" x14ac:dyDescent="0.35">
      <c r="A82" s="329" t="s">
        <v>19</v>
      </c>
      <c r="B82" s="493">
        <v>13660000</v>
      </c>
      <c r="C82" s="329" t="s">
        <v>1859</v>
      </c>
    </row>
    <row r="83" spans="1:3" ht="16" customHeight="1" x14ac:dyDescent="0.4">
      <c r="A83" s="317" t="s">
        <v>1860</v>
      </c>
      <c r="B83" s="317" t="s">
        <v>1861</v>
      </c>
      <c r="C83" s="317" t="s">
        <v>1862</v>
      </c>
    </row>
    <row r="84" spans="1:3" x14ac:dyDescent="0.35">
      <c r="A84" s="329" t="s">
        <v>1863</v>
      </c>
      <c r="B84" s="329" t="s">
        <v>1864</v>
      </c>
      <c r="C84" s="329" t="s">
        <v>1865</v>
      </c>
    </row>
    <row r="85" spans="1:3" x14ac:dyDescent="0.35">
      <c r="A85" s="329" t="s">
        <v>1866</v>
      </c>
      <c r="B85" s="329" t="s">
        <v>1867</v>
      </c>
      <c r="C85" s="329" t="s">
        <v>1868</v>
      </c>
    </row>
    <row r="86" spans="1:3" x14ac:dyDescent="0.35">
      <c r="A86" s="329" t="s">
        <v>1869</v>
      </c>
      <c r="B86" s="329" t="s">
        <v>31</v>
      </c>
      <c r="C86" s="329" t="s">
        <v>1870</v>
      </c>
    </row>
    <row r="87" spans="1:3" x14ac:dyDescent="0.35">
      <c r="A87" s="329" t="s">
        <v>1871</v>
      </c>
      <c r="B87" s="329" t="s">
        <v>1872</v>
      </c>
      <c r="C87" s="329" t="s">
        <v>1873</v>
      </c>
    </row>
    <row r="88" spans="1:3" x14ac:dyDescent="0.35">
      <c r="A88" s="318"/>
      <c r="B88" s="318"/>
      <c r="C88" s="318"/>
    </row>
    <row r="89" spans="1:3" x14ac:dyDescent="0.35">
      <c r="A89" s="329" t="s">
        <v>1734</v>
      </c>
      <c r="B89" s="329" t="s">
        <v>1734</v>
      </c>
      <c r="C89" s="329"/>
    </row>
    <row r="90" spans="1:3" x14ac:dyDescent="0.35">
      <c r="A90" s="329" t="s">
        <v>1874</v>
      </c>
      <c r="B90" s="329"/>
      <c r="C90" s="329"/>
    </row>
    <row r="91" spans="1:3" x14ac:dyDescent="0.35">
      <c r="A91" s="329" t="s">
        <v>1734</v>
      </c>
      <c r="B91" s="329" t="s">
        <v>1734</v>
      </c>
      <c r="C91" s="329"/>
    </row>
    <row r="93" spans="1:3" ht="16" customHeight="1" x14ac:dyDescent="0.4">
      <c r="A93" s="317" t="s">
        <v>1875</v>
      </c>
      <c r="B93" s="317" t="s">
        <v>1813</v>
      </c>
      <c r="C93" s="317" t="s">
        <v>56</v>
      </c>
    </row>
    <row r="94" spans="1:3" x14ac:dyDescent="0.35">
      <c r="A94" s="329" t="s">
        <v>1876</v>
      </c>
      <c r="B94" s="329" t="s">
        <v>1816</v>
      </c>
      <c r="C94" s="329" t="s">
        <v>1877</v>
      </c>
    </row>
    <row r="95" spans="1:3" x14ac:dyDescent="0.35">
      <c r="A95" s="318" t="s">
        <v>1878</v>
      </c>
      <c r="B95" s="318" t="s">
        <v>1816</v>
      </c>
      <c r="C95" s="318" t="s">
        <v>1879</v>
      </c>
    </row>
    <row r="96" spans="1:3" x14ac:dyDescent="0.35">
      <c r="A96" s="329" t="s">
        <v>1880</v>
      </c>
      <c r="B96" s="329" t="s">
        <v>1816</v>
      </c>
      <c r="C96" s="329" t="s">
        <v>1881</v>
      </c>
    </row>
    <row r="97" spans="1:4" x14ac:dyDescent="0.35">
      <c r="A97" s="329" t="s">
        <v>1882</v>
      </c>
      <c r="B97" s="329" t="s">
        <v>1816</v>
      </c>
      <c r="C97" s="329" t="s">
        <v>1883</v>
      </c>
      <c r="D97" s="329"/>
    </row>
    <row r="98" spans="1:4" x14ac:dyDescent="0.35">
      <c r="A98" s="329" t="s">
        <v>1884</v>
      </c>
      <c r="B98" s="329" t="s">
        <v>1816</v>
      </c>
      <c r="C98" s="329" t="s">
        <v>1885</v>
      </c>
      <c r="D98" s="329"/>
    </row>
    <row r="99" spans="1:4" x14ac:dyDescent="0.35">
      <c r="A99" s="329" t="s">
        <v>1886</v>
      </c>
      <c r="B99" s="329" t="s">
        <v>1816</v>
      </c>
      <c r="C99" s="329" t="s">
        <v>1887</v>
      </c>
      <c r="D99" s="329"/>
    </row>
    <row r="100" spans="1:4" x14ac:dyDescent="0.35">
      <c r="A100" s="329" t="s">
        <v>1888</v>
      </c>
      <c r="B100" s="329" t="s">
        <v>1816</v>
      </c>
      <c r="C100" s="329" t="s">
        <v>1889</v>
      </c>
      <c r="D100" s="329"/>
    </row>
    <row r="102" spans="1:4" x14ac:dyDescent="0.35">
      <c r="A102" s="329" t="s">
        <v>1734</v>
      </c>
      <c r="B102" s="329" t="s">
        <v>1734</v>
      </c>
      <c r="C102" s="329"/>
      <c r="D102" s="329"/>
    </row>
    <row r="103" spans="1:4" ht="16" customHeight="1" x14ac:dyDescent="0.4">
      <c r="A103" s="317" t="s">
        <v>1890</v>
      </c>
      <c r="B103" s="317"/>
      <c r="C103" s="317"/>
      <c r="D103" s="317"/>
    </row>
    <row r="104" spans="1:4" x14ac:dyDescent="0.35">
      <c r="A104" s="329" t="s">
        <v>1734</v>
      </c>
      <c r="B104" s="329" t="s">
        <v>1734</v>
      </c>
      <c r="C104" s="329"/>
      <c r="D104" s="329"/>
    </row>
    <row r="106" spans="1:4" x14ac:dyDescent="0.35">
      <c r="A106" s="318" t="s">
        <v>1891</v>
      </c>
      <c r="B106" s="318" t="s">
        <v>1892</v>
      </c>
      <c r="C106" s="318" t="s">
        <v>1893</v>
      </c>
      <c r="D106" s="318" t="s">
        <v>1894</v>
      </c>
    </row>
    <row r="108" spans="1:4" x14ac:dyDescent="0.35">
      <c r="A108" s="329">
        <v>1</v>
      </c>
      <c r="B108" s="329" t="s">
        <v>1895</v>
      </c>
      <c r="C108" s="329" t="s">
        <v>1896</v>
      </c>
      <c r="D108" s="329" t="s">
        <v>1897</v>
      </c>
    </row>
    <row r="110" spans="1:4" x14ac:dyDescent="0.35">
      <c r="A110" s="329">
        <v>2</v>
      </c>
      <c r="B110" s="329" t="s">
        <v>1898</v>
      </c>
      <c r="C110" s="329" t="s">
        <v>1899</v>
      </c>
      <c r="D110" s="329" t="s">
        <v>1897</v>
      </c>
    </row>
    <row r="112" spans="1:4" x14ac:dyDescent="0.35">
      <c r="A112" s="329">
        <v>3</v>
      </c>
      <c r="B112" s="329" t="s">
        <v>1900</v>
      </c>
      <c r="C112" s="329" t="s">
        <v>1901</v>
      </c>
      <c r="D112" s="329" t="s">
        <v>1902</v>
      </c>
    </row>
    <row r="114" spans="1:4" x14ac:dyDescent="0.35">
      <c r="A114" s="329">
        <v>4</v>
      </c>
      <c r="B114" s="329" t="s">
        <v>1903</v>
      </c>
      <c r="C114" s="329" t="s">
        <v>1904</v>
      </c>
      <c r="D114" s="329" t="s">
        <v>1902</v>
      </c>
    </row>
    <row r="116" spans="1:4" x14ac:dyDescent="0.35">
      <c r="A116" s="329">
        <v>5</v>
      </c>
      <c r="B116" s="329" t="s">
        <v>1905</v>
      </c>
      <c r="C116" s="329" t="s">
        <v>1906</v>
      </c>
      <c r="D116" s="329" t="s">
        <v>1902</v>
      </c>
    </row>
    <row r="118" spans="1:4" x14ac:dyDescent="0.35">
      <c r="A118" s="329">
        <v>6</v>
      </c>
      <c r="B118" s="329" t="s">
        <v>1907</v>
      </c>
      <c r="C118" s="329" t="s">
        <v>1908</v>
      </c>
      <c r="D118" s="329" t="s">
        <v>1902</v>
      </c>
    </row>
    <row r="120" spans="1:4" x14ac:dyDescent="0.35">
      <c r="A120" s="329">
        <v>7</v>
      </c>
      <c r="B120" s="329" t="s">
        <v>1909</v>
      </c>
      <c r="C120" s="329" t="s">
        <v>1910</v>
      </c>
      <c r="D120" s="329" t="s">
        <v>1911</v>
      </c>
    </row>
    <row r="122" spans="1:4" x14ac:dyDescent="0.35">
      <c r="A122" s="329">
        <v>8</v>
      </c>
      <c r="B122" s="329" t="s">
        <v>1912</v>
      </c>
      <c r="C122" s="329" t="s">
        <v>1913</v>
      </c>
      <c r="D122" s="329" t="s">
        <v>1911</v>
      </c>
    </row>
    <row r="124" spans="1:4" x14ac:dyDescent="0.35">
      <c r="A124" s="329">
        <v>9</v>
      </c>
      <c r="B124" s="329" t="s">
        <v>1914</v>
      </c>
      <c r="C124" s="329" t="s">
        <v>1915</v>
      </c>
      <c r="D124" s="329" t="s">
        <v>1911</v>
      </c>
    </row>
    <row r="126" spans="1:4" x14ac:dyDescent="0.35">
      <c r="A126" s="329">
        <v>10</v>
      </c>
      <c r="B126" s="329" t="s">
        <v>1916</v>
      </c>
      <c r="C126" s="329" t="s">
        <v>1917</v>
      </c>
      <c r="D126" s="329" t="s">
        <v>1911</v>
      </c>
    </row>
    <row r="128" spans="1:4" x14ac:dyDescent="0.35">
      <c r="A128" s="329">
        <v>11</v>
      </c>
      <c r="B128" s="329" t="s">
        <v>1918</v>
      </c>
      <c r="C128" s="329" t="s">
        <v>1919</v>
      </c>
      <c r="D128" s="329" t="s">
        <v>1911</v>
      </c>
    </row>
    <row r="130" spans="1:4" x14ac:dyDescent="0.35">
      <c r="A130" s="329">
        <v>12</v>
      </c>
      <c r="B130" s="329" t="s">
        <v>1920</v>
      </c>
      <c r="C130" s="329" t="s">
        <v>1921</v>
      </c>
      <c r="D130" s="329" t="s">
        <v>1911</v>
      </c>
    </row>
    <row r="132" spans="1:4" ht="16" customHeight="1" x14ac:dyDescent="0.4">
      <c r="A132" s="317">
        <v>13</v>
      </c>
      <c r="B132" s="317" t="s">
        <v>1922</v>
      </c>
      <c r="C132" s="317" t="s">
        <v>1923</v>
      </c>
      <c r="D132" s="317" t="s">
        <v>1924</v>
      </c>
    </row>
    <row r="134" spans="1:4" x14ac:dyDescent="0.35">
      <c r="A134" s="329">
        <v>14</v>
      </c>
      <c r="B134" s="329" t="s">
        <v>1925</v>
      </c>
      <c r="C134" s="329" t="s">
        <v>1926</v>
      </c>
      <c r="D134" s="329" t="s">
        <v>1924</v>
      </c>
    </row>
    <row r="135" spans="1:4" ht="16" customHeight="1" x14ac:dyDescent="0.4">
      <c r="A135" s="317"/>
      <c r="B135" s="317"/>
      <c r="C135" s="317"/>
      <c r="D135" s="317"/>
    </row>
    <row r="136" spans="1:4" x14ac:dyDescent="0.35">
      <c r="A136" s="329">
        <v>15</v>
      </c>
      <c r="B136" s="329" t="s">
        <v>1927</v>
      </c>
      <c r="C136" s="329" t="s">
        <v>1928</v>
      </c>
      <c r="D136" s="329" t="s">
        <v>1924</v>
      </c>
    </row>
    <row r="138" spans="1:4" x14ac:dyDescent="0.35">
      <c r="A138" s="329" t="s">
        <v>1734</v>
      </c>
      <c r="B138" s="329" t="s">
        <v>1734</v>
      </c>
      <c r="C138" s="329"/>
      <c r="D138" s="329"/>
    </row>
    <row r="139" spans="1:4" x14ac:dyDescent="0.35">
      <c r="A139" s="329" t="s">
        <v>1929</v>
      </c>
      <c r="B139" s="329"/>
      <c r="C139" s="329"/>
      <c r="D139" s="329"/>
    </row>
    <row r="140" spans="1:4" x14ac:dyDescent="0.35">
      <c r="A140" s="329" t="s">
        <v>1734</v>
      </c>
      <c r="B140" s="329" t="s">
        <v>1734</v>
      </c>
      <c r="C140" s="329"/>
      <c r="D140" s="329"/>
    </row>
    <row r="142" spans="1:4" x14ac:dyDescent="0.35">
      <c r="A142" s="329" t="s">
        <v>1930</v>
      </c>
      <c r="B142" s="329" t="s">
        <v>1931</v>
      </c>
      <c r="C142" s="329"/>
      <c r="D142" s="329"/>
    </row>
    <row r="143" spans="1:4" x14ac:dyDescent="0.35">
      <c r="A143" s="329"/>
      <c r="B143" s="329" t="s">
        <v>1932</v>
      </c>
      <c r="C143" s="329"/>
      <c r="D143" s="329"/>
    </row>
    <row r="144" spans="1:4" x14ac:dyDescent="0.35">
      <c r="A144" s="329"/>
      <c r="B144" s="329" t="s">
        <v>1933</v>
      </c>
      <c r="C144" s="329"/>
      <c r="D144" s="329"/>
    </row>
    <row r="145" spans="1:2" x14ac:dyDescent="0.35">
      <c r="A145" s="329"/>
      <c r="B145" s="329" t="s">
        <v>1934</v>
      </c>
    </row>
    <row r="146" spans="1:2" x14ac:dyDescent="0.35">
      <c r="A146" s="329"/>
      <c r="B146" s="329" t="s">
        <v>1935</v>
      </c>
    </row>
    <row r="148" spans="1:2" x14ac:dyDescent="0.35">
      <c r="A148" s="329"/>
      <c r="B148" s="329" t="s">
        <v>1936</v>
      </c>
    </row>
    <row r="149" spans="1:2" x14ac:dyDescent="0.35">
      <c r="A149" s="329"/>
      <c r="B149" s="329" t="s">
        <v>1937</v>
      </c>
    </row>
    <row r="150" spans="1:2" x14ac:dyDescent="0.35">
      <c r="A150" s="329"/>
      <c r="B150" s="329" t="s">
        <v>1938</v>
      </c>
    </row>
    <row r="151" spans="1:2" x14ac:dyDescent="0.35">
      <c r="A151" s="329"/>
      <c r="B151" s="329" t="s">
        <v>1939</v>
      </c>
    </row>
    <row r="152" spans="1:2" x14ac:dyDescent="0.35">
      <c r="A152" s="329"/>
      <c r="B152" s="329" t="s">
        <v>1940</v>
      </c>
    </row>
    <row r="153" spans="1:2" x14ac:dyDescent="0.35">
      <c r="A153" s="329"/>
      <c r="B153" s="329" t="s">
        <v>1941</v>
      </c>
    </row>
    <row r="155" spans="1:2" x14ac:dyDescent="0.35">
      <c r="A155" s="329"/>
      <c r="B155" s="329" t="s">
        <v>1942</v>
      </c>
    </row>
    <row r="156" spans="1:2" x14ac:dyDescent="0.35">
      <c r="A156" s="329"/>
      <c r="B156" s="329" t="s">
        <v>1943</v>
      </c>
    </row>
    <row r="158" spans="1:2" x14ac:dyDescent="0.35">
      <c r="A158" s="329" t="s">
        <v>1734</v>
      </c>
      <c r="B158" s="329" t="s">
        <v>1734</v>
      </c>
    </row>
    <row r="159" spans="1:2" x14ac:dyDescent="0.35">
      <c r="A159" s="329" t="s">
        <v>1944</v>
      </c>
      <c r="B159" s="329"/>
    </row>
    <row r="160" spans="1:2" x14ac:dyDescent="0.35">
      <c r="A160" s="329" t="s">
        <v>1734</v>
      </c>
      <c r="B160" s="329" t="s">
        <v>1734</v>
      </c>
    </row>
    <row r="162" spans="1:4" x14ac:dyDescent="0.35">
      <c r="A162" s="329" t="s">
        <v>1751</v>
      </c>
      <c r="B162" s="329" t="s">
        <v>72</v>
      </c>
      <c r="C162" s="329" t="s">
        <v>1752</v>
      </c>
      <c r="D162" s="329" t="s">
        <v>1753</v>
      </c>
    </row>
    <row r="163" spans="1:4" x14ac:dyDescent="0.35">
      <c r="A163" s="329">
        <v>7</v>
      </c>
      <c r="B163" s="329" t="s">
        <v>1945</v>
      </c>
      <c r="C163" s="329" t="s">
        <v>1946</v>
      </c>
      <c r="D163" s="329" t="s">
        <v>1947</v>
      </c>
    </row>
    <row r="164" spans="1:4" x14ac:dyDescent="0.35">
      <c r="A164" s="329">
        <v>8</v>
      </c>
      <c r="B164" s="329" t="s">
        <v>1948</v>
      </c>
      <c r="C164" s="329" t="s">
        <v>1949</v>
      </c>
      <c r="D164" s="329" t="s">
        <v>1950</v>
      </c>
    </row>
    <row r="165" spans="1:4" x14ac:dyDescent="0.35">
      <c r="A165" s="329">
        <v>9</v>
      </c>
      <c r="B165" s="329" t="s">
        <v>1951</v>
      </c>
      <c r="C165" s="329" t="s">
        <v>1952</v>
      </c>
      <c r="D165" s="329" t="s">
        <v>1953</v>
      </c>
    </row>
    <row r="166" spans="1:4" x14ac:dyDescent="0.35">
      <c r="A166" s="329">
        <v>10</v>
      </c>
      <c r="B166" s="329" t="s">
        <v>1954</v>
      </c>
      <c r="C166" s="329" t="s">
        <v>1955</v>
      </c>
      <c r="D166" s="329" t="s">
        <v>1956</v>
      </c>
    </row>
    <row r="167" spans="1:4" x14ac:dyDescent="0.35">
      <c r="A167" s="329">
        <v>11</v>
      </c>
      <c r="B167" s="329" t="s">
        <v>1957</v>
      </c>
      <c r="C167" s="329" t="s">
        <v>1958</v>
      </c>
      <c r="D167" s="329" t="s">
        <v>1959</v>
      </c>
    </row>
    <row r="168" spans="1:4" x14ac:dyDescent="0.35">
      <c r="A168" s="329">
        <v>12</v>
      </c>
      <c r="B168" s="329" t="s">
        <v>1960</v>
      </c>
      <c r="C168" s="329" t="s">
        <v>1961</v>
      </c>
      <c r="D168" s="329" t="s">
        <v>1962</v>
      </c>
    </row>
    <row r="169" spans="1:4" x14ac:dyDescent="0.35">
      <c r="A169" s="329">
        <v>13</v>
      </c>
      <c r="B169" s="329" t="s">
        <v>1963</v>
      </c>
      <c r="C169" s="329" t="s">
        <v>1964</v>
      </c>
      <c r="D169" s="329" t="s">
        <v>1965</v>
      </c>
    </row>
    <row r="170" spans="1:4" x14ac:dyDescent="0.35">
      <c r="A170" s="329">
        <v>14</v>
      </c>
      <c r="B170" s="329" t="s">
        <v>1966</v>
      </c>
      <c r="C170" s="329" t="s">
        <v>1770</v>
      </c>
      <c r="D170" s="329" t="s">
        <v>1967</v>
      </c>
    </row>
    <row r="172" spans="1:4" x14ac:dyDescent="0.35">
      <c r="A172" s="329" t="s">
        <v>1734</v>
      </c>
      <c r="B172" s="329" t="s">
        <v>1734</v>
      </c>
      <c r="C172" s="329"/>
      <c r="D172" s="329"/>
    </row>
    <row r="173" spans="1:4" x14ac:dyDescent="0.35">
      <c r="A173" s="329" t="s">
        <v>1968</v>
      </c>
      <c r="B173" s="329"/>
      <c r="C173" s="329"/>
      <c r="D173" s="329"/>
    </row>
    <row r="174" spans="1:4" x14ac:dyDescent="0.35">
      <c r="A174" s="329" t="s">
        <v>1734</v>
      </c>
      <c r="B174" s="329" t="s">
        <v>1734</v>
      </c>
      <c r="C174" s="329"/>
      <c r="D174" s="329"/>
    </row>
    <row r="176" spans="1:4" x14ac:dyDescent="0.35">
      <c r="A176" s="329" t="s">
        <v>38</v>
      </c>
      <c r="B176" s="329" t="s">
        <v>1969</v>
      </c>
      <c r="C176" s="329" t="s">
        <v>1970</v>
      </c>
      <c r="D176" s="329" t="s">
        <v>1971</v>
      </c>
    </row>
    <row r="177" spans="1:4" x14ac:dyDescent="0.35">
      <c r="A177" s="329" t="s">
        <v>1972</v>
      </c>
      <c r="B177" s="329" t="s">
        <v>1973</v>
      </c>
      <c r="C177" s="329" t="s">
        <v>1974</v>
      </c>
      <c r="D177" s="329" t="s">
        <v>1975</v>
      </c>
    </row>
    <row r="178" spans="1:4" x14ac:dyDescent="0.35">
      <c r="A178" s="329" t="s">
        <v>1976</v>
      </c>
      <c r="B178" s="329" t="s">
        <v>1977</v>
      </c>
      <c r="C178" s="329" t="s">
        <v>1978</v>
      </c>
      <c r="D178" s="329" t="s">
        <v>1979</v>
      </c>
    </row>
    <row r="179" spans="1:4" x14ac:dyDescent="0.35">
      <c r="A179" s="329" t="s">
        <v>1980</v>
      </c>
      <c r="B179" s="329" t="s">
        <v>1981</v>
      </c>
      <c r="C179" s="329" t="s">
        <v>1982</v>
      </c>
      <c r="D179" s="329" t="s">
        <v>1983</v>
      </c>
    </row>
    <row r="180" spans="1:4" x14ac:dyDescent="0.35">
      <c r="A180" s="329" t="s">
        <v>1984</v>
      </c>
      <c r="B180" s="329" t="s">
        <v>1985</v>
      </c>
      <c r="C180" s="329" t="s">
        <v>1986</v>
      </c>
      <c r="D180" s="329" t="s">
        <v>1987</v>
      </c>
    </row>
    <row r="181" spans="1:4" x14ac:dyDescent="0.35">
      <c r="A181" s="329" t="s">
        <v>1988</v>
      </c>
      <c r="B181" s="329" t="s">
        <v>1989</v>
      </c>
      <c r="C181" s="329" t="s">
        <v>1990</v>
      </c>
      <c r="D181" s="329" t="s">
        <v>1991</v>
      </c>
    </row>
    <row r="182" spans="1:4" x14ac:dyDescent="0.35">
      <c r="A182" s="329" t="s">
        <v>48</v>
      </c>
      <c r="B182" s="263">
        <v>0.18559999999999999</v>
      </c>
      <c r="C182" s="263">
        <v>0.17929999999999999</v>
      </c>
      <c r="D182" s="329" t="s">
        <v>1992</v>
      </c>
    </row>
    <row r="183" spans="1:4" x14ac:dyDescent="0.35">
      <c r="A183" s="329" t="s">
        <v>50</v>
      </c>
      <c r="B183" s="263">
        <v>0.31969999999999998</v>
      </c>
      <c r="C183" s="263">
        <v>0.3095</v>
      </c>
      <c r="D183" s="329" t="s">
        <v>1993</v>
      </c>
    </row>
    <row r="184" spans="1:4" x14ac:dyDescent="0.35">
      <c r="A184" s="329" t="s">
        <v>1994</v>
      </c>
      <c r="B184" s="329" t="s">
        <v>1995</v>
      </c>
      <c r="C184" s="329" t="s">
        <v>1996</v>
      </c>
      <c r="D184" s="329" t="s">
        <v>1997</v>
      </c>
    </row>
    <row r="186" spans="1:4" x14ac:dyDescent="0.35">
      <c r="A186" s="329" t="s">
        <v>1734</v>
      </c>
      <c r="B186" s="329" t="s">
        <v>1734</v>
      </c>
      <c r="C186" s="329"/>
      <c r="D186" s="329"/>
    </row>
    <row r="187" spans="1:4" x14ac:dyDescent="0.35">
      <c r="A187" s="329" t="s">
        <v>1998</v>
      </c>
      <c r="B187" s="329"/>
      <c r="C187" s="329"/>
      <c r="D187" s="329"/>
    </row>
    <row r="188" spans="1:4" x14ac:dyDescent="0.35">
      <c r="A188" s="329" t="s">
        <v>1734</v>
      </c>
      <c r="B188" s="329" t="s">
        <v>1734</v>
      </c>
      <c r="C188" s="329"/>
      <c r="D188" s="329"/>
    </row>
    <row r="190" spans="1:4" x14ac:dyDescent="0.35">
      <c r="A190" s="329" t="s">
        <v>216</v>
      </c>
      <c r="B190" s="329" t="s">
        <v>1999</v>
      </c>
      <c r="C190" s="329" t="s">
        <v>2000</v>
      </c>
      <c r="D190" s="329" t="s">
        <v>1970</v>
      </c>
    </row>
    <row r="191" spans="1:4" x14ac:dyDescent="0.35">
      <c r="A191" s="329" t="s">
        <v>1738</v>
      </c>
      <c r="B191" s="319">
        <v>0.72</v>
      </c>
      <c r="C191" s="319">
        <v>0.78</v>
      </c>
      <c r="D191" s="319">
        <v>0.8</v>
      </c>
    </row>
    <row r="192" spans="1:4" x14ac:dyDescent="0.35">
      <c r="A192" s="329" t="s">
        <v>1740</v>
      </c>
      <c r="B192" s="319">
        <v>0.7</v>
      </c>
      <c r="C192" s="319">
        <v>0.72</v>
      </c>
      <c r="D192" s="319">
        <v>0.78</v>
      </c>
    </row>
    <row r="193" spans="1:4" x14ac:dyDescent="0.35">
      <c r="A193" s="329" t="s">
        <v>1741</v>
      </c>
      <c r="B193" s="319">
        <v>0.68</v>
      </c>
      <c r="C193" s="319">
        <v>0.82</v>
      </c>
      <c r="D193" s="319">
        <v>0.92</v>
      </c>
    </row>
    <row r="194" spans="1:4" x14ac:dyDescent="0.35">
      <c r="A194" s="329" t="s">
        <v>2001</v>
      </c>
      <c r="B194" s="319">
        <v>0.78</v>
      </c>
      <c r="C194" s="319">
        <v>0.85</v>
      </c>
      <c r="D194" s="319">
        <v>0.92</v>
      </c>
    </row>
    <row r="195" spans="1:4" x14ac:dyDescent="0.35">
      <c r="A195" s="329" t="s">
        <v>1744</v>
      </c>
      <c r="B195" s="319">
        <v>0.75</v>
      </c>
      <c r="C195" s="319">
        <v>0.8</v>
      </c>
      <c r="D195" s="319">
        <v>0.85</v>
      </c>
    </row>
    <row r="196" spans="1:4" x14ac:dyDescent="0.35">
      <c r="A196" s="329" t="s">
        <v>1745</v>
      </c>
      <c r="B196" s="319">
        <v>0.62</v>
      </c>
      <c r="C196" s="319">
        <v>0.85</v>
      </c>
      <c r="D196" s="319">
        <v>0.92</v>
      </c>
    </row>
    <row r="197" spans="1:4" x14ac:dyDescent="0.35">
      <c r="A197" s="329" t="s">
        <v>1746</v>
      </c>
      <c r="B197" s="319">
        <v>0.7</v>
      </c>
      <c r="C197" s="319">
        <v>0.8</v>
      </c>
      <c r="D197" s="319">
        <v>0.85</v>
      </c>
    </row>
    <row r="198" spans="1:4" x14ac:dyDescent="0.35">
      <c r="A198" s="329" t="s">
        <v>1747</v>
      </c>
      <c r="B198" s="319">
        <v>0.75</v>
      </c>
      <c r="C198" s="319">
        <v>0.8</v>
      </c>
      <c r="D198" s="319">
        <v>0.85</v>
      </c>
    </row>
    <row r="200" spans="1:4" x14ac:dyDescent="0.35">
      <c r="A200" s="329" t="s">
        <v>2002</v>
      </c>
      <c r="B200" s="319">
        <v>0.71</v>
      </c>
      <c r="C200" s="319">
        <v>0.8</v>
      </c>
      <c r="D200" s="319">
        <v>0.87</v>
      </c>
    </row>
    <row r="202" spans="1:4" x14ac:dyDescent="0.35">
      <c r="A202" s="329" t="s">
        <v>1734</v>
      </c>
      <c r="B202" s="329" t="s">
        <v>1734</v>
      </c>
      <c r="C202" s="329"/>
      <c r="D202" s="329"/>
    </row>
    <row r="203" spans="1:4" x14ac:dyDescent="0.35">
      <c r="A203" s="329" t="s">
        <v>2003</v>
      </c>
      <c r="B203" s="329"/>
      <c r="C203" s="329"/>
      <c r="D203" s="329"/>
    </row>
    <row r="204" spans="1:4" x14ac:dyDescent="0.35">
      <c r="A204" s="329" t="s">
        <v>1734</v>
      </c>
      <c r="B204" s="329" t="s">
        <v>1734</v>
      </c>
      <c r="C204" s="329"/>
      <c r="D204" s="329"/>
    </row>
    <row r="206" spans="1:4" x14ac:dyDescent="0.35">
      <c r="A206" s="329" t="s">
        <v>977</v>
      </c>
      <c r="B206" s="329" t="s">
        <v>2004</v>
      </c>
      <c r="C206" s="329" t="s">
        <v>2005</v>
      </c>
      <c r="D206" s="329" t="s">
        <v>1894</v>
      </c>
    </row>
    <row r="207" spans="1:4" x14ac:dyDescent="0.35">
      <c r="A207" s="329">
        <v>1</v>
      </c>
      <c r="B207" s="329" t="s">
        <v>2006</v>
      </c>
      <c r="C207" s="329" t="s">
        <v>2007</v>
      </c>
      <c r="D207" s="329" t="s">
        <v>2008</v>
      </c>
    </row>
    <row r="208" spans="1:4" x14ac:dyDescent="0.35">
      <c r="A208" s="329">
        <v>2</v>
      </c>
      <c r="B208" s="329" t="s">
        <v>2009</v>
      </c>
      <c r="C208" s="329" t="s">
        <v>2010</v>
      </c>
      <c r="D208" s="329" t="s">
        <v>2011</v>
      </c>
    </row>
    <row r="209" spans="1:4" x14ac:dyDescent="0.35">
      <c r="A209" s="329">
        <v>3</v>
      </c>
      <c r="B209" s="329" t="s">
        <v>2012</v>
      </c>
      <c r="C209" s="329" t="s">
        <v>2013</v>
      </c>
      <c r="D209" s="329" t="s">
        <v>2014</v>
      </c>
    </row>
    <row r="210" spans="1:4" x14ac:dyDescent="0.35">
      <c r="A210" s="329">
        <v>4</v>
      </c>
      <c r="B210" s="329" t="s">
        <v>2015</v>
      </c>
      <c r="C210" s="329" t="s">
        <v>2013</v>
      </c>
      <c r="D210" s="329" t="s">
        <v>2016</v>
      </c>
    </row>
    <row r="211" spans="1:4" x14ac:dyDescent="0.35">
      <c r="A211" s="329">
        <v>5</v>
      </c>
      <c r="B211" s="329" t="s">
        <v>2017</v>
      </c>
      <c r="C211" s="329" t="s">
        <v>2018</v>
      </c>
      <c r="D211" s="329" t="s">
        <v>2019</v>
      </c>
    </row>
    <row r="212" spans="1:4" x14ac:dyDescent="0.35">
      <c r="A212" s="329">
        <v>6</v>
      </c>
      <c r="B212" s="329" t="s">
        <v>2020</v>
      </c>
      <c r="C212" s="329" t="s">
        <v>2021</v>
      </c>
      <c r="D212" s="329" t="s">
        <v>2022</v>
      </c>
    </row>
    <row r="213" spans="1:4" x14ac:dyDescent="0.35">
      <c r="A213" s="329">
        <v>7</v>
      </c>
      <c r="B213" s="329" t="s">
        <v>2023</v>
      </c>
      <c r="C213" s="329" t="s">
        <v>2013</v>
      </c>
      <c r="D213" s="329" t="s">
        <v>2024</v>
      </c>
    </row>
    <row r="215" spans="1:4" x14ac:dyDescent="0.35">
      <c r="A215" s="329" t="s">
        <v>2025</v>
      </c>
      <c r="B215" s="329" t="s">
        <v>2026</v>
      </c>
      <c r="C215" s="329"/>
      <c r="D215" s="329"/>
    </row>
    <row r="217" spans="1:4" x14ac:dyDescent="0.35">
      <c r="A217" s="329" t="s">
        <v>1734</v>
      </c>
      <c r="B217" s="329" t="s">
        <v>1734</v>
      </c>
      <c r="C217" s="329"/>
      <c r="D217" s="329"/>
    </row>
    <row r="218" spans="1:4" x14ac:dyDescent="0.35">
      <c r="A218" s="329" t="s">
        <v>1929</v>
      </c>
      <c r="B218" s="329"/>
      <c r="C218" s="329"/>
      <c r="D218" s="329"/>
    </row>
    <row r="219" spans="1:4" x14ac:dyDescent="0.35">
      <c r="A219" s="329" t="s">
        <v>1734</v>
      </c>
      <c r="B219" s="329" t="s">
        <v>1734</v>
      </c>
      <c r="C219" s="329"/>
      <c r="D219" s="329"/>
    </row>
    <row r="221" spans="1:4" x14ac:dyDescent="0.35">
      <c r="A221" s="329" t="s">
        <v>2027</v>
      </c>
      <c r="B221" s="329"/>
      <c r="C221" s="329"/>
      <c r="D221" s="329"/>
    </row>
    <row r="223" spans="1:4" x14ac:dyDescent="0.35">
      <c r="A223" s="329" t="s">
        <v>2028</v>
      </c>
      <c r="B223" s="329"/>
      <c r="C223" s="329"/>
      <c r="D223" s="329"/>
    </row>
    <row r="224" spans="1:4" x14ac:dyDescent="0.35">
      <c r="A224" s="329" t="s">
        <v>2029</v>
      </c>
      <c r="B224" s="329"/>
      <c r="C224" s="329"/>
      <c r="D224" s="329"/>
    </row>
    <row r="225" spans="1:1" x14ac:dyDescent="0.35">
      <c r="A225" s="329" t="s">
        <v>2030</v>
      </c>
    </row>
    <row r="226" spans="1:1" x14ac:dyDescent="0.35">
      <c r="A226" s="329" t="s">
        <v>2031</v>
      </c>
    </row>
    <row r="228" spans="1:1" x14ac:dyDescent="0.35">
      <c r="A228" s="329" t="s">
        <v>2032</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C24"/>
  <sheetViews>
    <sheetView workbookViewId="0">
      <selection activeCell="P49" sqref="P49"/>
    </sheetView>
  </sheetViews>
  <sheetFormatPr defaultRowHeight="14.5" x14ac:dyDescent="0.35"/>
  <cols>
    <col min="1" max="1" width="27.54296875" bestFit="1" customWidth="1"/>
    <col min="2" max="2" width="11.81640625" bestFit="1" customWidth="1"/>
    <col min="3" max="3" width="6.453125" bestFit="1" customWidth="1"/>
  </cols>
  <sheetData>
    <row r="1" spans="1:3" ht="18.649999999999999" customHeight="1" x14ac:dyDescent="0.45">
      <c r="A1" s="148" t="s">
        <v>2033</v>
      </c>
      <c r="B1" s="329"/>
      <c r="C1" s="329"/>
    </row>
    <row r="2" spans="1:3" x14ac:dyDescent="0.35">
      <c r="A2" s="330" t="s">
        <v>1302</v>
      </c>
      <c r="B2" s="330" t="s">
        <v>1813</v>
      </c>
      <c r="C2" s="330" t="s">
        <v>358</v>
      </c>
    </row>
    <row r="3" spans="1:3" x14ac:dyDescent="0.35">
      <c r="A3" s="329" t="s">
        <v>2034</v>
      </c>
      <c r="B3" s="329">
        <f>'Balance Sheet'!F46+'Balance Sheet'!G46+'Balance Sheet'!H46+'Balance Sheet'!I46+'Balance Sheet'!J46+'Balance Sheet'!K46+'Balance Sheet'!L46+'Balance Sheet'!M46+'Balance Sheet'!N46+'Balance Sheet'!O46+'Balance Sheet'!P46+'Balance Sheet'!Q46</f>
        <v>0</v>
      </c>
      <c r="C3" s="329" t="s">
        <v>1816</v>
      </c>
    </row>
    <row r="4" spans="1:3" x14ac:dyDescent="0.35">
      <c r="A4" s="329" t="s">
        <v>1304</v>
      </c>
      <c r="B4" s="329">
        <f>'Balance Sheet'!F53+'Balance Sheet'!G53+'Balance Sheet'!H53+'Balance Sheet'!I53+'Balance Sheet'!J53+'Balance Sheet'!K53+'Balance Sheet'!L53+'Balance Sheet'!M53+'Balance Sheet'!N53+'Balance Sheet'!O53+'Balance Sheet'!P53+'Balance Sheet'!Q53</f>
        <v>0</v>
      </c>
      <c r="C4" s="329" t="s">
        <v>1816</v>
      </c>
    </row>
    <row r="5" spans="1:3" x14ac:dyDescent="0.35">
      <c r="A5" s="329" t="s">
        <v>2035</v>
      </c>
      <c r="B5" s="329">
        <f t="array" ref="B5">SUMPRODUCT(ABS('Balance Sheet'!F54:Q54))</f>
        <v>0</v>
      </c>
      <c r="C5" s="329" t="str">
        <f>IF(B5&lt;1,"PASS","FAIL")</f>
        <v>PASS</v>
      </c>
    </row>
    <row r="6" spans="1:3" x14ac:dyDescent="0.35">
      <c r="A6" s="329" t="s">
        <v>1819</v>
      </c>
      <c r="B6" s="329">
        <f>ABS(Debt!J24-Debt!K18)+ABS(Debt!K24-Debt!L18)+ABS(Debt!L24-Debt!M18)+ABS(Debt!M24-Debt!N18)+ABS(Debt!N24-Debt!O18)</f>
        <v>0</v>
      </c>
      <c r="C6" s="329" t="str">
        <f>IF(B6&lt;1,"PASS","FAIL")</f>
        <v>PASS</v>
      </c>
    </row>
    <row r="7" spans="1:3" x14ac:dyDescent="0.35">
      <c r="A7" s="329" t="s">
        <v>2036</v>
      </c>
      <c r="B7" s="329">
        <f>SUM(Cashflow!D16:F16)+SUM(Cashflow!D18:F19)+SUM(Cashflow!D26:F26)</f>
        <v>17075000</v>
      </c>
      <c r="C7" s="329" t="str">
        <f>IF(B7&gt;=0,"PASS","FAIL")</f>
        <v>PASS</v>
      </c>
    </row>
    <row r="8" spans="1:3" x14ac:dyDescent="0.35">
      <c r="A8" s="329" t="s">
        <v>2037</v>
      </c>
      <c r="B8" s="329">
        <f t="array" ref="B8">SUMPRODUCT(ABS('P&amp;L'!K28:S28-Cashflow!G47:O47))</f>
        <v>0</v>
      </c>
      <c r="C8" s="329" t="str">
        <f>IF(B8&lt;1,"PASS","FAIL")</f>
        <v>PASS</v>
      </c>
    </row>
    <row r="9" spans="1:3" x14ac:dyDescent="0.35">
      <c r="A9" s="329" t="s">
        <v>2038</v>
      </c>
      <c r="B9" s="329">
        <f>MIN('P&amp;L'!K106:N106)</f>
        <v>8.3450465499454438</v>
      </c>
      <c r="C9" s="329" t="str">
        <f>IF(B9&gt;=1,"PASS","FAIL")</f>
        <v>PASS</v>
      </c>
    </row>
    <row r="10" spans="1:3" x14ac:dyDescent="0.35">
      <c r="A10" s="329" t="s">
        <v>2039</v>
      </c>
      <c r="B10" s="329">
        <f>MIN(Cashflow!J37,Cashflow!K37,Cashflow!L37,Cashflow!M37,Cashflow!N37,Cashflow!O37)</f>
        <v>1533142.740869151</v>
      </c>
      <c r="C10" s="329" t="str">
        <f>IF(B10&gt;=0,"PASS","FAIL")</f>
        <v>PASS</v>
      </c>
    </row>
    <row r="12" spans="1:3" x14ac:dyDescent="0.35">
      <c r="A12" s="330"/>
      <c r="B12" s="329"/>
      <c r="C12" s="320"/>
    </row>
    <row r="13" spans="1:3" x14ac:dyDescent="0.35">
      <c r="A13" s="329" t="s">
        <v>2040</v>
      </c>
      <c r="B13" s="329">
        <f t="array" ref="B13">SUMPRODUCT(ABS('P&amp;L'!H93:S93-('P&amp;L'!H87:S87-'P&amp;L'!H89:S89)))</f>
        <v>0</v>
      </c>
      <c r="C13" s="329" t="str">
        <f>IF(ABS(B13)&lt;1,"PASS","FAIL")</f>
        <v>PASS</v>
      </c>
    </row>
    <row r="14" spans="1:3" x14ac:dyDescent="0.35">
      <c r="A14" s="329" t="s">
        <v>2041</v>
      </c>
      <c r="B14" s="329">
        <f>Debt!S24+Debt!S47</f>
        <v>0</v>
      </c>
      <c r="C14" s="329" t="str">
        <f>IF(B14=0,"PASS","FAIL")</f>
        <v>PASS</v>
      </c>
    </row>
    <row r="15" spans="1:3" x14ac:dyDescent="0.35">
      <c r="A15" s="329" t="s">
        <v>2042</v>
      </c>
      <c r="B15" s="329">
        <f>MIN('P&amp;L'!K77:S77)</f>
        <v>13999302.1323661</v>
      </c>
      <c r="C15" s="329" t="str">
        <f>IF(B15&gt;0,"PASS","FAIL")</f>
        <v>PASS</v>
      </c>
    </row>
    <row r="16" spans="1:3" x14ac:dyDescent="0.35">
      <c r="A16" s="329" t="s">
        <v>2043</v>
      </c>
      <c r="B16" s="329">
        <f>MIN('Balance Sheet'!M26:Q26)</f>
        <v>1071402.5089894286</v>
      </c>
      <c r="C16" s="329" t="str">
        <f>IF(B16&gt;0,"PASS","FAIL")</f>
        <v>PASS</v>
      </c>
    </row>
    <row r="19" spans="1:3" x14ac:dyDescent="0.35">
      <c r="A19" s="329" t="s">
        <v>2044</v>
      </c>
      <c r="B19" s="329">
        <f>Dashboard!C110</f>
        <v>9.6092829940713163</v>
      </c>
      <c r="C19" s="329" t="str">
        <f>IF(B19&gt;0,"PASS","FAIL")</f>
        <v>PASS</v>
      </c>
    </row>
    <row r="20" spans="1:3" x14ac:dyDescent="0.35">
      <c r="A20" s="329" t="s">
        <v>2045</v>
      </c>
      <c r="B20" s="329">
        <f>Dashboard!C88</f>
        <v>45715</v>
      </c>
      <c r="C20" s="329" t="str">
        <f>IF(B20&gt;0,"PASS","FAIL")</f>
        <v>PASS</v>
      </c>
    </row>
    <row r="21" spans="1:3" x14ac:dyDescent="0.35">
      <c r="A21" s="329" t="s">
        <v>2046</v>
      </c>
      <c r="B21" s="263">
        <f>Valuations!C9-Inputs!E257</f>
        <v>0</v>
      </c>
      <c r="C21" s="329" t="str">
        <f>IF(ABS(B21)&lt;0.001,"PASS","FAIL")</f>
        <v>PASS</v>
      </c>
    </row>
    <row r="22" spans="1:3" x14ac:dyDescent="0.35">
      <c r="A22" s="329" t="s">
        <v>2047</v>
      </c>
      <c r="B22" s="329">
        <f>'P&amp;L'!J9</f>
        <v>1</v>
      </c>
      <c r="C22" s="329" t="str">
        <f>IF(B22=1,"PASS","FAIL")</f>
        <v>PASS</v>
      </c>
    </row>
    <row r="24" spans="1:3" x14ac:dyDescent="0.35">
      <c r="A24" s="329" t="s">
        <v>2048</v>
      </c>
      <c r="B24" s="329">
        <f>COUNTIF(C3:C22,"FAIL")</f>
        <v>0</v>
      </c>
      <c r="C24" s="329" t="str">
        <f>IF(B24=0,"ALL "&amp;COUNTA(C3:C22)&amp;" CHECKS PASS",B24&amp;" CHECKS FAILING")</f>
        <v>ALL 16 CHECKS PASS</v>
      </c>
    </row>
  </sheetData>
  <conditionalFormatting sqref="C3:C10">
    <cfRule type="containsText" dxfId="1" priority="1" operator="containsText" text="PASS">
      <formula>NOT(ISERROR(SEARCH("PASS",C3)))</formula>
    </cfRule>
    <cfRule type="containsText" dxfId="0" priority="2" operator="containsText" text="FAIL">
      <formula>NOT(ISERROR(SEARCH("FAIL",C3)))</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43</vt:i4>
      </vt:variant>
    </vt:vector>
  </HeadingPairs>
  <TitlesOfParts>
    <vt:vector size="65" baseType="lpstr">
      <vt:lpstr>General Information</vt:lpstr>
      <vt:lpstr>Dashboard</vt:lpstr>
      <vt:lpstr>Valuations</vt:lpstr>
      <vt:lpstr>VBA</vt:lpstr>
      <vt:lpstr>Scenarios</vt:lpstr>
      <vt:lpstr>Inputs</vt:lpstr>
      <vt:lpstr>Construction Timeline</vt:lpstr>
      <vt:lpstr>P&amp;L</vt:lpstr>
      <vt:lpstr>Balance Sheet</vt:lpstr>
      <vt:lpstr>Cashflow</vt:lpstr>
      <vt:lpstr>Debt</vt:lpstr>
      <vt:lpstr>Revenue Assumptions</vt:lpstr>
      <vt:lpstr>Expense Assumptions</vt:lpstr>
      <vt:lpstr>Calendar Assumptions</vt:lpstr>
      <vt:lpstr>Partnership Assumptions</vt:lpstr>
      <vt:lpstr>Legend</vt:lpstr>
      <vt:lpstr>GANTT – MASTER OPTIONS</vt:lpstr>
      <vt:lpstr>Timing</vt:lpstr>
      <vt:lpstr>Disclaimer</vt:lpstr>
      <vt:lpstr>Original Capex</vt:lpstr>
      <vt:lpstr>Model Audit Report</vt:lpstr>
      <vt:lpstr>Model Checks</vt:lpstr>
      <vt:lpstr>Construction_End_Date</vt:lpstr>
      <vt:lpstr>Construction_Start_Date</vt:lpstr>
      <vt:lpstr>GanttView</vt:lpstr>
      <vt:lpstr>Model_start</vt:lpstr>
      <vt:lpstr>Operations_Start_Date</vt:lpstr>
      <vt:lpstr>'Balance Sheet'!Print_Area</vt:lpstr>
      <vt:lpstr>'Calendar Assumptions'!Print_Area</vt:lpstr>
      <vt:lpstr>Cashflow!Print_Area</vt:lpstr>
      <vt:lpstr>'Construction Timeline'!Print_Area</vt:lpstr>
      <vt:lpstr>Debt!Print_Area</vt:lpstr>
      <vt:lpstr>'Expense Assumptions'!Print_Area</vt:lpstr>
      <vt:lpstr>'GANTT – MASTER OPTIONS'!Print_Area</vt:lpstr>
      <vt:lpstr>'General Information'!Print_Area</vt:lpstr>
      <vt:lpstr>Inputs!Print_Area</vt:lpstr>
      <vt:lpstr>'P&amp;L'!Print_Area</vt:lpstr>
      <vt:lpstr>'Partnership Assumptions'!Print_Area</vt:lpstr>
      <vt:lpstr>'Revenue Assumptions'!Print_Area</vt:lpstr>
      <vt:lpstr>Scenarios!Print_Area</vt:lpstr>
      <vt:lpstr>Timing!Print_Area</vt:lpstr>
      <vt:lpstr>VBA!Print_Area</vt:lpstr>
      <vt:lpstr>'Balance Sheet'!Print_Titles</vt:lpstr>
      <vt:lpstr>Cashflow!Print_Titles</vt:lpstr>
      <vt:lpstr>Debt!Print_Titles</vt:lpstr>
      <vt:lpstr>Inputs!Print_Titles</vt:lpstr>
      <vt:lpstr>'P&amp;L'!Print_Titles</vt:lpstr>
      <vt:lpstr>Scenarios!Print_Titles</vt:lpstr>
      <vt:lpstr>RM_BaseEventDays</vt:lpstr>
      <vt:lpstr>RM_EventDaysScale</vt:lpstr>
      <vt:lpstr>RM_ExitMultiple</vt:lpstr>
      <vt:lpstr>RM_HourlyRate</vt:lpstr>
      <vt:lpstr>RM_IO_Months</vt:lpstr>
      <vt:lpstr>RM_OutgoingsPct</vt:lpstr>
      <vt:lpstr>RM_ShiftHours</vt:lpstr>
      <vt:lpstr>RM_StaffPerEvent</vt:lpstr>
      <vt:lpstr>RM_SustCapexPct</vt:lpstr>
      <vt:lpstr>RM_TerminalGrowth</vt:lpstr>
      <vt:lpstr>RM_VHA_Cap</vt:lpstr>
      <vt:lpstr>RM_VHA_GBO_Fee</vt:lpstr>
      <vt:lpstr>SelectedLevel</vt:lpstr>
      <vt:lpstr>ShowPhaseBands</vt:lpstr>
      <vt:lpstr>ShowToday</vt:lpstr>
      <vt:lpstr>TimeScaleSelection</vt:lpstr>
      <vt:lpstr>Total_Initial_Capex</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Greg Gillin</dc:creator>
  <cp:keywords/>
  <dc:description/>
  <cp:lastModifiedBy>Guy M.</cp:lastModifiedBy>
  <cp:revision/>
  <dcterms:created xsi:type="dcterms:W3CDTF">2026-02-10T09:55:06Z</dcterms:created>
  <dcterms:modified xsi:type="dcterms:W3CDTF">2026-04-06T10:45:55Z</dcterms:modified>
  <cp:category/>
  <cp:contentStatus/>
</cp:coreProperties>
</file>