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mangona/Downloads/Exercise Files/"/>
    </mc:Choice>
  </mc:AlternateContent>
  <xr:revisionPtr revIDLastSave="0" documentId="13_ncr:1_{A8FFADB9-3564-CB46-97CF-E4F98C303D86}" xr6:coauthVersionLast="43" xr6:coauthVersionMax="43" xr10:uidLastSave="{00000000-0000-0000-0000-000000000000}"/>
  <bookViews>
    <workbookView xWindow="1420" yWindow="460" windowWidth="22140" windowHeight="12540" xr2:uid="{51105F00-F3FD-40FC-B7D9-684E9D3A6C49}"/>
  </bookViews>
  <sheets>
    <sheet name="Complex OR" sheetId="2" r:id="rId1"/>
    <sheet name="Specialized" sheetId="3" r:id="rId2"/>
    <sheet name="DuplicateData" sheetId="4" r:id="rId3"/>
    <sheet name="AutoFilter" sheetId="1" r:id="rId4"/>
  </sheets>
  <definedNames>
    <definedName name="_xlnm._FilterDatabase" localSheetId="3" hidden="1">AutoFilter!$A$1:$K$742</definedName>
    <definedName name="_xlnm._FilterDatabase" localSheetId="0" hidden="1">'Complex OR'!$A$1:$K$742</definedName>
    <definedName name="_xlnm._FilterDatabase" localSheetId="2" hidden="1">DuplicateData!$A$1:$I$763</definedName>
    <definedName name="_xlnm._FilterDatabase" localSheetId="1" hidden="1">Specialized!$A$7:$H$916</definedName>
    <definedName name="_xlnm.Criteria" localSheetId="0">'Complex OR'!#REF!</definedName>
    <definedName name="_xlnm.Criteria" localSheetId="1">Specialized!$C$1:$E$3</definedName>
    <definedName name="ee" localSheetId="2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_xlnm.Extract" localSheetId="2">DuplicateData!#REF!</definedName>
    <definedName name="k" localSheetId="2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2" hidden="1">{"FirstQ",#N/A,FALSE,"Budget2000";"SecondQ",#N/A,FALSE,"Budget2000"}</definedName>
    <definedName name="rr" hidden="1">{"FirstQ",#N/A,FALSE,"Budget2000";"SecondQ",#N/A,FALSE,"Budget2000"}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2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2" hidden="1">{"FirstQ",#N/A,FALSE,"Budget2000";"SecondQ",#N/A,FALSE,"Budget2000"}</definedName>
    <definedName name="wrn.FirstHalf." hidden="1">{"FirstQ",#N/A,FALSE,"Budget2000";"SecondQ",#N/A,FALSE,"Budget2000"}</definedName>
    <definedName name="x" localSheetId="2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0" hidden="1">'Complex OR'!$A$1:$K$742</definedName>
    <definedName name="Z_32E1B1E0_F29A_4FB3_9E7F_F78F245BC75E_.wvu.FilterData" localSheetId="2" hidden="1">DuplicateData!$C:$C</definedName>
    <definedName name="Z_32E1B1E0_F29A_4FB3_9E7F_F78F245BC75E_.wvu.PrintArea" localSheetId="2" hidden="1">DuplicateData!$A$1:$I$743</definedName>
    <definedName name="Z_32E1B1E0_F29A_4FB3_9E7F_F78F245BC75E_.wvu.PrintTitles" localSheetId="2" hidden="1">DuplicateData!$1:$1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4" l="1"/>
  <c r="H742" i="1" l="1"/>
  <c r="G742" i="1"/>
  <c r="H741" i="1"/>
  <c r="G741" i="1"/>
  <c r="H740" i="1"/>
  <c r="G740" i="1"/>
  <c r="H739" i="1"/>
  <c r="G739" i="1"/>
  <c r="H738" i="1"/>
  <c r="G738" i="1"/>
  <c r="H737" i="1"/>
  <c r="G737" i="1"/>
  <c r="H736" i="1"/>
  <c r="G736" i="1"/>
  <c r="H735" i="1"/>
  <c r="G735" i="1"/>
  <c r="H734" i="1"/>
  <c r="G734" i="1"/>
  <c r="H733" i="1"/>
  <c r="G733" i="1"/>
  <c r="H395" i="1"/>
  <c r="G395" i="1"/>
  <c r="H731" i="1"/>
  <c r="G731" i="1"/>
  <c r="H730" i="1"/>
  <c r="G730" i="1"/>
  <c r="H729" i="1"/>
  <c r="G729" i="1"/>
  <c r="H728" i="1"/>
  <c r="G728" i="1"/>
  <c r="H727" i="1"/>
  <c r="G727" i="1"/>
  <c r="H726" i="1"/>
  <c r="G726" i="1"/>
  <c r="H725" i="1"/>
  <c r="G725" i="1"/>
  <c r="H724" i="1"/>
  <c r="G724" i="1"/>
  <c r="H723" i="1"/>
  <c r="G723" i="1"/>
  <c r="H722" i="1"/>
  <c r="G722" i="1"/>
  <c r="H721" i="1"/>
  <c r="G721" i="1"/>
  <c r="H720" i="1"/>
  <c r="G720" i="1"/>
  <c r="H719" i="1"/>
  <c r="G719" i="1"/>
  <c r="H718" i="1"/>
  <c r="G718" i="1"/>
  <c r="H717" i="1"/>
  <c r="G717" i="1"/>
  <c r="H716" i="1"/>
  <c r="G716" i="1"/>
  <c r="H715" i="1"/>
  <c r="G715" i="1"/>
  <c r="H714" i="1"/>
  <c r="G714" i="1"/>
  <c r="H713" i="1"/>
  <c r="G713" i="1"/>
  <c r="H712" i="1"/>
  <c r="G712" i="1"/>
  <c r="H711" i="1"/>
  <c r="G711" i="1"/>
  <c r="H710" i="1"/>
  <c r="G710" i="1"/>
  <c r="H709" i="1"/>
  <c r="G709" i="1"/>
  <c r="H708" i="1"/>
  <c r="G708" i="1"/>
  <c r="H707" i="1"/>
  <c r="G707" i="1"/>
  <c r="H706" i="1"/>
  <c r="G706" i="1"/>
  <c r="H705" i="1"/>
  <c r="G705" i="1"/>
  <c r="H704" i="1"/>
  <c r="G704" i="1"/>
  <c r="H703" i="1"/>
  <c r="G703" i="1"/>
  <c r="H702" i="1"/>
  <c r="G702" i="1"/>
  <c r="H701" i="1"/>
  <c r="G701" i="1"/>
  <c r="H700" i="1"/>
  <c r="G700" i="1"/>
  <c r="H699" i="1"/>
  <c r="G699" i="1"/>
  <c r="H698" i="1"/>
  <c r="G698" i="1"/>
  <c r="H697" i="1"/>
  <c r="G697" i="1"/>
  <c r="H696" i="1"/>
  <c r="G696" i="1"/>
  <c r="H695" i="1"/>
  <c r="G695" i="1"/>
  <c r="H694" i="1"/>
  <c r="G694" i="1"/>
  <c r="H693" i="1"/>
  <c r="G693" i="1"/>
  <c r="H692" i="1"/>
  <c r="G692" i="1"/>
  <c r="H691" i="1"/>
  <c r="G691" i="1"/>
  <c r="H690" i="1"/>
  <c r="G690" i="1"/>
  <c r="H689" i="1"/>
  <c r="G689" i="1"/>
  <c r="H688" i="1"/>
  <c r="G688" i="1"/>
  <c r="H687" i="1"/>
  <c r="G687" i="1"/>
  <c r="H686" i="1"/>
  <c r="G686" i="1"/>
  <c r="H685" i="1"/>
  <c r="G685" i="1"/>
  <c r="H684" i="1"/>
  <c r="G684" i="1"/>
  <c r="H683" i="1"/>
  <c r="G683" i="1"/>
  <c r="H682" i="1"/>
  <c r="G682" i="1"/>
  <c r="H681" i="1"/>
  <c r="G681" i="1"/>
  <c r="H680" i="1"/>
  <c r="G680" i="1"/>
  <c r="H679" i="1"/>
  <c r="G679" i="1"/>
  <c r="H678" i="1"/>
  <c r="G678" i="1"/>
  <c r="H677" i="1"/>
  <c r="G677" i="1"/>
  <c r="H676" i="1"/>
  <c r="G676" i="1"/>
  <c r="H675" i="1"/>
  <c r="G675" i="1"/>
  <c r="H674" i="1"/>
  <c r="G674" i="1"/>
  <c r="H673" i="1"/>
  <c r="G673" i="1"/>
  <c r="H672" i="1"/>
  <c r="G672" i="1"/>
  <c r="H671" i="1"/>
  <c r="G671" i="1"/>
  <c r="H670" i="1"/>
  <c r="G670" i="1"/>
  <c r="H669" i="1"/>
  <c r="G669" i="1"/>
  <c r="H668" i="1"/>
  <c r="G668" i="1"/>
  <c r="H667" i="1"/>
  <c r="G667" i="1"/>
  <c r="H666" i="1"/>
  <c r="G666" i="1"/>
  <c r="H665" i="1"/>
  <c r="G665" i="1"/>
  <c r="H664" i="1"/>
  <c r="G664" i="1"/>
  <c r="H663" i="1"/>
  <c r="G663" i="1"/>
  <c r="H662" i="1"/>
  <c r="G662" i="1"/>
  <c r="H661" i="1"/>
  <c r="G661" i="1"/>
  <c r="H660" i="1"/>
  <c r="G660" i="1"/>
  <c r="H659" i="1"/>
  <c r="G659" i="1"/>
  <c r="H658" i="1"/>
  <c r="G658" i="1"/>
  <c r="H657" i="1"/>
  <c r="G657" i="1"/>
  <c r="H656" i="1"/>
  <c r="G656" i="1"/>
  <c r="H655" i="1"/>
  <c r="G655" i="1"/>
  <c r="H654" i="1"/>
  <c r="G654" i="1"/>
  <c r="H653" i="1"/>
  <c r="G653" i="1"/>
  <c r="H652" i="1"/>
  <c r="G652" i="1"/>
  <c r="H651" i="1"/>
  <c r="G651" i="1"/>
  <c r="H650" i="1"/>
  <c r="G650" i="1"/>
  <c r="H649" i="1"/>
  <c r="G649" i="1"/>
  <c r="H648" i="1"/>
  <c r="G648" i="1"/>
  <c r="H647" i="1"/>
  <c r="G647" i="1"/>
  <c r="H646" i="1"/>
  <c r="G646" i="1"/>
  <c r="H645" i="1"/>
  <c r="G645" i="1"/>
  <c r="H370" i="1"/>
  <c r="G370" i="1"/>
  <c r="H643" i="1"/>
  <c r="G643" i="1"/>
  <c r="H642" i="1"/>
  <c r="G642" i="1"/>
  <c r="H641" i="1"/>
  <c r="G641" i="1"/>
  <c r="H640" i="1"/>
  <c r="G640" i="1"/>
  <c r="H639" i="1"/>
  <c r="G639" i="1"/>
  <c r="H638" i="1"/>
  <c r="G638" i="1"/>
  <c r="H637" i="1"/>
  <c r="G637" i="1"/>
  <c r="H636" i="1"/>
  <c r="G636" i="1"/>
  <c r="H635" i="1"/>
  <c r="G635" i="1"/>
  <c r="H634" i="1"/>
  <c r="G634" i="1"/>
  <c r="H633" i="1"/>
  <c r="G633" i="1"/>
  <c r="H632" i="1"/>
  <c r="G632" i="1"/>
  <c r="H631" i="1"/>
  <c r="G631" i="1"/>
  <c r="H630" i="1"/>
  <c r="G630" i="1"/>
  <c r="H629" i="1"/>
  <c r="G629" i="1"/>
  <c r="H628" i="1"/>
  <c r="G628" i="1"/>
  <c r="H627" i="1"/>
  <c r="G627" i="1"/>
  <c r="H626" i="1"/>
  <c r="G626" i="1"/>
  <c r="H625" i="1"/>
  <c r="G625" i="1"/>
  <c r="H624" i="1"/>
  <c r="G624" i="1"/>
  <c r="H623" i="1"/>
  <c r="G623" i="1"/>
  <c r="H622" i="1"/>
  <c r="G622" i="1"/>
  <c r="H621" i="1"/>
  <c r="G621" i="1"/>
  <c r="H620" i="1"/>
  <c r="G620" i="1"/>
  <c r="H619" i="1"/>
  <c r="G619" i="1"/>
  <c r="H618" i="1"/>
  <c r="G618" i="1"/>
  <c r="H617" i="1"/>
  <c r="G617" i="1"/>
  <c r="H616" i="1"/>
  <c r="G616" i="1"/>
  <c r="H615" i="1"/>
  <c r="G615" i="1"/>
  <c r="H614" i="1"/>
  <c r="G614" i="1"/>
  <c r="H613" i="1"/>
  <c r="G613" i="1"/>
  <c r="H612" i="1"/>
  <c r="G612" i="1"/>
  <c r="H611" i="1"/>
  <c r="G611" i="1"/>
  <c r="H610" i="1"/>
  <c r="G610" i="1"/>
  <c r="H609" i="1"/>
  <c r="G609" i="1"/>
  <c r="H608" i="1"/>
  <c r="G608" i="1"/>
  <c r="H607" i="1"/>
  <c r="G607" i="1"/>
  <c r="H606" i="1"/>
  <c r="G606" i="1"/>
  <c r="H605" i="1"/>
  <c r="G605" i="1"/>
  <c r="H604" i="1"/>
  <c r="G604" i="1"/>
  <c r="H603" i="1"/>
  <c r="G603" i="1"/>
  <c r="H602" i="1"/>
  <c r="G602" i="1"/>
  <c r="H601" i="1"/>
  <c r="G601" i="1"/>
  <c r="H600" i="1"/>
  <c r="G600" i="1"/>
  <c r="H599" i="1"/>
  <c r="G599" i="1"/>
  <c r="H598" i="1"/>
  <c r="G598" i="1"/>
  <c r="H597" i="1"/>
  <c r="G597" i="1"/>
  <c r="H596" i="1"/>
  <c r="G596" i="1"/>
  <c r="H595" i="1"/>
  <c r="G595" i="1"/>
  <c r="H594" i="1"/>
  <c r="G594" i="1"/>
  <c r="H360" i="1"/>
  <c r="G360" i="1"/>
  <c r="H592" i="1"/>
  <c r="G592" i="1"/>
  <c r="H591" i="1"/>
  <c r="G591" i="1"/>
  <c r="H590" i="1"/>
  <c r="G590" i="1"/>
  <c r="H589" i="1"/>
  <c r="G589" i="1"/>
  <c r="H588" i="1"/>
  <c r="G588" i="1"/>
  <c r="H587" i="1"/>
  <c r="G587" i="1"/>
  <c r="H586" i="1"/>
  <c r="G586" i="1"/>
  <c r="H585" i="1"/>
  <c r="G585" i="1"/>
  <c r="H584" i="1"/>
  <c r="G584" i="1"/>
  <c r="H583" i="1"/>
  <c r="G583" i="1"/>
  <c r="H582" i="1"/>
  <c r="G582" i="1"/>
  <c r="H581" i="1"/>
  <c r="G581" i="1"/>
  <c r="H580" i="1"/>
  <c r="G580" i="1"/>
  <c r="H579" i="1"/>
  <c r="G579" i="1"/>
  <c r="H578" i="1"/>
  <c r="G578" i="1"/>
  <c r="H577" i="1"/>
  <c r="G577" i="1"/>
  <c r="H576" i="1"/>
  <c r="G576" i="1"/>
  <c r="H575" i="1"/>
  <c r="G575" i="1"/>
  <c r="H574" i="1"/>
  <c r="G574" i="1"/>
  <c r="H573" i="1"/>
  <c r="G573" i="1"/>
  <c r="H572" i="1"/>
  <c r="G572" i="1"/>
  <c r="H571" i="1"/>
  <c r="G571" i="1"/>
  <c r="H570" i="1"/>
  <c r="G570" i="1"/>
  <c r="H569" i="1"/>
  <c r="G569" i="1"/>
  <c r="H568" i="1"/>
  <c r="G568" i="1"/>
  <c r="H567" i="1"/>
  <c r="G567" i="1"/>
  <c r="H566" i="1"/>
  <c r="G566" i="1"/>
  <c r="H565" i="1"/>
  <c r="G565" i="1"/>
  <c r="H564" i="1"/>
  <c r="G564" i="1"/>
  <c r="H563" i="1"/>
  <c r="G563" i="1"/>
  <c r="H562" i="1"/>
  <c r="G562" i="1"/>
  <c r="H12" i="1"/>
  <c r="G12" i="1"/>
  <c r="H560" i="1"/>
  <c r="G560" i="1"/>
  <c r="H559" i="1"/>
  <c r="G559" i="1"/>
  <c r="H558" i="1"/>
  <c r="G558" i="1"/>
  <c r="H557" i="1"/>
  <c r="G557" i="1"/>
  <c r="H556" i="1"/>
  <c r="G556" i="1"/>
  <c r="H555" i="1"/>
  <c r="G555" i="1"/>
  <c r="H554" i="1"/>
  <c r="G554" i="1"/>
  <c r="H553" i="1"/>
  <c r="G553" i="1"/>
  <c r="H552" i="1"/>
  <c r="G552" i="1"/>
  <c r="H551" i="1"/>
  <c r="G551" i="1"/>
  <c r="H550" i="1"/>
  <c r="G550" i="1"/>
  <c r="H549" i="1"/>
  <c r="G549" i="1"/>
  <c r="H548" i="1"/>
  <c r="G548" i="1"/>
  <c r="H547" i="1"/>
  <c r="G547" i="1"/>
  <c r="H546" i="1"/>
  <c r="G546" i="1"/>
  <c r="H545" i="1"/>
  <c r="G545" i="1"/>
  <c r="H544" i="1"/>
  <c r="G544" i="1"/>
  <c r="H543" i="1"/>
  <c r="G543" i="1"/>
  <c r="H542" i="1"/>
  <c r="G542" i="1"/>
  <c r="H541" i="1"/>
  <c r="G541" i="1"/>
  <c r="H540" i="1"/>
  <c r="G540" i="1"/>
  <c r="H539" i="1"/>
  <c r="G539" i="1"/>
  <c r="H538" i="1"/>
  <c r="G538" i="1"/>
  <c r="H537" i="1"/>
  <c r="G537" i="1"/>
  <c r="H536" i="1"/>
  <c r="G536" i="1"/>
  <c r="H535" i="1"/>
  <c r="G535" i="1"/>
  <c r="H534" i="1"/>
  <c r="G534" i="1"/>
  <c r="H533" i="1"/>
  <c r="G533" i="1"/>
  <c r="H532" i="1"/>
  <c r="G532" i="1"/>
  <c r="H531" i="1"/>
  <c r="G531" i="1"/>
  <c r="H530" i="1"/>
  <c r="G530" i="1"/>
  <c r="H529" i="1"/>
  <c r="G529" i="1"/>
  <c r="H528" i="1"/>
  <c r="G528" i="1"/>
  <c r="H527" i="1"/>
  <c r="G527" i="1"/>
  <c r="H526" i="1"/>
  <c r="G526" i="1"/>
  <c r="H525" i="1"/>
  <c r="G525" i="1"/>
  <c r="H524" i="1"/>
  <c r="G524" i="1"/>
  <c r="H523" i="1"/>
  <c r="G523" i="1"/>
  <c r="H522" i="1"/>
  <c r="G522" i="1"/>
  <c r="H521" i="1"/>
  <c r="G521" i="1"/>
  <c r="H520" i="1"/>
  <c r="G520" i="1"/>
  <c r="H519" i="1"/>
  <c r="G519" i="1"/>
  <c r="H518" i="1"/>
  <c r="G518" i="1"/>
  <c r="H517" i="1"/>
  <c r="G517" i="1"/>
  <c r="H516" i="1"/>
  <c r="G516" i="1"/>
  <c r="H515" i="1"/>
  <c r="G515" i="1"/>
  <c r="H514" i="1"/>
  <c r="G514" i="1"/>
  <c r="H513" i="1"/>
  <c r="G513" i="1"/>
  <c r="H512" i="1"/>
  <c r="G512" i="1"/>
  <c r="H511" i="1"/>
  <c r="G511" i="1"/>
  <c r="H510" i="1"/>
  <c r="G510" i="1"/>
  <c r="H509" i="1"/>
  <c r="G509" i="1"/>
  <c r="H508" i="1"/>
  <c r="G508" i="1"/>
  <c r="H507" i="1"/>
  <c r="G507" i="1"/>
  <c r="H506" i="1"/>
  <c r="G506" i="1"/>
  <c r="H505" i="1"/>
  <c r="G505" i="1"/>
  <c r="H504" i="1"/>
  <c r="G504" i="1"/>
  <c r="H503" i="1"/>
  <c r="G503" i="1"/>
  <c r="H502" i="1"/>
  <c r="G502" i="1"/>
  <c r="H501" i="1"/>
  <c r="G501" i="1"/>
  <c r="H500" i="1"/>
  <c r="G500" i="1"/>
  <c r="H499" i="1"/>
  <c r="G499" i="1"/>
  <c r="H498" i="1"/>
  <c r="G498" i="1"/>
  <c r="H497" i="1"/>
  <c r="G497" i="1"/>
  <c r="H496" i="1"/>
  <c r="G496" i="1"/>
  <c r="H495" i="1"/>
  <c r="G495" i="1"/>
  <c r="H494" i="1"/>
  <c r="G494" i="1"/>
  <c r="H493" i="1"/>
  <c r="G493" i="1"/>
  <c r="H492" i="1"/>
  <c r="G492" i="1"/>
  <c r="H491" i="1"/>
  <c r="G491" i="1"/>
  <c r="H490" i="1"/>
  <c r="G490" i="1"/>
  <c r="H489" i="1"/>
  <c r="G489" i="1"/>
  <c r="H488" i="1"/>
  <c r="G488" i="1"/>
  <c r="H487" i="1"/>
  <c r="G487" i="1"/>
  <c r="H486" i="1"/>
  <c r="G486" i="1"/>
  <c r="H485" i="1"/>
  <c r="G485" i="1"/>
  <c r="H484" i="1"/>
  <c r="G484" i="1"/>
  <c r="H483" i="1"/>
  <c r="G483" i="1"/>
  <c r="H482" i="1"/>
  <c r="G482" i="1"/>
  <c r="H481" i="1"/>
  <c r="G481" i="1"/>
  <c r="H480" i="1"/>
  <c r="G480" i="1"/>
  <c r="H479" i="1"/>
  <c r="G479" i="1"/>
  <c r="H478" i="1"/>
  <c r="G478" i="1"/>
  <c r="H477" i="1"/>
  <c r="G477" i="1"/>
  <c r="H476" i="1"/>
  <c r="G476" i="1"/>
  <c r="H475" i="1"/>
  <c r="G475" i="1"/>
  <c r="H474" i="1"/>
  <c r="G474" i="1"/>
  <c r="H473" i="1"/>
  <c r="G473" i="1"/>
  <c r="H472" i="1"/>
  <c r="G472" i="1"/>
  <c r="H471" i="1"/>
  <c r="G471" i="1"/>
  <c r="H470" i="1"/>
  <c r="G470" i="1"/>
  <c r="H469" i="1"/>
  <c r="G469" i="1"/>
  <c r="H468" i="1"/>
  <c r="G468" i="1"/>
  <c r="H467" i="1"/>
  <c r="G467" i="1"/>
  <c r="H466" i="1"/>
  <c r="G466" i="1"/>
  <c r="H465" i="1"/>
  <c r="G465" i="1"/>
  <c r="H464" i="1"/>
  <c r="G464" i="1"/>
  <c r="H463" i="1"/>
  <c r="G463" i="1"/>
  <c r="H462" i="1"/>
  <c r="G462" i="1"/>
  <c r="H461" i="1"/>
  <c r="G461" i="1"/>
  <c r="H460" i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7" i="1"/>
  <c r="G447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40" i="1"/>
  <c r="G440" i="1"/>
  <c r="H439" i="1"/>
  <c r="G439" i="1"/>
  <c r="H593" i="1"/>
  <c r="G593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732" i="1"/>
  <c r="G732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561" i="1"/>
  <c r="G561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216" i="1"/>
  <c r="G216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160" i="1"/>
  <c r="G160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27" i="1"/>
  <c r="G127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438" i="1"/>
  <c r="G438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7" i="1"/>
  <c r="G7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28" i="1"/>
  <c r="G28" i="1"/>
  <c r="H644" i="1"/>
  <c r="G644" i="1"/>
  <c r="H11" i="1"/>
  <c r="G11" i="1"/>
  <c r="H10" i="1"/>
  <c r="G10" i="1"/>
  <c r="H9" i="1"/>
  <c r="G9" i="1"/>
  <c r="H8" i="1"/>
  <c r="G8" i="1"/>
  <c r="H13" i="1"/>
  <c r="G13" i="1"/>
  <c r="H6" i="1"/>
  <c r="G6" i="1"/>
  <c r="H5" i="1"/>
  <c r="G5" i="1"/>
  <c r="H4" i="1"/>
  <c r="G4" i="1"/>
  <c r="H3" i="1"/>
  <c r="G3" i="1"/>
  <c r="H2" i="1"/>
  <c r="G2" i="1"/>
  <c r="R910" i="2" l="1"/>
  <c r="R909" i="2"/>
  <c r="R908" i="2"/>
  <c r="R907" i="2"/>
  <c r="R906" i="2"/>
  <c r="R905" i="2"/>
  <c r="R904" i="2"/>
  <c r="R903" i="2"/>
  <c r="R902" i="2"/>
  <c r="R901" i="2"/>
  <c r="R900" i="2"/>
  <c r="R899" i="2"/>
  <c r="R898" i="2"/>
  <c r="R897" i="2"/>
  <c r="R896" i="2"/>
  <c r="R895" i="2"/>
  <c r="R894" i="2"/>
  <c r="R893" i="2"/>
  <c r="R892" i="2"/>
  <c r="R891" i="2"/>
  <c r="R890" i="2"/>
  <c r="R889" i="2"/>
  <c r="R888" i="2"/>
  <c r="R887" i="2"/>
  <c r="R886" i="2"/>
  <c r="R885" i="2"/>
  <c r="R884" i="2"/>
  <c r="R883" i="2"/>
  <c r="R882" i="2"/>
  <c r="R881" i="2"/>
  <c r="R880" i="2"/>
  <c r="R879" i="2"/>
  <c r="R878" i="2"/>
  <c r="R877" i="2"/>
  <c r="R876" i="2"/>
  <c r="R875" i="2"/>
  <c r="R874" i="2"/>
  <c r="R873" i="2"/>
  <c r="R872" i="2"/>
  <c r="R871" i="2"/>
  <c r="R870" i="2"/>
  <c r="R869" i="2"/>
  <c r="R868" i="2"/>
  <c r="R867" i="2"/>
  <c r="R866" i="2"/>
  <c r="R865" i="2"/>
  <c r="R864" i="2"/>
  <c r="R863" i="2"/>
  <c r="R862" i="2"/>
  <c r="R861" i="2"/>
  <c r="R860" i="2"/>
  <c r="R859" i="2"/>
  <c r="R858" i="2"/>
  <c r="R857" i="2"/>
  <c r="R856" i="2"/>
  <c r="R855" i="2"/>
  <c r="R854" i="2"/>
  <c r="R853" i="2"/>
  <c r="R852" i="2"/>
  <c r="R851" i="2"/>
  <c r="R850" i="2"/>
  <c r="R849" i="2"/>
  <c r="R848" i="2"/>
  <c r="R847" i="2"/>
  <c r="R846" i="2"/>
  <c r="R845" i="2"/>
  <c r="R844" i="2"/>
  <c r="R843" i="2"/>
  <c r="R842" i="2"/>
  <c r="R841" i="2"/>
  <c r="R840" i="2"/>
  <c r="R839" i="2"/>
  <c r="R838" i="2"/>
  <c r="R837" i="2"/>
  <c r="R836" i="2"/>
  <c r="R835" i="2"/>
  <c r="R834" i="2"/>
  <c r="R833" i="2"/>
  <c r="R832" i="2"/>
  <c r="R831" i="2"/>
  <c r="R830" i="2"/>
  <c r="R829" i="2"/>
  <c r="R828" i="2"/>
  <c r="R827" i="2"/>
  <c r="R826" i="2"/>
  <c r="R825" i="2"/>
  <c r="R824" i="2"/>
  <c r="R823" i="2"/>
  <c r="R822" i="2"/>
  <c r="R821" i="2"/>
  <c r="R820" i="2"/>
  <c r="R819" i="2"/>
  <c r="R818" i="2"/>
  <c r="R817" i="2"/>
  <c r="R816" i="2"/>
  <c r="R815" i="2"/>
  <c r="R814" i="2"/>
  <c r="R813" i="2"/>
  <c r="R812" i="2"/>
  <c r="R811" i="2"/>
  <c r="R810" i="2"/>
  <c r="R809" i="2"/>
  <c r="R808" i="2"/>
  <c r="R807" i="2"/>
  <c r="R806" i="2"/>
  <c r="R805" i="2"/>
  <c r="R804" i="2"/>
  <c r="R803" i="2"/>
  <c r="R802" i="2"/>
  <c r="R801" i="2"/>
  <c r="R800" i="2"/>
  <c r="R799" i="2"/>
  <c r="R798" i="2"/>
  <c r="R797" i="2"/>
  <c r="R796" i="2"/>
  <c r="R795" i="2"/>
  <c r="R794" i="2"/>
  <c r="R793" i="2"/>
  <c r="R792" i="2"/>
  <c r="R791" i="2"/>
  <c r="R790" i="2"/>
  <c r="R789" i="2"/>
  <c r="R788" i="2"/>
  <c r="R787" i="2"/>
  <c r="R786" i="2"/>
  <c r="R785" i="2"/>
  <c r="R784" i="2"/>
  <c r="R783" i="2"/>
  <c r="R782" i="2"/>
  <c r="R781" i="2"/>
  <c r="R780" i="2"/>
  <c r="R779" i="2"/>
  <c r="R778" i="2"/>
  <c r="R777" i="2"/>
  <c r="R776" i="2"/>
  <c r="R775" i="2"/>
  <c r="R774" i="2"/>
  <c r="R773" i="2"/>
  <c r="R772" i="2"/>
  <c r="R771" i="2"/>
  <c r="R770" i="2"/>
  <c r="R769" i="2"/>
  <c r="R768" i="2"/>
  <c r="R767" i="2"/>
  <c r="R766" i="2"/>
  <c r="R765" i="2"/>
  <c r="R764" i="2"/>
  <c r="R763" i="2"/>
  <c r="R762" i="2"/>
  <c r="R761" i="2"/>
  <c r="R760" i="2"/>
  <c r="R759" i="2"/>
  <c r="R758" i="2"/>
  <c r="R757" i="2"/>
  <c r="R756" i="2"/>
  <c r="R755" i="2"/>
  <c r="R754" i="2"/>
  <c r="R753" i="2"/>
  <c r="R752" i="2"/>
  <c r="R751" i="2"/>
  <c r="R750" i="2"/>
  <c r="R749" i="2"/>
  <c r="R748" i="2"/>
  <c r="R747" i="2"/>
  <c r="R746" i="2"/>
  <c r="R745" i="2"/>
  <c r="R744" i="2"/>
  <c r="R743" i="2"/>
  <c r="R742" i="2"/>
  <c r="R741" i="2"/>
  <c r="R740" i="2"/>
  <c r="R739" i="2"/>
  <c r="R738" i="2"/>
  <c r="R737" i="2"/>
  <c r="R736" i="2"/>
  <c r="R735" i="2"/>
  <c r="R734" i="2"/>
  <c r="R733" i="2"/>
  <c r="R732" i="2"/>
  <c r="R731" i="2"/>
  <c r="R730" i="2"/>
  <c r="R729" i="2"/>
  <c r="R728" i="2"/>
  <c r="R727" i="2"/>
  <c r="R726" i="2"/>
  <c r="R725" i="2"/>
  <c r="R724" i="2"/>
  <c r="R723" i="2"/>
  <c r="R722" i="2"/>
  <c r="R721" i="2"/>
  <c r="R720" i="2"/>
  <c r="R719" i="2"/>
  <c r="R718" i="2"/>
  <c r="R717" i="2"/>
  <c r="R716" i="2"/>
  <c r="R715" i="2"/>
  <c r="R714" i="2"/>
  <c r="R713" i="2"/>
  <c r="R712" i="2"/>
  <c r="R711" i="2"/>
  <c r="R710" i="2"/>
  <c r="R709" i="2"/>
  <c r="R708" i="2"/>
  <c r="R707" i="2"/>
  <c r="R706" i="2"/>
  <c r="R705" i="2"/>
  <c r="R704" i="2"/>
  <c r="R703" i="2"/>
  <c r="R702" i="2"/>
  <c r="R701" i="2"/>
  <c r="R700" i="2"/>
  <c r="R699" i="2"/>
  <c r="R698" i="2"/>
  <c r="R697" i="2"/>
  <c r="R696" i="2"/>
  <c r="R695" i="2"/>
  <c r="R694" i="2"/>
  <c r="R693" i="2"/>
  <c r="R692" i="2"/>
  <c r="R691" i="2"/>
  <c r="R690" i="2"/>
  <c r="R689" i="2"/>
  <c r="R688" i="2"/>
  <c r="R687" i="2"/>
  <c r="R686" i="2"/>
  <c r="R685" i="2"/>
  <c r="R684" i="2"/>
  <c r="R683" i="2"/>
  <c r="R682" i="2"/>
  <c r="R681" i="2"/>
  <c r="R680" i="2"/>
  <c r="R679" i="2"/>
  <c r="R678" i="2"/>
  <c r="R677" i="2"/>
  <c r="R676" i="2"/>
  <c r="R675" i="2"/>
  <c r="R674" i="2"/>
  <c r="R673" i="2"/>
  <c r="R672" i="2"/>
  <c r="R671" i="2"/>
  <c r="R670" i="2"/>
  <c r="R669" i="2"/>
  <c r="R668" i="2"/>
  <c r="R667" i="2"/>
  <c r="R666" i="2"/>
  <c r="R665" i="2"/>
  <c r="R664" i="2"/>
  <c r="R663" i="2"/>
  <c r="R662" i="2"/>
  <c r="R661" i="2"/>
  <c r="R660" i="2"/>
  <c r="R659" i="2"/>
  <c r="R658" i="2"/>
  <c r="R657" i="2"/>
  <c r="R656" i="2"/>
  <c r="R655" i="2"/>
  <c r="R654" i="2"/>
  <c r="R653" i="2"/>
  <c r="R652" i="2"/>
  <c r="R651" i="2"/>
  <c r="R650" i="2"/>
  <c r="R649" i="2"/>
  <c r="R648" i="2"/>
  <c r="R647" i="2"/>
  <c r="R646" i="2"/>
  <c r="R645" i="2"/>
  <c r="R644" i="2"/>
  <c r="R643" i="2"/>
  <c r="R642" i="2"/>
  <c r="R641" i="2"/>
  <c r="R640" i="2"/>
  <c r="R639" i="2"/>
  <c r="R638" i="2"/>
  <c r="R637" i="2"/>
  <c r="R636" i="2"/>
  <c r="R635" i="2"/>
  <c r="R634" i="2"/>
  <c r="R633" i="2"/>
  <c r="R632" i="2"/>
  <c r="R631" i="2"/>
  <c r="R630" i="2"/>
  <c r="R629" i="2"/>
  <c r="R628" i="2"/>
  <c r="R627" i="2"/>
  <c r="R626" i="2"/>
  <c r="R625" i="2"/>
  <c r="R624" i="2"/>
  <c r="R623" i="2"/>
  <c r="R622" i="2"/>
  <c r="R621" i="2"/>
  <c r="R620" i="2"/>
  <c r="R619" i="2"/>
  <c r="R618" i="2"/>
  <c r="R617" i="2"/>
  <c r="R616" i="2"/>
  <c r="R615" i="2"/>
  <c r="R614" i="2"/>
  <c r="R613" i="2"/>
  <c r="R612" i="2"/>
  <c r="R611" i="2"/>
  <c r="R610" i="2"/>
  <c r="R609" i="2"/>
  <c r="R608" i="2"/>
  <c r="R607" i="2"/>
  <c r="R606" i="2"/>
  <c r="R605" i="2"/>
  <c r="R604" i="2"/>
  <c r="R603" i="2"/>
  <c r="R602" i="2"/>
  <c r="R601" i="2"/>
  <c r="R600" i="2"/>
  <c r="R599" i="2"/>
  <c r="R598" i="2"/>
  <c r="R597" i="2"/>
  <c r="R596" i="2"/>
  <c r="R595" i="2"/>
  <c r="R594" i="2"/>
  <c r="R593" i="2"/>
  <c r="R592" i="2"/>
  <c r="R591" i="2"/>
  <c r="R590" i="2"/>
  <c r="R589" i="2"/>
  <c r="R588" i="2"/>
  <c r="R587" i="2"/>
  <c r="R586" i="2"/>
  <c r="R585" i="2"/>
  <c r="R584" i="2"/>
  <c r="R583" i="2"/>
  <c r="R582" i="2"/>
  <c r="R581" i="2"/>
  <c r="R580" i="2"/>
  <c r="R579" i="2"/>
  <c r="R578" i="2"/>
  <c r="R577" i="2"/>
  <c r="R576" i="2"/>
  <c r="R575" i="2"/>
  <c r="R574" i="2"/>
  <c r="R573" i="2"/>
  <c r="R572" i="2"/>
  <c r="R571" i="2"/>
  <c r="R570" i="2"/>
  <c r="R569" i="2"/>
  <c r="R568" i="2"/>
  <c r="R567" i="2"/>
  <c r="R566" i="2"/>
  <c r="R565" i="2"/>
  <c r="R564" i="2"/>
  <c r="R563" i="2"/>
  <c r="R562" i="2"/>
  <c r="R561" i="2"/>
  <c r="R560" i="2"/>
  <c r="R559" i="2"/>
  <c r="R558" i="2"/>
  <c r="R557" i="2"/>
  <c r="R556" i="2"/>
  <c r="R555" i="2"/>
  <c r="R554" i="2"/>
  <c r="R553" i="2"/>
  <c r="R552" i="2"/>
  <c r="R551" i="2"/>
  <c r="R550" i="2"/>
  <c r="R549" i="2"/>
  <c r="R548" i="2"/>
  <c r="R547" i="2"/>
  <c r="R546" i="2"/>
  <c r="R545" i="2"/>
  <c r="R544" i="2"/>
  <c r="R543" i="2"/>
  <c r="R542" i="2"/>
  <c r="R541" i="2"/>
  <c r="R540" i="2"/>
  <c r="R539" i="2"/>
  <c r="R538" i="2"/>
  <c r="R537" i="2"/>
  <c r="R536" i="2"/>
  <c r="R535" i="2"/>
  <c r="R534" i="2"/>
  <c r="R533" i="2"/>
  <c r="R532" i="2"/>
  <c r="R531" i="2"/>
  <c r="R530" i="2"/>
  <c r="R529" i="2"/>
  <c r="R528" i="2"/>
  <c r="R527" i="2"/>
  <c r="R526" i="2"/>
  <c r="R525" i="2"/>
  <c r="R524" i="2"/>
  <c r="R523" i="2"/>
  <c r="R522" i="2"/>
  <c r="R521" i="2"/>
  <c r="R520" i="2"/>
  <c r="R519" i="2"/>
  <c r="R518" i="2"/>
  <c r="R517" i="2"/>
  <c r="R516" i="2"/>
  <c r="R515" i="2"/>
  <c r="R514" i="2"/>
  <c r="R513" i="2"/>
  <c r="R512" i="2"/>
  <c r="R511" i="2"/>
  <c r="R510" i="2"/>
  <c r="R509" i="2"/>
  <c r="R508" i="2"/>
  <c r="R507" i="2"/>
  <c r="R506" i="2"/>
  <c r="R505" i="2"/>
  <c r="R504" i="2"/>
  <c r="R503" i="2"/>
  <c r="R502" i="2"/>
  <c r="R501" i="2"/>
  <c r="R500" i="2"/>
  <c r="R499" i="2"/>
  <c r="R498" i="2"/>
  <c r="R497" i="2"/>
  <c r="R496" i="2"/>
  <c r="R495" i="2"/>
  <c r="R494" i="2"/>
  <c r="R493" i="2"/>
  <c r="R492" i="2"/>
  <c r="R491" i="2"/>
  <c r="R490" i="2"/>
  <c r="R489" i="2"/>
  <c r="R488" i="2"/>
  <c r="R487" i="2"/>
  <c r="R486" i="2"/>
  <c r="R485" i="2"/>
  <c r="R484" i="2"/>
  <c r="R483" i="2"/>
  <c r="R482" i="2"/>
  <c r="R481" i="2"/>
  <c r="R480" i="2"/>
  <c r="R479" i="2"/>
  <c r="R478" i="2"/>
  <c r="R477" i="2"/>
  <c r="R476" i="2"/>
  <c r="R475" i="2"/>
  <c r="R474" i="2"/>
  <c r="R473" i="2"/>
  <c r="R472" i="2"/>
  <c r="R471" i="2"/>
  <c r="R470" i="2"/>
  <c r="R469" i="2"/>
  <c r="R468" i="2"/>
  <c r="R467" i="2"/>
  <c r="R466" i="2"/>
  <c r="R465" i="2"/>
  <c r="R464" i="2"/>
  <c r="R463" i="2"/>
  <c r="R462" i="2"/>
  <c r="R461" i="2"/>
  <c r="R460" i="2"/>
  <c r="R459" i="2"/>
  <c r="R458" i="2"/>
  <c r="R457" i="2"/>
  <c r="R456" i="2"/>
  <c r="R455" i="2"/>
  <c r="R454" i="2"/>
  <c r="R453" i="2"/>
  <c r="R452" i="2"/>
  <c r="R451" i="2"/>
  <c r="R450" i="2"/>
  <c r="R449" i="2"/>
  <c r="R448" i="2"/>
  <c r="R447" i="2"/>
  <c r="R446" i="2"/>
  <c r="R445" i="2"/>
  <c r="R444" i="2"/>
  <c r="R443" i="2"/>
  <c r="R442" i="2"/>
  <c r="R441" i="2"/>
  <c r="R440" i="2"/>
  <c r="R439" i="2"/>
  <c r="R438" i="2"/>
  <c r="R437" i="2"/>
  <c r="R436" i="2"/>
  <c r="R435" i="2"/>
  <c r="R434" i="2"/>
  <c r="R433" i="2"/>
  <c r="R432" i="2"/>
  <c r="R431" i="2"/>
  <c r="R430" i="2"/>
  <c r="R429" i="2"/>
  <c r="R428" i="2"/>
  <c r="R427" i="2"/>
  <c r="R426" i="2"/>
  <c r="R425" i="2"/>
  <c r="R424" i="2"/>
  <c r="R423" i="2"/>
  <c r="R422" i="2"/>
  <c r="R421" i="2"/>
  <c r="R420" i="2"/>
  <c r="R419" i="2"/>
  <c r="R418" i="2"/>
  <c r="R417" i="2"/>
  <c r="R416" i="2"/>
  <c r="R415" i="2"/>
  <c r="R414" i="2"/>
  <c r="R413" i="2"/>
  <c r="R412" i="2"/>
  <c r="R411" i="2"/>
  <c r="R410" i="2"/>
  <c r="R409" i="2"/>
  <c r="R408" i="2"/>
  <c r="R407" i="2"/>
  <c r="R406" i="2"/>
  <c r="R405" i="2"/>
  <c r="R404" i="2"/>
  <c r="R403" i="2"/>
  <c r="R402" i="2"/>
  <c r="R401" i="2"/>
  <c r="R400" i="2"/>
  <c r="R399" i="2"/>
  <c r="R398" i="2"/>
  <c r="R397" i="2"/>
  <c r="R396" i="2"/>
  <c r="R395" i="2"/>
  <c r="R394" i="2"/>
  <c r="R393" i="2"/>
  <c r="R392" i="2"/>
  <c r="R391" i="2"/>
  <c r="R390" i="2"/>
  <c r="R389" i="2"/>
  <c r="R388" i="2"/>
  <c r="R387" i="2"/>
  <c r="R386" i="2"/>
  <c r="R385" i="2"/>
  <c r="R384" i="2"/>
  <c r="R383" i="2"/>
  <c r="R382" i="2"/>
  <c r="R381" i="2"/>
  <c r="R380" i="2"/>
  <c r="R379" i="2"/>
  <c r="R378" i="2"/>
  <c r="R377" i="2"/>
  <c r="R376" i="2"/>
  <c r="R375" i="2"/>
  <c r="R374" i="2"/>
  <c r="R373" i="2"/>
  <c r="R372" i="2"/>
  <c r="R371" i="2"/>
  <c r="R370" i="2"/>
  <c r="R369" i="2"/>
  <c r="R368" i="2"/>
  <c r="R367" i="2"/>
  <c r="R366" i="2"/>
  <c r="R365" i="2"/>
  <c r="R364" i="2"/>
  <c r="R363" i="2"/>
  <c r="R362" i="2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4" i="4"/>
  <c r="F14" i="4"/>
  <c r="F13" i="4"/>
  <c r="F11" i="4"/>
  <c r="F10" i="4"/>
  <c r="F12" i="4"/>
  <c r="F9" i="4"/>
  <c r="F8" i="4"/>
  <c r="F7" i="4"/>
  <c r="F6" i="4"/>
  <c r="F3" i="4"/>
  <c r="F2" i="4"/>
  <c r="H557" i="2"/>
  <c r="G557" i="2"/>
  <c r="H332" i="2"/>
  <c r="G332" i="2"/>
  <c r="H9" i="2"/>
  <c r="G9" i="2"/>
  <c r="H454" i="2"/>
  <c r="G454" i="2"/>
  <c r="H526" i="2"/>
  <c r="G526" i="2"/>
  <c r="H539" i="2"/>
  <c r="G539" i="2"/>
  <c r="H670" i="2"/>
  <c r="G670" i="2"/>
  <c r="H428" i="2"/>
  <c r="G428" i="2"/>
  <c r="H541" i="2"/>
  <c r="G541" i="2"/>
  <c r="H477" i="2"/>
  <c r="G477" i="2"/>
  <c r="H311" i="2"/>
  <c r="G311" i="2"/>
  <c r="H473" i="2"/>
  <c r="G473" i="2"/>
  <c r="H181" i="2"/>
  <c r="G181" i="2"/>
  <c r="H482" i="2"/>
  <c r="G482" i="2"/>
  <c r="H235" i="2"/>
  <c r="G235" i="2"/>
  <c r="H394" i="2"/>
  <c r="G394" i="2"/>
  <c r="H286" i="2"/>
  <c r="G286" i="2"/>
  <c r="H97" i="2"/>
  <c r="G97" i="2"/>
  <c r="H559" i="2"/>
  <c r="G559" i="2"/>
  <c r="H599" i="2"/>
  <c r="G599" i="2"/>
  <c r="H260" i="2"/>
  <c r="G260" i="2"/>
  <c r="H333" i="2"/>
  <c r="G333" i="2"/>
  <c r="H632" i="2"/>
  <c r="G632" i="2"/>
  <c r="H686" i="2"/>
  <c r="G686" i="2"/>
  <c r="H637" i="2"/>
  <c r="G637" i="2"/>
  <c r="H100" i="2"/>
  <c r="G100" i="2"/>
  <c r="H654" i="2"/>
  <c r="G654" i="2"/>
  <c r="H574" i="2"/>
  <c r="G574" i="2"/>
  <c r="H603" i="2"/>
  <c r="G603" i="2"/>
  <c r="H707" i="2"/>
  <c r="G707" i="2"/>
  <c r="H265" i="2"/>
  <c r="G265" i="2"/>
  <c r="H500" i="2"/>
  <c r="G500" i="2"/>
  <c r="H31" i="2"/>
  <c r="G31" i="2"/>
  <c r="H17" i="2"/>
  <c r="G17" i="2"/>
  <c r="H148" i="2"/>
  <c r="G148" i="2"/>
  <c r="H222" i="2"/>
  <c r="G222" i="2"/>
  <c r="H57" i="2"/>
  <c r="G57" i="2"/>
  <c r="H646" i="2"/>
  <c r="G646" i="2"/>
  <c r="H246" i="2"/>
  <c r="G246" i="2"/>
  <c r="H430" i="2"/>
  <c r="G430" i="2"/>
  <c r="H419" i="2"/>
  <c r="G419" i="2"/>
  <c r="H390" i="2"/>
  <c r="G390" i="2"/>
  <c r="H175" i="2"/>
  <c r="G175" i="2"/>
  <c r="H264" i="2"/>
  <c r="G264" i="2"/>
  <c r="H613" i="2"/>
  <c r="G613" i="2"/>
  <c r="H643" i="2"/>
  <c r="G643" i="2"/>
  <c r="H270" i="2"/>
  <c r="G270" i="2"/>
  <c r="H683" i="2"/>
  <c r="G683" i="2"/>
  <c r="H566" i="2"/>
  <c r="G566" i="2"/>
  <c r="H595" i="2"/>
  <c r="G595" i="2"/>
  <c r="H219" i="2"/>
  <c r="G219" i="2"/>
  <c r="H71" i="2"/>
  <c r="G71" i="2"/>
  <c r="H52" i="2"/>
  <c r="G52" i="2"/>
  <c r="H488" i="2"/>
  <c r="G488" i="2"/>
  <c r="H517" i="2"/>
  <c r="G517" i="2"/>
  <c r="H407" i="2"/>
  <c r="G407" i="2"/>
  <c r="H538" i="2"/>
  <c r="G538" i="2"/>
  <c r="H77" i="2"/>
  <c r="G77" i="2"/>
  <c r="H274" i="2"/>
  <c r="G274" i="2"/>
  <c r="H18" i="2"/>
  <c r="G18" i="2"/>
  <c r="H99" i="2"/>
  <c r="G99" i="2"/>
  <c r="H657" i="2"/>
  <c r="G657" i="2"/>
  <c r="H193" i="2"/>
  <c r="G193" i="2"/>
  <c r="H536" i="2"/>
  <c r="G536" i="2"/>
  <c r="H584" i="2"/>
  <c r="G584" i="2"/>
  <c r="H636" i="2"/>
  <c r="G636" i="2"/>
  <c r="H626" i="2"/>
  <c r="G626" i="2"/>
  <c r="H483" i="2"/>
  <c r="G483" i="2"/>
  <c r="H113" i="2"/>
  <c r="G113" i="2"/>
  <c r="H433" i="2"/>
  <c r="G433" i="2"/>
  <c r="H6" i="2"/>
  <c r="G6" i="2"/>
  <c r="H699" i="2"/>
  <c r="G699" i="2"/>
  <c r="H691" i="2"/>
  <c r="G691" i="2"/>
  <c r="H667" i="2"/>
  <c r="G667" i="2"/>
  <c r="H709" i="2"/>
  <c r="G709" i="2"/>
  <c r="H651" i="2"/>
  <c r="G651" i="2"/>
  <c r="H512" i="2"/>
  <c r="G512" i="2"/>
  <c r="H284" i="2"/>
  <c r="G284" i="2"/>
  <c r="H386" i="2"/>
  <c r="G386" i="2"/>
  <c r="H490" i="2"/>
  <c r="G490" i="2"/>
  <c r="H218" i="2"/>
  <c r="G218" i="2"/>
  <c r="H123" i="2"/>
  <c r="G123" i="2"/>
  <c r="H425" i="2"/>
  <c r="G425" i="2"/>
  <c r="H527" i="2"/>
  <c r="G527" i="2"/>
  <c r="H59" i="2"/>
  <c r="G59" i="2"/>
  <c r="H341" i="2"/>
  <c r="G341" i="2"/>
  <c r="H149" i="2"/>
  <c r="G149" i="2"/>
  <c r="H182" i="2"/>
  <c r="G182" i="2"/>
  <c r="H529" i="2"/>
  <c r="G529" i="2"/>
  <c r="H660" i="2"/>
  <c r="G660" i="2"/>
  <c r="H459" i="2"/>
  <c r="G459" i="2"/>
  <c r="H157" i="2"/>
  <c r="G157" i="2"/>
  <c r="H267" i="2"/>
  <c r="G267" i="2"/>
  <c r="H396" i="2"/>
  <c r="G396" i="2"/>
  <c r="H283" i="2"/>
  <c r="G283" i="2"/>
  <c r="H616" i="2"/>
  <c r="G616" i="2"/>
  <c r="H146" i="2"/>
  <c r="G146" i="2"/>
  <c r="H509" i="2"/>
  <c r="G509" i="2"/>
  <c r="H608" i="2"/>
  <c r="G608" i="2"/>
  <c r="H496" i="2"/>
  <c r="G496" i="2"/>
  <c r="H174" i="2"/>
  <c r="G174" i="2"/>
  <c r="H72" i="2"/>
  <c r="G72" i="2"/>
  <c r="H583" i="2"/>
  <c r="G583" i="2"/>
  <c r="H602" i="2"/>
  <c r="G602" i="2"/>
  <c r="H668" i="2"/>
  <c r="G668" i="2"/>
  <c r="H288" i="2"/>
  <c r="G288" i="2"/>
  <c r="H298" i="2"/>
  <c r="G298" i="2"/>
  <c r="H40" i="2"/>
  <c r="G40" i="2"/>
  <c r="H572" i="2"/>
  <c r="G572" i="2"/>
  <c r="H275" i="2"/>
  <c r="G275" i="2"/>
  <c r="H300" i="2"/>
  <c r="G300" i="2"/>
  <c r="H532" i="2"/>
  <c r="G532" i="2"/>
  <c r="H156" i="2"/>
  <c r="G156" i="2"/>
  <c r="H695" i="2"/>
  <c r="G695" i="2"/>
  <c r="H234" i="2"/>
  <c r="G234" i="2"/>
  <c r="H619" i="2"/>
  <c r="G619" i="2"/>
  <c r="H576" i="2"/>
  <c r="G576" i="2"/>
  <c r="H501" i="2"/>
  <c r="G501" i="2"/>
  <c r="H362" i="2"/>
  <c r="G362" i="2"/>
  <c r="H49" i="2"/>
  <c r="G49" i="2"/>
  <c r="H64" i="2"/>
  <c r="G64" i="2"/>
  <c r="H203" i="2"/>
  <c r="G203" i="2"/>
  <c r="H314" i="2"/>
  <c r="G314" i="2"/>
  <c r="H628" i="2"/>
  <c r="G628" i="2"/>
  <c r="H618" i="2"/>
  <c r="G618" i="2"/>
  <c r="H140" i="2"/>
  <c r="G140" i="2"/>
  <c r="H568" i="2"/>
  <c r="G568" i="2"/>
  <c r="H132" i="2"/>
  <c r="G132" i="2"/>
  <c r="H571" i="2"/>
  <c r="G571" i="2"/>
  <c r="H645" i="2"/>
  <c r="G645" i="2"/>
  <c r="H661" i="2"/>
  <c r="G661" i="2"/>
  <c r="H36" i="2"/>
  <c r="G36" i="2"/>
  <c r="H81" i="2"/>
  <c r="G81" i="2"/>
  <c r="H563" i="2"/>
  <c r="G563" i="2"/>
  <c r="H722" i="2"/>
  <c r="G722" i="2"/>
  <c r="H375" i="2"/>
  <c r="G375" i="2"/>
  <c r="H168" i="2"/>
  <c r="G168" i="2"/>
  <c r="H227" i="2"/>
  <c r="G227" i="2"/>
  <c r="H497" i="2"/>
  <c r="G497" i="2"/>
  <c r="H513" i="2"/>
  <c r="G513" i="2"/>
  <c r="H121" i="2"/>
  <c r="G121" i="2"/>
  <c r="H642" i="2"/>
  <c r="G642" i="2"/>
  <c r="H710" i="2"/>
  <c r="G710" i="2"/>
  <c r="H650" i="2"/>
  <c r="G650" i="2"/>
  <c r="H577" i="2"/>
  <c r="G577" i="2"/>
  <c r="H727" i="2"/>
  <c r="G727" i="2"/>
  <c r="H165" i="2"/>
  <c r="G165" i="2"/>
  <c r="H347" i="2"/>
  <c r="G347" i="2"/>
  <c r="H154" i="2"/>
  <c r="G154" i="2"/>
  <c r="H176" i="2"/>
  <c r="G176" i="2"/>
  <c r="H150" i="2"/>
  <c r="G150" i="2"/>
  <c r="H159" i="2"/>
  <c r="G159" i="2"/>
  <c r="H190" i="2"/>
  <c r="G190" i="2"/>
  <c r="H282" i="2"/>
  <c r="G282" i="2"/>
  <c r="H115" i="2"/>
  <c r="G115" i="2"/>
  <c r="H682" i="2"/>
  <c r="G682" i="2"/>
  <c r="H701" i="2"/>
  <c r="G701" i="2"/>
  <c r="H424" i="2"/>
  <c r="G424" i="2"/>
  <c r="H255" i="2"/>
  <c r="G255" i="2"/>
  <c r="H673" i="2"/>
  <c r="G673" i="2"/>
  <c r="H19" i="2"/>
  <c r="G19" i="2"/>
  <c r="H240" i="2"/>
  <c r="G240" i="2"/>
  <c r="H249" i="2"/>
  <c r="G249" i="2"/>
  <c r="H137" i="2"/>
  <c r="G137" i="2"/>
  <c r="H548" i="2"/>
  <c r="G548" i="2"/>
  <c r="H677" i="2"/>
  <c r="G677" i="2"/>
  <c r="H476" i="2"/>
  <c r="G476" i="2"/>
  <c r="H422" i="2"/>
  <c r="G422" i="2"/>
  <c r="H586" i="2"/>
  <c r="G586" i="2"/>
  <c r="H629" i="2"/>
  <c r="G629" i="2"/>
  <c r="H160" i="2"/>
  <c r="G160" i="2"/>
  <c r="H455" i="2"/>
  <c r="G455" i="2"/>
  <c r="H389" i="2"/>
  <c r="G389" i="2"/>
  <c r="H61" i="2"/>
  <c r="G61" i="2"/>
  <c r="H69" i="2"/>
  <c r="G69" i="2"/>
  <c r="H110" i="2"/>
  <c r="G110" i="2"/>
  <c r="H378" i="2"/>
  <c r="G378" i="2"/>
  <c r="H510" i="2"/>
  <c r="G510" i="2"/>
  <c r="H63" i="2"/>
  <c r="G63" i="2"/>
  <c r="H202" i="2"/>
  <c r="G202" i="2"/>
  <c r="H309" i="2"/>
  <c r="G309" i="2"/>
  <c r="H85" i="2"/>
  <c r="G85" i="2"/>
  <c r="H336" i="2"/>
  <c r="G336" i="2"/>
  <c r="H398" i="2"/>
  <c r="G398" i="2"/>
  <c r="H531" i="2"/>
  <c r="G531" i="2"/>
  <c r="H346" i="2"/>
  <c r="G346" i="2"/>
  <c r="H367" i="2"/>
  <c r="G367" i="2"/>
  <c r="H107" i="2"/>
  <c r="G107" i="2"/>
  <c r="H152" i="2"/>
  <c r="G152" i="2"/>
  <c r="H385" i="2"/>
  <c r="G385" i="2"/>
  <c r="H191" i="2"/>
  <c r="G191" i="2"/>
  <c r="H259" i="2"/>
  <c r="G259" i="2"/>
  <c r="H250" i="2"/>
  <c r="G250" i="2"/>
  <c r="H10" i="2"/>
  <c r="G10" i="2"/>
  <c r="H685" i="2"/>
  <c r="G685" i="2"/>
  <c r="H713" i="2"/>
  <c r="G713" i="2"/>
  <c r="H562" i="2"/>
  <c r="G562" i="2"/>
  <c r="H206" i="2"/>
  <c r="G206" i="2"/>
  <c r="H278" i="2"/>
  <c r="G278" i="2"/>
  <c r="H641" i="2"/>
  <c r="G641" i="2"/>
  <c r="H130" i="2"/>
  <c r="G130" i="2"/>
  <c r="H295" i="2"/>
  <c r="G295" i="2"/>
  <c r="H537" i="2"/>
  <c r="G537" i="2"/>
  <c r="H703" i="2"/>
  <c r="G703" i="2"/>
  <c r="H188" i="2"/>
  <c r="G188" i="2"/>
  <c r="H131" i="2"/>
  <c r="G131" i="2"/>
  <c r="H731" i="2"/>
  <c r="G731" i="2"/>
  <c r="H638" i="2"/>
  <c r="G638" i="2"/>
  <c r="H200" i="2"/>
  <c r="G200" i="2"/>
  <c r="H612" i="2"/>
  <c r="G612" i="2"/>
  <c r="H468" i="2"/>
  <c r="G468" i="2"/>
  <c r="H681" i="2"/>
  <c r="G681" i="2"/>
  <c r="H590" i="2"/>
  <c r="G590" i="2"/>
  <c r="H124" i="2"/>
  <c r="G124" i="2"/>
  <c r="H313" i="2"/>
  <c r="G313" i="2"/>
  <c r="H556" i="2"/>
  <c r="G556" i="2"/>
  <c r="H442" i="2"/>
  <c r="G442" i="2"/>
  <c r="H662" i="2"/>
  <c r="G662" i="2"/>
  <c r="H212" i="2"/>
  <c r="G212" i="2"/>
  <c r="H356" i="2"/>
  <c r="G356" i="2"/>
  <c r="H723" i="2"/>
  <c r="G723" i="2"/>
  <c r="H204" i="2"/>
  <c r="G204" i="2"/>
  <c r="H639" i="2"/>
  <c r="G639" i="2"/>
  <c r="H534" i="2"/>
  <c r="G534" i="2"/>
  <c r="H466" i="2"/>
  <c r="G466" i="2"/>
  <c r="H266" i="2"/>
  <c r="G266" i="2"/>
  <c r="H236" i="2"/>
  <c r="G236" i="2"/>
  <c r="H720" i="2"/>
  <c r="G720" i="2"/>
  <c r="H138" i="2"/>
  <c r="G138" i="2"/>
  <c r="H412" i="2"/>
  <c r="G412" i="2"/>
  <c r="H405" i="2"/>
  <c r="G405" i="2"/>
  <c r="H322" i="2"/>
  <c r="G322" i="2"/>
  <c r="H515" i="2"/>
  <c r="G515" i="2"/>
  <c r="H330" i="2"/>
  <c r="G330" i="2"/>
  <c r="H243" i="2"/>
  <c r="G243" i="2"/>
  <c r="H76" i="2"/>
  <c r="G76" i="2"/>
  <c r="H579" i="2"/>
  <c r="G579" i="2"/>
  <c r="H293" i="2"/>
  <c r="G293" i="2"/>
  <c r="H228" i="2"/>
  <c r="G228" i="2"/>
  <c r="H101" i="2"/>
  <c r="G101" i="2"/>
  <c r="H605" i="2"/>
  <c r="G605" i="2"/>
  <c r="H445" i="2"/>
  <c r="G445" i="2"/>
  <c r="H225" i="2"/>
  <c r="G225" i="2"/>
  <c r="H304" i="2"/>
  <c r="G304" i="2"/>
  <c r="H502" i="2"/>
  <c r="G502" i="2"/>
  <c r="H666" i="2"/>
  <c r="G666" i="2"/>
  <c r="H555" i="2"/>
  <c r="G555" i="2"/>
  <c r="H33" i="2"/>
  <c r="G33" i="2"/>
  <c r="H60" i="2"/>
  <c r="G60" i="2"/>
  <c r="H679" i="2"/>
  <c r="G679" i="2"/>
  <c r="H41" i="2"/>
  <c r="G41" i="2"/>
  <c r="H663" i="2"/>
  <c r="G663" i="2"/>
  <c r="H67" i="2"/>
  <c r="G67" i="2"/>
  <c r="H478" i="2"/>
  <c r="G478" i="2"/>
  <c r="H242" i="2"/>
  <c r="G242" i="2"/>
  <c r="H481" i="2"/>
  <c r="G481" i="2"/>
  <c r="H334" i="2"/>
  <c r="G334" i="2"/>
  <c r="H372" i="2"/>
  <c r="G372" i="2"/>
  <c r="H456" i="2"/>
  <c r="G456" i="2"/>
  <c r="H689" i="2"/>
  <c r="G689" i="2"/>
  <c r="H401" i="2"/>
  <c r="G401" i="2"/>
  <c r="H409" i="2"/>
  <c r="G409" i="2"/>
  <c r="H327" i="2"/>
  <c r="G327" i="2"/>
  <c r="H183" i="2"/>
  <c r="G183" i="2"/>
  <c r="H635" i="2"/>
  <c r="G635" i="2"/>
  <c r="H343" i="2"/>
  <c r="G343" i="2"/>
  <c r="H301" i="2"/>
  <c r="G301" i="2"/>
  <c r="H108" i="2"/>
  <c r="G108" i="2"/>
  <c r="H664" i="2"/>
  <c r="G664" i="2"/>
  <c r="H462" i="2"/>
  <c r="G462" i="2"/>
  <c r="H42" i="2"/>
  <c r="G42" i="2"/>
  <c r="H712" i="2"/>
  <c r="G712" i="2"/>
  <c r="H474" i="2"/>
  <c r="G474" i="2"/>
  <c r="H360" i="2"/>
  <c r="G360" i="2"/>
  <c r="H467" i="2"/>
  <c r="G467" i="2"/>
  <c r="H155" i="2"/>
  <c r="G155" i="2"/>
  <c r="H671" i="2"/>
  <c r="G671" i="2"/>
  <c r="H328" i="2"/>
  <c r="G328" i="2"/>
  <c r="H145" i="2"/>
  <c r="G145" i="2"/>
  <c r="H58" i="2"/>
  <c r="G58" i="2"/>
  <c r="H226" i="2"/>
  <c r="G226" i="2"/>
  <c r="H355" i="2"/>
  <c r="G355" i="2"/>
  <c r="H55" i="2"/>
  <c r="G55" i="2"/>
  <c r="H582" i="2"/>
  <c r="G582" i="2"/>
  <c r="H53" i="2"/>
  <c r="G53" i="2"/>
  <c r="H292" i="2"/>
  <c r="G292" i="2"/>
  <c r="H180" i="2"/>
  <c r="G180" i="2"/>
  <c r="H366" i="2"/>
  <c r="G366" i="2"/>
  <c r="H14" i="2"/>
  <c r="G14" i="2"/>
  <c r="H299" i="2"/>
  <c r="G299" i="2"/>
  <c r="H693" i="2"/>
  <c r="G693" i="2"/>
  <c r="H237" i="2"/>
  <c r="G237" i="2"/>
  <c r="H715" i="2"/>
  <c r="G715" i="2"/>
  <c r="H318" i="2"/>
  <c r="G318" i="2"/>
  <c r="H440" i="2"/>
  <c r="G440" i="2"/>
  <c r="H491" i="2"/>
  <c r="G491" i="2"/>
  <c r="H588" i="2"/>
  <c r="G588" i="2"/>
  <c r="H68" i="2"/>
  <c r="G68" i="2"/>
  <c r="H184" i="2"/>
  <c r="G184" i="2"/>
  <c r="H524" i="2"/>
  <c r="G524" i="2"/>
  <c r="H530" i="2"/>
  <c r="G530" i="2"/>
  <c r="H125" i="2"/>
  <c r="G125" i="2"/>
  <c r="H624" i="2"/>
  <c r="G624" i="2"/>
  <c r="H262" i="2"/>
  <c r="G262" i="2"/>
  <c r="H291" i="2"/>
  <c r="G291" i="2"/>
  <c r="H220" i="2"/>
  <c r="G220" i="2"/>
  <c r="H24" i="2"/>
  <c r="G24" i="2"/>
  <c r="H391" i="2"/>
  <c r="G391" i="2"/>
  <c r="H659" i="2"/>
  <c r="G659" i="2"/>
  <c r="H706" i="2"/>
  <c r="G706" i="2"/>
  <c r="H151" i="2"/>
  <c r="G151" i="2"/>
  <c r="H382" i="2"/>
  <c r="G382" i="2"/>
  <c r="H447" i="2"/>
  <c r="G447" i="2"/>
  <c r="H535" i="2"/>
  <c r="G535" i="2"/>
  <c r="H211" i="2"/>
  <c r="G211" i="2"/>
  <c r="H162" i="2"/>
  <c r="G162" i="2"/>
  <c r="H35" i="2"/>
  <c r="G35" i="2"/>
  <c r="H622" i="2"/>
  <c r="G622" i="2"/>
  <c r="H688" i="2"/>
  <c r="G688" i="2"/>
  <c r="H169" i="2"/>
  <c r="G169" i="2"/>
  <c r="H735" i="2"/>
  <c r="G735" i="2"/>
  <c r="H554" i="2"/>
  <c r="G554" i="2"/>
  <c r="H312" i="2"/>
  <c r="G312" i="2"/>
  <c r="H326" i="2"/>
  <c r="G326" i="2"/>
  <c r="H147" i="2"/>
  <c r="G147" i="2"/>
  <c r="H508" i="2"/>
  <c r="G508" i="2"/>
  <c r="H238" i="2"/>
  <c r="G238" i="2"/>
  <c r="H464" i="2"/>
  <c r="G464" i="2"/>
  <c r="H463" i="2"/>
  <c r="G463" i="2"/>
  <c r="H43" i="2"/>
  <c r="G43" i="2"/>
  <c r="H373" i="2"/>
  <c r="G373" i="2"/>
  <c r="H207" i="2"/>
  <c r="G207" i="2"/>
  <c r="H194" i="2"/>
  <c r="G194" i="2"/>
  <c r="H415" i="2"/>
  <c r="G415" i="2"/>
  <c r="H505" i="2"/>
  <c r="G505" i="2"/>
  <c r="H94" i="2"/>
  <c r="G94" i="2"/>
  <c r="H50" i="2"/>
  <c r="G50" i="2"/>
  <c r="H436" i="2"/>
  <c r="G436" i="2"/>
  <c r="H339" i="2"/>
  <c r="G339" i="2"/>
  <c r="H728" i="2"/>
  <c r="G728" i="2"/>
  <c r="H546" i="2"/>
  <c r="G546" i="2"/>
  <c r="H263" i="2"/>
  <c r="G263" i="2"/>
  <c r="H573" i="2"/>
  <c r="G573" i="2"/>
  <c r="H437" i="2"/>
  <c r="G437" i="2"/>
  <c r="H569" i="2"/>
  <c r="G569" i="2"/>
  <c r="H338" i="2"/>
  <c r="G338" i="2"/>
  <c r="H392" i="2"/>
  <c r="G392" i="2"/>
  <c r="H8" i="2"/>
  <c r="G8" i="2"/>
  <c r="H62" i="2"/>
  <c r="G62" i="2"/>
  <c r="H289" i="2"/>
  <c r="G289" i="2"/>
  <c r="H244" i="2"/>
  <c r="G244" i="2"/>
  <c r="H349" i="2"/>
  <c r="G349" i="2"/>
  <c r="H303" i="2"/>
  <c r="G303" i="2"/>
  <c r="H213" i="2"/>
  <c r="G213" i="2"/>
  <c r="H487" i="2"/>
  <c r="G487" i="2"/>
  <c r="H79" i="2"/>
  <c r="G79" i="2"/>
  <c r="H91" i="2"/>
  <c r="G91" i="2"/>
  <c r="H443" i="2"/>
  <c r="G443" i="2"/>
  <c r="H611" i="2"/>
  <c r="G611" i="2"/>
  <c r="H397" i="2"/>
  <c r="G397" i="2"/>
  <c r="H30" i="2"/>
  <c r="G30" i="2"/>
  <c r="H296" i="2"/>
  <c r="G296" i="2"/>
  <c r="H25" i="2"/>
  <c r="G25" i="2"/>
  <c r="H408" i="2"/>
  <c r="G408" i="2"/>
  <c r="H598" i="2"/>
  <c r="G598" i="2"/>
  <c r="H95" i="2"/>
  <c r="G95" i="2"/>
  <c r="H523" i="2"/>
  <c r="G523" i="2"/>
  <c r="H164" i="2"/>
  <c r="G164" i="2"/>
  <c r="H323" i="2"/>
  <c r="G323" i="2"/>
  <c r="H167" i="2"/>
  <c r="G167" i="2"/>
  <c r="H402" i="2"/>
  <c r="G402" i="2"/>
  <c r="H54" i="2"/>
  <c r="G54" i="2"/>
  <c r="H208" i="2"/>
  <c r="G208" i="2"/>
  <c r="H247" i="2"/>
  <c r="G247" i="2"/>
  <c r="H261" i="2"/>
  <c r="G261" i="2"/>
  <c r="H625" i="2"/>
  <c r="G625" i="2"/>
  <c r="H90" i="2"/>
  <c r="G90" i="2"/>
  <c r="H729" i="2"/>
  <c r="G729" i="2"/>
  <c r="H470" i="2"/>
  <c r="G470" i="2"/>
  <c r="H106" i="2"/>
  <c r="G106" i="2"/>
  <c r="H542" i="2"/>
  <c r="G542" i="2"/>
  <c r="H134" i="2"/>
  <c r="G134" i="2"/>
  <c r="H342" i="2"/>
  <c r="G342" i="2"/>
  <c r="H329" i="2"/>
  <c r="G329" i="2"/>
  <c r="H223" i="2"/>
  <c r="G223" i="2"/>
  <c r="H656" i="2"/>
  <c r="G656" i="2"/>
  <c r="H519" i="2"/>
  <c r="G519" i="2"/>
  <c r="H273" i="2"/>
  <c r="G273" i="2"/>
  <c r="H379" i="2"/>
  <c r="G379" i="2"/>
  <c r="H450" i="2"/>
  <c r="G450" i="2"/>
  <c r="H676" i="2"/>
  <c r="G676" i="2"/>
  <c r="H248" i="2"/>
  <c r="G248" i="2"/>
  <c r="H649" i="2"/>
  <c r="G649" i="2"/>
  <c r="G741" i="2"/>
  <c r="H658" i="2"/>
  <c r="G658" i="2"/>
  <c r="H435" i="2"/>
  <c r="G435" i="2"/>
  <c r="H374" i="2"/>
  <c r="G374" i="2"/>
  <c r="H46" i="2"/>
  <c r="G46" i="2"/>
  <c r="G738" i="2"/>
  <c r="H591" i="2"/>
  <c r="G591" i="2"/>
  <c r="H700" i="2"/>
  <c r="G700" i="2"/>
  <c r="H170" i="2"/>
  <c r="G170" i="2"/>
  <c r="H665" i="2"/>
  <c r="G665" i="2"/>
  <c r="H495" i="2"/>
  <c r="G495" i="2"/>
  <c r="H716" i="2"/>
  <c r="G716" i="2"/>
  <c r="H280" i="2"/>
  <c r="G280" i="2"/>
  <c r="H704" i="2"/>
  <c r="G704" i="2"/>
  <c r="H317" i="2"/>
  <c r="G317" i="2"/>
  <c r="H633" i="2"/>
  <c r="G633" i="2"/>
  <c r="H606" i="2"/>
  <c r="G606" i="2"/>
  <c r="H66" i="2"/>
  <c r="G66" i="2"/>
  <c r="H399" i="2"/>
  <c r="G399" i="2"/>
  <c r="G736" i="2"/>
  <c r="H607" i="2"/>
  <c r="G607" i="2"/>
  <c r="H547" i="2"/>
  <c r="G547" i="2"/>
  <c r="H453" i="2"/>
  <c r="G453" i="2"/>
  <c r="H357" i="2"/>
  <c r="G357" i="2"/>
  <c r="H587" i="2"/>
  <c r="G587" i="2"/>
  <c r="H335" i="2"/>
  <c r="G335" i="2"/>
  <c r="H403" i="2"/>
  <c r="G403" i="2"/>
  <c r="H705" i="2"/>
  <c r="G705" i="2"/>
  <c r="H351" i="2"/>
  <c r="G351" i="2"/>
  <c r="H475" i="2"/>
  <c r="G475" i="2"/>
  <c r="H439" i="2"/>
  <c r="G439" i="2"/>
  <c r="H615" i="2"/>
  <c r="G615" i="2"/>
  <c r="H78" i="2"/>
  <c r="G78" i="2"/>
  <c r="H201" i="2"/>
  <c r="G201" i="2"/>
  <c r="H471" i="2"/>
  <c r="G471" i="2"/>
  <c r="H451" i="2"/>
  <c r="G451" i="2"/>
  <c r="H224" i="2"/>
  <c r="G224" i="2"/>
  <c r="H674" i="2"/>
  <c r="G674" i="2"/>
  <c r="H525" i="2"/>
  <c r="G525" i="2"/>
  <c r="H306" i="2"/>
  <c r="G306" i="2"/>
  <c r="H377" i="2"/>
  <c r="G377" i="2"/>
  <c r="H129" i="2"/>
  <c r="G129" i="2"/>
  <c r="H448" i="2"/>
  <c r="G448" i="2"/>
  <c r="H297" i="2"/>
  <c r="G297" i="2"/>
  <c r="H352" i="2"/>
  <c r="G352" i="2"/>
  <c r="H444" i="2"/>
  <c r="G444" i="2"/>
  <c r="H737" i="2"/>
  <c r="G737" i="2"/>
  <c r="H694" i="2"/>
  <c r="G694" i="2"/>
  <c r="H179" i="2"/>
  <c r="G179" i="2"/>
  <c r="H604" i="2"/>
  <c r="G604" i="2"/>
  <c r="H506" i="2"/>
  <c r="G506" i="2"/>
  <c r="H209" i="2"/>
  <c r="G209" i="2"/>
  <c r="H647" i="2"/>
  <c r="G647" i="2"/>
  <c r="H680" i="2"/>
  <c r="G680" i="2"/>
  <c r="H84" i="2"/>
  <c r="G84" i="2"/>
  <c r="H449" i="2"/>
  <c r="G449" i="2"/>
  <c r="H257" i="2"/>
  <c r="G257" i="2"/>
  <c r="H730" i="2"/>
  <c r="G730" i="2"/>
  <c r="H116" i="2"/>
  <c r="G116" i="2"/>
  <c r="H279" i="2"/>
  <c r="G279" i="2"/>
  <c r="H197" i="2"/>
  <c r="G197" i="2"/>
  <c r="H493" i="2"/>
  <c r="G493" i="2"/>
  <c r="H469" i="2"/>
  <c r="G469" i="2"/>
  <c r="H690" i="2"/>
  <c r="G690" i="2"/>
  <c r="H561" i="2"/>
  <c r="G561" i="2"/>
  <c r="H363" i="2"/>
  <c r="G363" i="2"/>
  <c r="H418" i="2"/>
  <c r="G418" i="2"/>
  <c r="H22" i="2"/>
  <c r="G22" i="2"/>
  <c r="H653" i="2"/>
  <c r="G653" i="2"/>
  <c r="H269" i="2"/>
  <c r="G269" i="2"/>
  <c r="H708" i="2"/>
  <c r="G708" i="2"/>
  <c r="H596" i="2"/>
  <c r="G596" i="2"/>
  <c r="H696" i="2"/>
  <c r="G696" i="2"/>
  <c r="H684" i="2"/>
  <c r="G684" i="2"/>
  <c r="H15" i="2"/>
  <c r="G15" i="2"/>
  <c r="H441" i="2"/>
  <c r="G441" i="2"/>
  <c r="H173" i="2"/>
  <c r="G173" i="2"/>
  <c r="H178" i="2"/>
  <c r="G178" i="2"/>
  <c r="H241" i="2"/>
  <c r="G241" i="2"/>
  <c r="H112" i="2"/>
  <c r="G112" i="2"/>
  <c r="H432" i="2"/>
  <c r="G432" i="2"/>
  <c r="H551" i="2"/>
  <c r="G551" i="2"/>
  <c r="H276" i="2"/>
  <c r="G276" i="2"/>
  <c r="H20" i="2"/>
  <c r="G20" i="2"/>
  <c r="H316" i="2"/>
  <c r="G316" i="2"/>
  <c r="H384" i="2"/>
  <c r="G384" i="2"/>
  <c r="H503" i="2"/>
  <c r="G503" i="2"/>
  <c r="H161" i="2"/>
  <c r="G161" i="2"/>
  <c r="H83" i="2"/>
  <c r="G83" i="2"/>
  <c r="H627" i="2"/>
  <c r="G627" i="2"/>
  <c r="H739" i="2"/>
  <c r="G739" i="2"/>
  <c r="H518" i="2"/>
  <c r="G518" i="2"/>
  <c r="H290" i="2"/>
  <c r="G290" i="2"/>
  <c r="H560" i="2"/>
  <c r="G560" i="2"/>
  <c r="H381" i="2"/>
  <c r="G381" i="2"/>
  <c r="H37" i="2"/>
  <c r="G37" i="2"/>
  <c r="H549" i="2"/>
  <c r="G549" i="2"/>
  <c r="H256" i="2"/>
  <c r="G256" i="2"/>
  <c r="H215" i="2"/>
  <c r="G215" i="2"/>
  <c r="H142" i="2"/>
  <c r="G142" i="2"/>
  <c r="H617" i="2"/>
  <c r="G617" i="2"/>
  <c r="H185" i="2"/>
  <c r="G185" i="2"/>
  <c r="H87" i="2"/>
  <c r="G87" i="2"/>
  <c r="H575" i="2"/>
  <c r="G575" i="2"/>
  <c r="H102" i="2"/>
  <c r="G102" i="2"/>
  <c r="H319" i="2"/>
  <c r="G319" i="2"/>
  <c r="H452" i="2"/>
  <c r="G452" i="2"/>
  <c r="H258" i="2"/>
  <c r="G258" i="2"/>
  <c r="H614" i="2"/>
  <c r="G614" i="2"/>
  <c r="H268" i="2"/>
  <c r="G268" i="2"/>
  <c r="H601" i="2"/>
  <c r="G601" i="2"/>
  <c r="H272" i="2"/>
  <c r="G272" i="2"/>
  <c r="H217" i="2"/>
  <c r="G217" i="2"/>
  <c r="H369" i="2"/>
  <c r="G369" i="2"/>
  <c r="H177" i="2"/>
  <c r="G177" i="2"/>
  <c r="H421" i="2"/>
  <c r="G421" i="2"/>
  <c r="H388" i="2"/>
  <c r="G388" i="2"/>
  <c r="H434" i="2"/>
  <c r="G434" i="2"/>
  <c r="H26" i="2"/>
  <c r="G26" i="2"/>
  <c r="H38" i="2"/>
  <c r="G38" i="2"/>
  <c r="H721" i="2"/>
  <c r="G721" i="2"/>
  <c r="H205" i="2"/>
  <c r="G205" i="2"/>
  <c r="H423" i="2"/>
  <c r="G423" i="2"/>
  <c r="H580" i="2"/>
  <c r="G580" i="2"/>
  <c r="H172" i="2"/>
  <c r="G172" i="2"/>
  <c r="H558" i="2"/>
  <c r="G558" i="2"/>
  <c r="H109" i="2"/>
  <c r="G109" i="2"/>
  <c r="H414" i="2"/>
  <c r="G414" i="2"/>
  <c r="H70" i="2"/>
  <c r="G70" i="2"/>
  <c r="H3" i="2"/>
  <c r="G3" i="2"/>
  <c r="H308" i="2"/>
  <c r="G308" i="2"/>
  <c r="H669" i="2"/>
  <c r="G669" i="2"/>
  <c r="H331" i="2"/>
  <c r="G331" i="2"/>
  <c r="H698" i="2"/>
  <c r="G698" i="2"/>
  <c r="H734" i="2"/>
  <c r="G734" i="2"/>
  <c r="H504" i="2"/>
  <c r="G504" i="2"/>
  <c r="H652" i="2"/>
  <c r="G652" i="2"/>
  <c r="H245" i="2"/>
  <c r="G245" i="2"/>
  <c r="H458" i="2"/>
  <c r="G458" i="2"/>
  <c r="H711" i="2"/>
  <c r="G711" i="2"/>
  <c r="H305" i="2"/>
  <c r="G305" i="2"/>
  <c r="H672" i="2"/>
  <c r="G672" i="2"/>
  <c r="H697" i="2"/>
  <c r="G697" i="2"/>
  <c r="H465" i="2"/>
  <c r="G465" i="2"/>
  <c r="H114" i="2"/>
  <c r="G114" i="2"/>
  <c r="H117" i="2"/>
  <c r="G117" i="2"/>
  <c r="H302" i="2"/>
  <c r="G302" i="2"/>
  <c r="H621" i="2"/>
  <c r="G621" i="2"/>
  <c r="H128" i="2"/>
  <c r="G128" i="2"/>
  <c r="H578" i="2"/>
  <c r="G578" i="2"/>
  <c r="H285" i="2"/>
  <c r="G285" i="2"/>
  <c r="H340" i="2"/>
  <c r="G340" i="2"/>
  <c r="H120" i="2"/>
  <c r="G120" i="2"/>
  <c r="H410" i="2"/>
  <c r="G410" i="2"/>
  <c r="H364" i="2"/>
  <c r="G364" i="2"/>
  <c r="H507" i="2"/>
  <c r="G507" i="2"/>
  <c r="H479" i="2"/>
  <c r="G479" i="2"/>
  <c r="H231" i="2"/>
  <c r="G231" i="2"/>
  <c r="H552" i="2"/>
  <c r="G552" i="2"/>
  <c r="H251" i="2"/>
  <c r="G251" i="2"/>
  <c r="H406" i="2"/>
  <c r="G406" i="2"/>
  <c r="H564" i="2"/>
  <c r="G564" i="2"/>
  <c r="H324" i="2"/>
  <c r="G324" i="2"/>
  <c r="H543" i="2"/>
  <c r="G543" i="2"/>
  <c r="H516" i="2"/>
  <c r="G516" i="2"/>
  <c r="H365" i="2"/>
  <c r="G365" i="2"/>
  <c r="H393" i="2"/>
  <c r="G393" i="2"/>
  <c r="H187" i="2"/>
  <c r="G187" i="2"/>
  <c r="H678" i="2"/>
  <c r="G678" i="2"/>
  <c r="H11" i="2"/>
  <c r="G11" i="2"/>
  <c r="H158" i="2"/>
  <c r="G158" i="2"/>
  <c r="H196" i="2"/>
  <c r="G196" i="2"/>
  <c r="H287" i="2"/>
  <c r="G287" i="2"/>
  <c r="H271" i="2"/>
  <c r="G271" i="2"/>
  <c r="H111" i="2"/>
  <c r="G111" i="2"/>
  <c r="H345" i="2"/>
  <c r="G345" i="2"/>
  <c r="H733" i="2"/>
  <c r="G733" i="2"/>
  <c r="H171" i="2"/>
  <c r="G171" i="2"/>
  <c r="H692" i="2"/>
  <c r="G692" i="2"/>
  <c r="H609" i="2"/>
  <c r="G609" i="2"/>
  <c r="H216" i="2"/>
  <c r="G216" i="2"/>
  <c r="H32" i="2"/>
  <c r="G32" i="2"/>
  <c r="H726" i="2"/>
  <c r="G726" i="2"/>
  <c r="H461" i="2"/>
  <c r="G461" i="2"/>
  <c r="H400" i="2"/>
  <c r="G400" i="2"/>
  <c r="H119" i="2"/>
  <c r="G119" i="2"/>
  <c r="H553" i="2"/>
  <c r="G553" i="2"/>
  <c r="H655" i="2"/>
  <c r="G655" i="2"/>
  <c r="H416" i="2"/>
  <c r="G416" i="2"/>
  <c r="H239" i="2"/>
  <c r="G239" i="2"/>
  <c r="H630" i="2"/>
  <c r="G630" i="2"/>
  <c r="H23" i="2"/>
  <c r="G23" i="2"/>
  <c r="H82" i="2"/>
  <c r="G82" i="2"/>
  <c r="H294" i="2"/>
  <c r="G294" i="2"/>
  <c r="H153" i="2"/>
  <c r="G153" i="2"/>
  <c r="H27" i="2"/>
  <c r="G27" i="2"/>
  <c r="H460" i="2"/>
  <c r="G460" i="2"/>
  <c r="H103" i="2"/>
  <c r="G103" i="2"/>
  <c r="H567" i="2"/>
  <c r="G567" i="2"/>
  <c r="H489" i="2"/>
  <c r="G489" i="2"/>
  <c r="H494" i="2"/>
  <c r="G494" i="2"/>
  <c r="H198" i="2"/>
  <c r="G198" i="2"/>
  <c r="H514" i="2"/>
  <c r="G514" i="2"/>
  <c r="H719" i="2"/>
  <c r="G719" i="2"/>
  <c r="H545" i="2"/>
  <c r="G545" i="2"/>
  <c r="H528" i="2"/>
  <c r="G528" i="2"/>
  <c r="H210" i="2"/>
  <c r="G210" i="2"/>
  <c r="H48" i="2"/>
  <c r="G48" i="2"/>
  <c r="H589" i="2"/>
  <c r="G589" i="2"/>
  <c r="H337" i="2"/>
  <c r="G337" i="2"/>
  <c r="H16" i="2"/>
  <c r="G16" i="2"/>
  <c r="H45" i="2"/>
  <c r="G45" i="2"/>
  <c r="H73" i="2"/>
  <c r="G73" i="2"/>
  <c r="H565" i="2"/>
  <c r="G565" i="2"/>
  <c r="H717" i="2"/>
  <c r="G717" i="2"/>
  <c r="H51" i="2"/>
  <c r="G51" i="2"/>
  <c r="H75" i="2"/>
  <c r="G75" i="2"/>
  <c r="H648" i="2"/>
  <c r="G648" i="2"/>
  <c r="H380" i="2"/>
  <c r="G380" i="2"/>
  <c r="H230" i="2"/>
  <c r="G230" i="2"/>
  <c r="H687" i="2"/>
  <c r="G687" i="2"/>
  <c r="H446" i="2"/>
  <c r="G446" i="2"/>
  <c r="H189" i="2"/>
  <c r="G189" i="2"/>
  <c r="H358" i="2"/>
  <c r="G358" i="2"/>
  <c r="H353" i="2"/>
  <c r="G353" i="2"/>
  <c r="H136" i="2"/>
  <c r="G136" i="2"/>
  <c r="H411" i="2"/>
  <c r="G411" i="2"/>
  <c r="H86" i="2"/>
  <c r="G86" i="2"/>
  <c r="H88" i="2"/>
  <c r="G88" i="2"/>
  <c r="H544" i="2"/>
  <c r="G544" i="2"/>
  <c r="H2" i="2"/>
  <c r="G2" i="2"/>
  <c r="H143" i="2"/>
  <c r="G143" i="2"/>
  <c r="H498" i="2"/>
  <c r="G498" i="2"/>
  <c r="H65" i="2"/>
  <c r="G65" i="2"/>
  <c r="H80" i="2"/>
  <c r="G80" i="2"/>
  <c r="H4" i="2"/>
  <c r="G4" i="2"/>
  <c r="H718" i="2"/>
  <c r="G718" i="2"/>
  <c r="H740" i="2"/>
  <c r="G740" i="2"/>
  <c r="H361" i="2"/>
  <c r="G361" i="2"/>
  <c r="H522" i="2"/>
  <c r="G522" i="2"/>
  <c r="H383" i="2"/>
  <c r="G383" i="2"/>
  <c r="H457" i="2"/>
  <c r="G457" i="2"/>
  <c r="H195" i="2"/>
  <c r="G195" i="2"/>
  <c r="H166" i="2"/>
  <c r="G166" i="2"/>
  <c r="H34" i="2"/>
  <c r="G34" i="2"/>
  <c r="H44" i="2"/>
  <c r="G44" i="2"/>
  <c r="H592" i="2"/>
  <c r="G592" i="2"/>
  <c r="H620" i="2"/>
  <c r="G620" i="2"/>
  <c r="H404" i="2"/>
  <c r="G404" i="2"/>
  <c r="H233" i="2"/>
  <c r="G233" i="2"/>
  <c r="H344" i="2"/>
  <c r="G344" i="2"/>
  <c r="H472" i="2"/>
  <c r="G472" i="2"/>
  <c r="H105" i="2"/>
  <c r="G105" i="2"/>
  <c r="H253" i="2"/>
  <c r="G253" i="2"/>
  <c r="H192" i="2"/>
  <c r="G192" i="2"/>
  <c r="H229" i="2"/>
  <c r="G229" i="2"/>
  <c r="H98" i="2"/>
  <c r="G98" i="2"/>
  <c r="H634" i="2"/>
  <c r="G634" i="2"/>
  <c r="H325" i="2"/>
  <c r="G325" i="2"/>
  <c r="H47" i="2"/>
  <c r="G47" i="2"/>
  <c r="H214" i="2"/>
  <c r="G214" i="2"/>
  <c r="H499" i="2"/>
  <c r="G499" i="2"/>
  <c r="H702" i="2"/>
  <c r="G702" i="2"/>
  <c r="H133" i="2"/>
  <c r="G133" i="2"/>
  <c r="H89" i="2"/>
  <c r="G89" i="2"/>
  <c r="H511" i="2"/>
  <c r="G511" i="2"/>
  <c r="H56" i="2"/>
  <c r="G56" i="2"/>
  <c r="H742" i="2"/>
  <c r="G742" i="2"/>
  <c r="H281" i="2"/>
  <c r="G281" i="2"/>
  <c r="H417" i="2"/>
  <c r="G417" i="2"/>
  <c r="H725" i="2"/>
  <c r="G725" i="2"/>
  <c r="H714" i="2"/>
  <c r="G714" i="2"/>
  <c r="H118" i="2"/>
  <c r="G118" i="2"/>
  <c r="H321" i="2"/>
  <c r="G321" i="2"/>
  <c r="H122" i="2"/>
  <c r="G122" i="2"/>
  <c r="H310" i="2"/>
  <c r="G310" i="2"/>
  <c r="H96" i="2"/>
  <c r="G96" i="2"/>
  <c r="H431" i="2"/>
  <c r="G431" i="2"/>
  <c r="H135" i="2"/>
  <c r="G135" i="2"/>
  <c r="H139" i="2"/>
  <c r="G139" i="2"/>
  <c r="H320" i="2"/>
  <c r="G320" i="2"/>
  <c r="H199" i="2"/>
  <c r="G199" i="2"/>
  <c r="H92" i="2"/>
  <c r="G92" i="2"/>
  <c r="H570" i="2"/>
  <c r="G570" i="2"/>
  <c r="H540" i="2"/>
  <c r="G540" i="2"/>
  <c r="H21" i="2"/>
  <c r="G21" i="2"/>
  <c r="H480" i="2"/>
  <c r="G480" i="2"/>
  <c r="H597" i="2"/>
  <c r="G597" i="2"/>
  <c r="H631" i="2"/>
  <c r="G631" i="2"/>
  <c r="H104" i="2"/>
  <c r="G104" i="2"/>
  <c r="H581" i="2"/>
  <c r="G581" i="2"/>
  <c r="H485" i="2"/>
  <c r="G485" i="2"/>
  <c r="H429" i="2"/>
  <c r="G429" i="2"/>
  <c r="H520" i="2"/>
  <c r="G520" i="2"/>
  <c r="H348" i="2"/>
  <c r="G348" i="2"/>
  <c r="H74" i="2"/>
  <c r="G74" i="2"/>
  <c r="H533" i="2"/>
  <c r="G533" i="2"/>
  <c r="H144" i="2"/>
  <c r="G144" i="2"/>
  <c r="H126" i="2"/>
  <c r="G126" i="2"/>
  <c r="H5" i="2"/>
  <c r="G5" i="2"/>
  <c r="H395" i="2"/>
  <c r="G395" i="2"/>
  <c r="H438" i="2"/>
  <c r="G438" i="2"/>
  <c r="H623" i="2"/>
  <c r="G623" i="2"/>
  <c r="H315" i="2"/>
  <c r="G315" i="2"/>
  <c r="H387" i="2"/>
  <c r="G387" i="2"/>
  <c r="H371" i="2"/>
  <c r="G371" i="2"/>
  <c r="H484" i="2"/>
  <c r="G484" i="2"/>
  <c r="H610" i="2"/>
  <c r="G610" i="2"/>
  <c r="H141" i="2"/>
  <c r="G141" i="2"/>
  <c r="H413" i="2"/>
  <c r="G413" i="2"/>
  <c r="H426" i="2"/>
  <c r="G426" i="2"/>
  <c r="H29" i="2"/>
  <c r="G29" i="2"/>
  <c r="H254" i="2"/>
  <c r="G254" i="2"/>
  <c r="H585" i="2"/>
  <c r="G585" i="2"/>
  <c r="H594" i="2"/>
  <c r="G594" i="2"/>
  <c r="H640" i="2"/>
  <c r="G640" i="2"/>
  <c r="H354" i="2"/>
  <c r="G354" i="2"/>
  <c r="H277" i="2"/>
  <c r="G277" i="2"/>
  <c r="H550" i="2"/>
  <c r="G550" i="2"/>
  <c r="H492" i="2"/>
  <c r="G492" i="2"/>
  <c r="H420" i="2"/>
  <c r="G420" i="2"/>
  <c r="H724" i="2"/>
  <c r="G724" i="2"/>
  <c r="H376" i="2"/>
  <c r="G376" i="2"/>
  <c r="H307" i="2"/>
  <c r="G307" i="2"/>
  <c r="H521" i="2"/>
  <c r="G521" i="2"/>
  <c r="H252" i="2"/>
  <c r="G252" i="2"/>
  <c r="H127" i="2"/>
  <c r="G127" i="2"/>
  <c r="H732" i="2"/>
  <c r="G732" i="2"/>
  <c r="H13" i="2"/>
  <c r="G13" i="2"/>
  <c r="H221" i="2"/>
  <c r="G221" i="2"/>
  <c r="H93" i="2"/>
  <c r="G93" i="2"/>
  <c r="H486" i="2"/>
  <c r="G486" i="2"/>
  <c r="H675" i="2"/>
  <c r="G675" i="2"/>
  <c r="H370" i="2"/>
  <c r="G370" i="2"/>
  <c r="H644" i="2"/>
  <c r="G644" i="2"/>
  <c r="H7" i="2"/>
  <c r="G7" i="2"/>
  <c r="H593" i="2"/>
  <c r="G593" i="2"/>
  <c r="H39" i="2"/>
  <c r="G39" i="2"/>
  <c r="H28" i="2"/>
  <c r="G28" i="2"/>
  <c r="H12" i="2"/>
  <c r="G12" i="2"/>
  <c r="H427" i="2"/>
  <c r="G427" i="2"/>
  <c r="H163" i="2"/>
  <c r="G163" i="2"/>
  <c r="H359" i="2"/>
  <c r="G359" i="2"/>
  <c r="H232" i="2"/>
  <c r="G232" i="2"/>
  <c r="H186" i="2"/>
  <c r="G186" i="2"/>
  <c r="H600" i="2"/>
  <c r="G600" i="2"/>
  <c r="H350" i="2"/>
  <c r="G350" i="2"/>
  <c r="H368" i="2"/>
  <c r="G368" i="2"/>
</calcChain>
</file>

<file path=xl/sharedStrings.xml><?xml version="1.0" encoding="utf-8"?>
<sst xmlns="http://schemas.openxmlformats.org/spreadsheetml/2006/main" count="17797" uniqueCount="1752">
  <si>
    <t>Employee Name</t>
  </si>
  <si>
    <t>Building</t>
  </si>
  <si>
    <t>Department</t>
  </si>
  <si>
    <t>ID#</t>
  </si>
  <si>
    <t>Status</t>
  </si>
  <si>
    <t>Hire Date</t>
  </si>
  <si>
    <t>Month</t>
  </si>
  <si>
    <t>Years</t>
  </si>
  <si>
    <t>Benefits</t>
  </si>
  <si>
    <t>Salary</t>
  </si>
  <si>
    <t>Job Rating</t>
  </si>
  <si>
    <t>Transaction #</t>
  </si>
  <si>
    <t>Salesperson</t>
  </si>
  <si>
    <t>Region</t>
  </si>
  <si>
    <t>Customer</t>
  </si>
  <si>
    <t>Date</t>
  </si>
  <si>
    <t>Items</t>
  </si>
  <si>
    <t>$ Amount</t>
  </si>
  <si>
    <t>Knox, Lori</t>
  </si>
  <si>
    <t>Main</t>
  </si>
  <si>
    <t>Engineering/Maintenance</t>
  </si>
  <si>
    <t>Contract</t>
  </si>
  <si>
    <t>RE94399</t>
  </si>
  <si>
    <t>Reimers, Ed</t>
  </si>
  <si>
    <t>NW</t>
  </si>
  <si>
    <t>Home USA</t>
  </si>
  <si>
    <t>Jones, John</t>
  </si>
  <si>
    <t>North</t>
  </si>
  <si>
    <t>Environmental Health/Safety</t>
  </si>
  <si>
    <t>Full Time</t>
  </si>
  <si>
    <t>R</t>
  </si>
  <si>
    <t>TI98238</t>
  </si>
  <si>
    <t>Tilley, Ernest</t>
  </si>
  <si>
    <t>NE</t>
  </si>
  <si>
    <t>ElectroCity</t>
  </si>
  <si>
    <t>Saunders, Corey</t>
  </si>
  <si>
    <t>Watson</t>
  </si>
  <si>
    <t>ADC</t>
  </si>
  <si>
    <t>M</t>
  </si>
  <si>
    <t>TI14089</t>
  </si>
  <si>
    <t>SE</t>
  </si>
  <si>
    <t>Appliance Mart</t>
  </si>
  <si>
    <t>Edwards, Phillip</t>
  </si>
  <si>
    <t>West</t>
  </si>
  <si>
    <t>PA22690</t>
  </si>
  <si>
    <t>Pardo, Don</t>
  </si>
  <si>
    <t>Garrett, Chris</t>
  </si>
  <si>
    <t>DMR</t>
  </si>
  <si>
    <t>LE92479</t>
  </si>
  <si>
    <t>Levene, Shelley</t>
  </si>
  <si>
    <t>Kennedy, Kimberly</t>
  </si>
  <si>
    <t>Taft</t>
  </si>
  <si>
    <t>Executive Education</t>
  </si>
  <si>
    <t>PO63361</t>
  </si>
  <si>
    <t>Popiel, Ron</t>
  </si>
  <si>
    <t>Dawson, Jonathan</t>
  </si>
  <si>
    <t>Hourly</t>
  </si>
  <si>
    <t>LE54639</t>
  </si>
  <si>
    <t>McCormick, Hsi</t>
  </si>
  <si>
    <t>Logistics</t>
  </si>
  <si>
    <t>PO97033</t>
  </si>
  <si>
    <t>Anderson, Tom</t>
  </si>
  <si>
    <t>Admin Training</t>
  </si>
  <si>
    <t>LO64064</t>
  </si>
  <si>
    <t>Loman, Willy</t>
  </si>
  <si>
    <t>SW</t>
  </si>
  <si>
    <t>Ballard, Martin</t>
  </si>
  <si>
    <t>RE96518</t>
  </si>
  <si>
    <t>Bass, Justin</t>
  </si>
  <si>
    <t>PA74265</t>
  </si>
  <si>
    <t>Salazar, Ruben</t>
  </si>
  <si>
    <t>D</t>
  </si>
  <si>
    <t>TI87393</t>
  </si>
  <si>
    <t>Alexander, Charles</t>
  </si>
  <si>
    <t>SH74002</t>
  </si>
  <si>
    <t>Short, Dina</t>
  </si>
  <si>
    <t>Stephenson, Matt</t>
  </si>
  <si>
    <t>BA36069</t>
  </si>
  <si>
    <t>Babowsky, Bill</t>
  </si>
  <si>
    <t>Kramer, Faye</t>
  </si>
  <si>
    <t>Half-Time</t>
  </si>
  <si>
    <t>TI83456</t>
  </si>
  <si>
    <t>Vance, Cheryl</t>
  </si>
  <si>
    <t>South</t>
  </si>
  <si>
    <t>LO53215</t>
  </si>
  <si>
    <t>Nichols, Nathaniel</t>
  </si>
  <si>
    <t>Operations</t>
  </si>
  <si>
    <t>DM</t>
  </si>
  <si>
    <t>FU28363</t>
  </si>
  <si>
    <t>Furn, Betty</t>
  </si>
  <si>
    <t>Bush, Rena</t>
  </si>
  <si>
    <t>TI33248</t>
  </si>
  <si>
    <t>Frazier, Chris</t>
  </si>
  <si>
    <t>FU36484</t>
  </si>
  <si>
    <t>Andrews, Diane</t>
  </si>
  <si>
    <t>LO30709</t>
  </si>
  <si>
    <t>Wong, Dennis</t>
  </si>
  <si>
    <t>PO98221</t>
  </si>
  <si>
    <t>Clarke, Dennis</t>
  </si>
  <si>
    <t>LE98184</t>
  </si>
  <si>
    <t>Goodwin, April</t>
  </si>
  <si>
    <t>Professional Training Group</t>
  </si>
  <si>
    <t>PA91120</t>
  </si>
  <si>
    <t>Payne, Vicky</t>
  </si>
  <si>
    <t>Audit Services</t>
  </si>
  <si>
    <t>PA60541</t>
  </si>
  <si>
    <t>Hill, Robin</t>
  </si>
  <si>
    <t>SH76845</t>
  </si>
  <si>
    <t>Lara, Mark</t>
  </si>
  <si>
    <t>RE48275</t>
  </si>
  <si>
    <t>Williams, Scott</t>
  </si>
  <si>
    <t>FU57484</t>
  </si>
  <si>
    <t>Maynard, Susan</t>
  </si>
  <si>
    <t>ST53376</t>
  </si>
  <si>
    <t>Stout, Mary</t>
  </si>
  <si>
    <t>Norton, Bruce</t>
  </si>
  <si>
    <t>MO44433</t>
  </si>
  <si>
    <t>Moss, Dave</t>
  </si>
  <si>
    <t>Ramos, Jan</t>
  </si>
  <si>
    <t>LO86459</t>
  </si>
  <si>
    <t>Home Emporium</t>
  </si>
  <si>
    <t>Hanson, Dennis</t>
  </si>
  <si>
    <t>FU47897</t>
  </si>
  <si>
    <t>Keith, Thomas</t>
  </si>
  <si>
    <t>RO14062</t>
  </si>
  <si>
    <t>Roman, Barb</t>
  </si>
  <si>
    <t>Stafford, Rhonda</t>
  </si>
  <si>
    <t>Compliance</t>
  </si>
  <si>
    <t>ST67683</t>
  </si>
  <si>
    <t>Salinas, Jon</t>
  </si>
  <si>
    <t>PA94619</t>
  </si>
  <si>
    <t>Ross, Janice</t>
  </si>
  <si>
    <t>BA92800</t>
  </si>
  <si>
    <t>Graham, David</t>
  </si>
  <si>
    <t>PO20080</t>
  </si>
  <si>
    <t>Banks, Ryan</t>
  </si>
  <si>
    <t>Project &amp; Contract Services</t>
  </si>
  <si>
    <t>LE68347</t>
  </si>
  <si>
    <t>McConnell, Justin</t>
  </si>
  <si>
    <t>PA81011</t>
  </si>
  <si>
    <t>Mason, Suzanne</t>
  </si>
  <si>
    <t>PA95554</t>
  </si>
  <si>
    <t>Conner, Mark</t>
  </si>
  <si>
    <t>TI19474</t>
  </si>
  <si>
    <t>Serrano, Al</t>
  </si>
  <si>
    <t>Quality Assurance</t>
  </si>
  <si>
    <t>LO37637</t>
  </si>
  <si>
    <t>Newton, Leigh</t>
  </si>
  <si>
    <t>LO51884</t>
  </si>
  <si>
    <t>Lamb, John</t>
  </si>
  <si>
    <t>PO32944</t>
  </si>
  <si>
    <t>Lewis, Frederick</t>
  </si>
  <si>
    <t>Quality Control</t>
  </si>
  <si>
    <t>LO15795</t>
  </si>
  <si>
    <t>Holloway, Chris</t>
  </si>
  <si>
    <t>MO19154</t>
  </si>
  <si>
    <t>Simmons, Robert</t>
  </si>
  <si>
    <t>RE54099</t>
  </si>
  <si>
    <t>McKinney, Chris</t>
  </si>
  <si>
    <t>MO88305</t>
  </si>
  <si>
    <t>Love, Danny</t>
  </si>
  <si>
    <t>MO70848</t>
  </si>
  <si>
    <t>Adkins, Michael</t>
  </si>
  <si>
    <t>LE63132</t>
  </si>
  <si>
    <t>Clark, William</t>
  </si>
  <si>
    <t>SH45808</t>
  </si>
  <si>
    <t>Cook, Mark</t>
  </si>
  <si>
    <t>PA75548</t>
  </si>
  <si>
    <t>Pierce, Karen</t>
  </si>
  <si>
    <t>MO86447</t>
  </si>
  <si>
    <t>Branch, Brady</t>
  </si>
  <si>
    <t>MO73288</t>
  </si>
  <si>
    <t>Johnson, Mary Jo</t>
  </si>
  <si>
    <t>TI80590</t>
  </si>
  <si>
    <t>Paul, Michael</t>
  </si>
  <si>
    <t>RE65420</t>
  </si>
  <si>
    <t>McCullough, Scott</t>
  </si>
  <si>
    <t>PO96226</t>
  </si>
  <si>
    <t>Nguyen, Dennis</t>
  </si>
  <si>
    <t>FU47055</t>
  </si>
  <si>
    <t>Rojas, Charles</t>
  </si>
  <si>
    <t>PA23220</t>
  </si>
  <si>
    <t>Cannon, Jenny</t>
  </si>
  <si>
    <t>RO87712</t>
  </si>
  <si>
    <t>Smith, Koleen</t>
  </si>
  <si>
    <t>PO37514</t>
  </si>
  <si>
    <t>Sandoval, James</t>
  </si>
  <si>
    <t>BA40197</t>
  </si>
  <si>
    <t>Navarro, Marc</t>
  </si>
  <si>
    <t>LO98895</t>
  </si>
  <si>
    <t>Avila, Jody</t>
  </si>
  <si>
    <t>FU25183</t>
  </si>
  <si>
    <t>Powell, Juli</t>
  </si>
  <si>
    <t>PO39900</t>
  </si>
  <si>
    <t>Rivers, Douglas</t>
  </si>
  <si>
    <t>PO81903</t>
  </si>
  <si>
    <t>Burton, Cam</t>
  </si>
  <si>
    <t>PA56236</t>
  </si>
  <si>
    <t>Ferguson, John</t>
  </si>
  <si>
    <t>PA28289</t>
  </si>
  <si>
    <t>Hopkins, Lisa</t>
  </si>
  <si>
    <t>LO35359</t>
  </si>
  <si>
    <t>Combs, Rick</t>
  </si>
  <si>
    <t>BA24368</t>
  </si>
  <si>
    <t>Coleman, Roque</t>
  </si>
  <si>
    <t>Major Mfg Projects</t>
  </si>
  <si>
    <t>PO97093</t>
  </si>
  <si>
    <t>McDonald, Debra</t>
  </si>
  <si>
    <t>FU47375</t>
  </si>
  <si>
    <t>Cain, Lon</t>
  </si>
  <si>
    <t>LE26864</t>
  </si>
  <si>
    <t>Hodge, Craig</t>
  </si>
  <si>
    <t>PO82285</t>
  </si>
  <si>
    <t>Chavez, Thomas</t>
  </si>
  <si>
    <t>Manufacturing</t>
  </si>
  <si>
    <t>DR</t>
  </si>
  <si>
    <t>BA96293</t>
  </si>
  <si>
    <t>Horn, George</t>
  </si>
  <si>
    <t>BA69442</t>
  </si>
  <si>
    <t>Kitchen Center</t>
  </si>
  <si>
    <t>Chang, Gabriel</t>
  </si>
  <si>
    <t>LE37082</t>
  </si>
  <si>
    <t>Whitaker, Jessica</t>
  </si>
  <si>
    <t>MO35188</t>
  </si>
  <si>
    <t>Williamson, Sumed</t>
  </si>
  <si>
    <t>LO86456</t>
  </si>
  <si>
    <t>Matthews, Diane</t>
  </si>
  <si>
    <t>FU83530</t>
  </si>
  <si>
    <t>Harmon, Paul</t>
  </si>
  <si>
    <t>BA28505</t>
  </si>
  <si>
    <t>Zimmerman, Julian</t>
  </si>
  <si>
    <t>PA46129</t>
  </si>
  <si>
    <t>Blackwell, Brandon</t>
  </si>
  <si>
    <t>ST22312</t>
  </si>
  <si>
    <t>Park, Timothy</t>
  </si>
  <si>
    <t>ST97002</t>
  </si>
  <si>
    <t>Burke, Michael</t>
  </si>
  <si>
    <t>MO18372</t>
  </si>
  <si>
    <t>Cohen, Bruce</t>
  </si>
  <si>
    <t>RO27618</t>
  </si>
  <si>
    <t>Watson, Christian</t>
  </si>
  <si>
    <t>ST85875</t>
  </si>
  <si>
    <t>Oneal, William</t>
  </si>
  <si>
    <t>PO59150</t>
  </si>
  <si>
    <t>Ford, Matt</t>
  </si>
  <si>
    <t>TI53181</t>
  </si>
  <si>
    <t>Becker, Gretchen</t>
  </si>
  <si>
    <t>PA40883</t>
  </si>
  <si>
    <t>Howard, Lisa</t>
  </si>
  <si>
    <t>Peptide Chemistry</t>
  </si>
  <si>
    <t>LE41323</t>
  </si>
  <si>
    <t>Solis, Daniel</t>
  </si>
  <si>
    <t>LE54884</t>
  </si>
  <si>
    <t>Calhoun, Dac Vinh</t>
  </si>
  <si>
    <t>Process Development</t>
  </si>
  <si>
    <t>BA55931</t>
  </si>
  <si>
    <t>Garcia, Karen</t>
  </si>
  <si>
    <t>LO93641</t>
  </si>
  <si>
    <t>Espinoza, Derrell</t>
  </si>
  <si>
    <t>RE85457</t>
  </si>
  <si>
    <t>Gordon, Diane</t>
  </si>
  <si>
    <t>BA52605</t>
  </si>
  <si>
    <t>Carey, Andrea</t>
  </si>
  <si>
    <t>RO83010</t>
  </si>
  <si>
    <t>Moss, Chan</t>
  </si>
  <si>
    <t>Engineering/Operations</t>
  </si>
  <si>
    <t>LO73664</t>
  </si>
  <si>
    <t>Jennings, Gary</t>
  </si>
  <si>
    <t>MO79537</t>
  </si>
  <si>
    <t>Garrison, Chris</t>
  </si>
  <si>
    <t>ST28770</t>
  </si>
  <si>
    <t>Malone, Daniel</t>
  </si>
  <si>
    <t>RE93172</t>
  </si>
  <si>
    <t>Shields, Robert</t>
  </si>
  <si>
    <t>PO24307</t>
  </si>
  <si>
    <t>Ryan, Ryan</t>
  </si>
  <si>
    <t>BA64080</t>
  </si>
  <si>
    <t>Beard, Sandi</t>
  </si>
  <si>
    <t>SH25844</t>
  </si>
  <si>
    <t>Barr, Jennifer</t>
  </si>
  <si>
    <t>BA15683</t>
  </si>
  <si>
    <t>Decker, Amy</t>
  </si>
  <si>
    <t>PO18919</t>
  </si>
  <si>
    <t>Evans, Rolin</t>
  </si>
  <si>
    <t>PA68686</t>
  </si>
  <si>
    <t>Montgomery, Chris</t>
  </si>
  <si>
    <t>TI29801</t>
  </si>
  <si>
    <t>Lee, Charles</t>
  </si>
  <si>
    <t>LE22793</t>
  </si>
  <si>
    <t>Pearson, Cassy</t>
  </si>
  <si>
    <t>PA38477</t>
  </si>
  <si>
    <t>Kerr, Mihaela</t>
  </si>
  <si>
    <t>ST37349</t>
  </si>
  <si>
    <t>York, Steven</t>
  </si>
  <si>
    <t>PO36647</t>
  </si>
  <si>
    <t>Wilcox, Robert</t>
  </si>
  <si>
    <t>LO11927</t>
  </si>
  <si>
    <t>Adams, David</t>
  </si>
  <si>
    <t>PO89435</t>
  </si>
  <si>
    <t>Brown, Donald</t>
  </si>
  <si>
    <t>ST75237</t>
  </si>
  <si>
    <t>Bowen, Kes</t>
  </si>
  <si>
    <t>ST39486</t>
  </si>
  <si>
    <t>Olson, Melanie</t>
  </si>
  <si>
    <t>LE15188</t>
  </si>
  <si>
    <t>Conway, Brett</t>
  </si>
  <si>
    <t>ST49608</t>
  </si>
  <si>
    <t>Abbott, James</t>
  </si>
  <si>
    <t>LE29592</t>
  </si>
  <si>
    <t>Price, Diana</t>
  </si>
  <si>
    <t>LO49785</t>
  </si>
  <si>
    <t>Burgess, Cherie</t>
  </si>
  <si>
    <t>ST37282</t>
  </si>
  <si>
    <t>Buckel, Patricia</t>
  </si>
  <si>
    <t>LO16908</t>
  </si>
  <si>
    <t>Martin, Terry</t>
  </si>
  <si>
    <t>BA67627</t>
  </si>
  <si>
    <t>Collier, Dean</t>
  </si>
  <si>
    <t>LE82778</t>
  </si>
  <si>
    <t>Juarez, Neill</t>
  </si>
  <si>
    <t>RO74915</t>
  </si>
  <si>
    <t>Kemp, Holly</t>
  </si>
  <si>
    <t>LE70383</t>
  </si>
  <si>
    <t>Ellison, Melyssa</t>
  </si>
  <si>
    <t>RO99508</t>
  </si>
  <si>
    <t>Merritt, Kevin</t>
  </si>
  <si>
    <t>RE54547</t>
  </si>
  <si>
    <t>Walker, Mike</t>
  </si>
  <si>
    <t>TI74629</t>
  </si>
  <si>
    <t>Gardner, Anthony</t>
  </si>
  <si>
    <t>LE80124</t>
  </si>
  <si>
    <t>Lawson, Erin</t>
  </si>
  <si>
    <t>BA83808</t>
  </si>
  <si>
    <t>Stokes, Jonathan</t>
  </si>
  <si>
    <t>PO66027</t>
  </si>
  <si>
    <t>Brewer, Kent</t>
  </si>
  <si>
    <t>International Clinical Safety</t>
  </si>
  <si>
    <t>BA37996</t>
  </si>
  <si>
    <t>Berry, Jacklyn</t>
  </si>
  <si>
    <t>LO55856</t>
  </si>
  <si>
    <t>Wiggins, Frank</t>
  </si>
  <si>
    <t>RE97223</t>
  </si>
  <si>
    <t>Richards, Richard</t>
  </si>
  <si>
    <t>PA17708</t>
  </si>
  <si>
    <t>Brady, Traci</t>
  </si>
  <si>
    <t>TI18492</t>
  </si>
  <si>
    <t>Beasley, Timothy</t>
  </si>
  <si>
    <t>LO74617</t>
  </si>
  <si>
    <t>Arnold, Cole</t>
  </si>
  <si>
    <t>RE32418</t>
  </si>
  <si>
    <t>Hutchinson, Robin</t>
  </si>
  <si>
    <t>LE33820</t>
  </si>
  <si>
    <t>Ruiz, Randall</t>
  </si>
  <si>
    <t>TI71899</t>
  </si>
  <si>
    <t>Bell, David</t>
  </si>
  <si>
    <t>TI25186</t>
  </si>
  <si>
    <t>Flowers, Kathleen</t>
  </si>
  <si>
    <t>TI66552</t>
  </si>
  <si>
    <t>Peters, Robert</t>
  </si>
  <si>
    <t>PO96528</t>
  </si>
  <si>
    <t>Prince, Robert</t>
  </si>
  <si>
    <t>LO23572</t>
  </si>
  <si>
    <t>Wiley, Gustavo</t>
  </si>
  <si>
    <t>SH87976</t>
  </si>
  <si>
    <t>Parrish, Debra</t>
  </si>
  <si>
    <t>TI98456</t>
  </si>
  <si>
    <t>Farrell, Laura</t>
  </si>
  <si>
    <t>PO98876</t>
  </si>
  <si>
    <t>Obrien, Madelyn</t>
  </si>
  <si>
    <t>PA59034</t>
  </si>
  <si>
    <t>Noble, Michael</t>
  </si>
  <si>
    <t>LO86665</t>
  </si>
  <si>
    <t>Riley, David</t>
  </si>
  <si>
    <t>TI95168</t>
  </si>
  <si>
    <t>Campos, Richard</t>
  </si>
  <si>
    <t>PA49089</t>
  </si>
  <si>
    <t>Moore, Robert</t>
  </si>
  <si>
    <t>LE89360</t>
  </si>
  <si>
    <t>Ball, Kirk</t>
  </si>
  <si>
    <t>LO28775</t>
  </si>
  <si>
    <t>Cummings, Jose</t>
  </si>
  <si>
    <t>ST53630</t>
  </si>
  <si>
    <t>Heath, Deborah</t>
  </si>
  <si>
    <t>PO14634</t>
  </si>
  <si>
    <t>Bruce, Kevin</t>
  </si>
  <si>
    <t>RO77581</t>
  </si>
  <si>
    <t>Ayers, Douglas</t>
  </si>
  <si>
    <t>PO26825</t>
  </si>
  <si>
    <t>Small, Athanasios</t>
  </si>
  <si>
    <t>RE35418</t>
  </si>
  <si>
    <t>Gibson, Janet</t>
  </si>
  <si>
    <t>MO13452</t>
  </si>
  <si>
    <t>Mathis, Shari</t>
  </si>
  <si>
    <t>SH28702</t>
  </si>
  <si>
    <t>Swanson, Vicki</t>
  </si>
  <si>
    <t>RE26419</t>
  </si>
  <si>
    <t>Randolph, Kristin</t>
  </si>
  <si>
    <t>RO45357</t>
  </si>
  <si>
    <t>Chapman, Jessica</t>
  </si>
  <si>
    <t>PO76195</t>
  </si>
  <si>
    <t>Lynch, Scott</t>
  </si>
  <si>
    <t>LE88579</t>
  </si>
  <si>
    <t>Morales, Linda</t>
  </si>
  <si>
    <t>PA32252</t>
  </si>
  <si>
    <t>Willis, Ralph</t>
  </si>
  <si>
    <t>Research Center</t>
  </si>
  <si>
    <t>PA33269</t>
  </si>
  <si>
    <t>Barnes, Grant</t>
  </si>
  <si>
    <t>RO59426</t>
  </si>
  <si>
    <t>Fowler, John</t>
  </si>
  <si>
    <t>LO12751</t>
  </si>
  <si>
    <t>Sellers, William</t>
  </si>
  <si>
    <t>LO83439</t>
  </si>
  <si>
    <t>Walter, Michael</t>
  </si>
  <si>
    <t>LO44193</t>
  </si>
  <si>
    <t>Dickerson, Lincoln</t>
  </si>
  <si>
    <t>LO64054</t>
  </si>
  <si>
    <t>Wood, Larry</t>
  </si>
  <si>
    <t>LE56104</t>
  </si>
  <si>
    <t>Jensen, Kristina</t>
  </si>
  <si>
    <t>PO39234</t>
  </si>
  <si>
    <t>Carson, Anthony</t>
  </si>
  <si>
    <t>LO77084</t>
  </si>
  <si>
    <t>Hall, Jenny</t>
  </si>
  <si>
    <t>BA37593</t>
  </si>
  <si>
    <t>Hart, Richard</t>
  </si>
  <si>
    <t>ST86876</t>
  </si>
  <si>
    <t>Everett, Dan</t>
  </si>
  <si>
    <t>RE66896</t>
  </si>
  <si>
    <t>Daniel, Robert</t>
  </si>
  <si>
    <t>BA14472</t>
  </si>
  <si>
    <t>Alvarez, Steven</t>
  </si>
  <si>
    <t>TI77581</t>
  </si>
  <si>
    <t>Vaughn, Harlon</t>
  </si>
  <si>
    <t>LO36223</t>
  </si>
  <si>
    <t>Elliott, Anthony</t>
  </si>
  <si>
    <t>LE60359</t>
  </si>
  <si>
    <t>Long, Gary</t>
  </si>
  <si>
    <t>TI71304</t>
  </si>
  <si>
    <t>Kirk, Chris</t>
  </si>
  <si>
    <t>PA69441</t>
  </si>
  <si>
    <t>Patel, Donald</t>
  </si>
  <si>
    <t>PO24094</t>
  </si>
  <si>
    <t>Preston, Chris</t>
  </si>
  <si>
    <t>PA31745</t>
  </si>
  <si>
    <t>Houston, Mark</t>
  </si>
  <si>
    <t>PO15871</t>
  </si>
  <si>
    <t>Richard, Karen</t>
  </si>
  <si>
    <t>MO80461</t>
  </si>
  <si>
    <t>Manning, John</t>
  </si>
  <si>
    <t>MO69682</t>
  </si>
  <si>
    <t>Goodman, Kuyler</t>
  </si>
  <si>
    <t>LE40685</t>
  </si>
  <si>
    <t>Randall, Yvonne</t>
  </si>
  <si>
    <t>TI24629</t>
  </si>
  <si>
    <t>Garner, Terry</t>
  </si>
  <si>
    <t>FU49766</t>
  </si>
  <si>
    <t>Nash, Mark</t>
  </si>
  <si>
    <t>PA57868</t>
  </si>
  <si>
    <t>Pacheco, Therese</t>
  </si>
  <si>
    <t>LO12627</t>
  </si>
  <si>
    <t>Kirby, Michael</t>
  </si>
  <si>
    <t>RO25579</t>
  </si>
  <si>
    <t>Marshall, Anita</t>
  </si>
  <si>
    <t>PO65672</t>
  </si>
  <si>
    <t>Charles, Jeffrey</t>
  </si>
  <si>
    <t>LE14523</t>
  </si>
  <si>
    <t>Jacobs, Florianne</t>
  </si>
  <si>
    <t>RO42146</t>
  </si>
  <si>
    <t>Harris, Brian</t>
  </si>
  <si>
    <t>LE46381</t>
  </si>
  <si>
    <t>Rodriguez, Scott</t>
  </si>
  <si>
    <t>LO60148</t>
  </si>
  <si>
    <t>Clay, William</t>
  </si>
  <si>
    <t>PO58625</t>
  </si>
  <si>
    <t>Short, Timothy</t>
  </si>
  <si>
    <t>BA47642</t>
  </si>
  <si>
    <t>Herring, Joanna</t>
  </si>
  <si>
    <t>Manufacturing Admin</t>
  </si>
  <si>
    <t>RE69190</t>
  </si>
  <si>
    <t>Chandler, Diane</t>
  </si>
  <si>
    <t>RE72564</t>
  </si>
  <si>
    <t>Castillo, Sheri</t>
  </si>
  <si>
    <t>RE78736</t>
  </si>
  <si>
    <t>Morris, Richelle</t>
  </si>
  <si>
    <t>LO21199</t>
  </si>
  <si>
    <t>Warner, Stephen</t>
  </si>
  <si>
    <t>TI87069</t>
  </si>
  <si>
    <t>Tyler, Javier</t>
  </si>
  <si>
    <t>FU51005</t>
  </si>
  <si>
    <t>Hicks, Monica</t>
  </si>
  <si>
    <t>TI80733</t>
  </si>
  <si>
    <t>Wells, Carlos</t>
  </si>
  <si>
    <t>RE34414</t>
  </si>
  <si>
    <t>Montoya, Lisa</t>
  </si>
  <si>
    <t>PA73624</t>
  </si>
  <si>
    <t>Glenn, Christopher</t>
  </si>
  <si>
    <t>RE58163</t>
  </si>
  <si>
    <t>Sullivan, Robert</t>
  </si>
  <si>
    <t>PO88461</t>
  </si>
  <si>
    <t>Owen, Robert</t>
  </si>
  <si>
    <t>LO43831</t>
  </si>
  <si>
    <t>Woodard, Charles</t>
  </si>
  <si>
    <t>PO92092</t>
  </si>
  <si>
    <t>Warren, Jean</t>
  </si>
  <si>
    <t>LO78626</t>
  </si>
  <si>
    <t>Hughes, Kevin</t>
  </si>
  <si>
    <t>FU67488</t>
  </si>
  <si>
    <t>Trujillo, Shawn</t>
  </si>
  <si>
    <t>MO22762</t>
  </si>
  <si>
    <t>Hines, Herb</t>
  </si>
  <si>
    <t>LE17674</t>
  </si>
  <si>
    <t>Acosta, Robert</t>
  </si>
  <si>
    <t>PO20635</t>
  </si>
  <si>
    <t>Bradford, Raymond</t>
  </si>
  <si>
    <t>PA35420</t>
  </si>
  <si>
    <t>Massey, Mark</t>
  </si>
  <si>
    <t>RO20574</t>
  </si>
  <si>
    <t>Carrillo, Robert</t>
  </si>
  <si>
    <t>ST40867</t>
  </si>
  <si>
    <t>Reid, Elizabeth</t>
  </si>
  <si>
    <t>RE31866</t>
  </si>
  <si>
    <t>Dixon, Richard</t>
  </si>
  <si>
    <t>TI70001</t>
  </si>
  <si>
    <t>Rogers, Colleen</t>
  </si>
  <si>
    <t>RE21507</t>
  </si>
  <si>
    <t>McCarthy, Ryan</t>
  </si>
  <si>
    <t>BA47306</t>
  </si>
  <si>
    <t>Fisher, Maria</t>
  </si>
  <si>
    <t>SH86899</t>
  </si>
  <si>
    <t>Wilkins, Jesse</t>
  </si>
  <si>
    <t>BA22874</t>
  </si>
  <si>
    <t>Barton, Barry</t>
  </si>
  <si>
    <t>FU65454</t>
  </si>
  <si>
    <t>Baldwin, Ray</t>
  </si>
  <si>
    <t>ST69110</t>
  </si>
  <si>
    <t>McGuire, Rebecca</t>
  </si>
  <si>
    <t>PO40780</t>
  </si>
  <si>
    <t>Lindsey, Deborah</t>
  </si>
  <si>
    <t>PA43919</t>
  </si>
  <si>
    <t>McBride, Grazyna</t>
  </si>
  <si>
    <t>RO99426</t>
  </si>
  <si>
    <t>Doyle, Leslie</t>
  </si>
  <si>
    <t>PA50688</t>
  </si>
  <si>
    <t>Koch, Danielle</t>
  </si>
  <si>
    <t>MO12381</t>
  </si>
  <si>
    <t>Fox, Ellen</t>
  </si>
  <si>
    <t>FU55916</t>
  </si>
  <si>
    <t>Hamilton, Theo</t>
  </si>
  <si>
    <t>LO11618</t>
  </si>
  <si>
    <t>Savage, John</t>
  </si>
  <si>
    <t>BA83203</t>
  </si>
  <si>
    <t>Gutierrez, Regina</t>
  </si>
  <si>
    <t>RO11511</t>
  </si>
  <si>
    <t>Sharp, Janine</t>
  </si>
  <si>
    <t>MO21706</t>
  </si>
  <si>
    <t>Green, Kim</t>
  </si>
  <si>
    <t>RO63166</t>
  </si>
  <si>
    <t>Mills, Melissa</t>
  </si>
  <si>
    <t>LO50175</t>
  </si>
  <si>
    <t>Hoover, Evangeline</t>
  </si>
  <si>
    <t>SH45701</t>
  </si>
  <si>
    <t>Campbell, Michael</t>
  </si>
  <si>
    <t>RE98435</t>
  </si>
  <si>
    <t>Robinson, John</t>
  </si>
  <si>
    <t>RO67389</t>
  </si>
  <si>
    <t>Bullock, Greg</t>
  </si>
  <si>
    <t>ST76633</t>
  </si>
  <si>
    <t>Eaton, Cris</t>
  </si>
  <si>
    <t>LE41785</t>
  </si>
  <si>
    <t>Shepherd, Annie</t>
  </si>
  <si>
    <t>FU19324</t>
  </si>
  <si>
    <t>Contreras, Dean</t>
  </si>
  <si>
    <t>PA60531</t>
  </si>
  <si>
    <t>Foster, Blane</t>
  </si>
  <si>
    <t>PA70502</t>
  </si>
  <si>
    <t>Graves, Michael</t>
  </si>
  <si>
    <t>LE60334</t>
  </si>
  <si>
    <t>Ramirez, Keith</t>
  </si>
  <si>
    <t>MO98279</t>
  </si>
  <si>
    <t>Bartlett, Julia</t>
  </si>
  <si>
    <t>LO99216</t>
  </si>
  <si>
    <t>Leach, Jingwen</t>
  </si>
  <si>
    <t>RE96471</t>
  </si>
  <si>
    <t>Reynolds, Barbara</t>
  </si>
  <si>
    <t>MO78109</t>
  </si>
  <si>
    <t>Hatfield, Carl</t>
  </si>
  <si>
    <t>SH75636</t>
  </si>
  <si>
    <t>Patterson, Robert</t>
  </si>
  <si>
    <t>FU93309</t>
  </si>
  <si>
    <t>Yates, Doug</t>
  </si>
  <si>
    <t>ST32713</t>
  </si>
  <si>
    <t>Singleton, David</t>
  </si>
  <si>
    <t>LE50736</t>
  </si>
  <si>
    <t>Bryan, Thomas</t>
  </si>
  <si>
    <t>MO70344</t>
  </si>
  <si>
    <t>Davidson, Jaime</t>
  </si>
  <si>
    <t>RE30044</t>
  </si>
  <si>
    <t>Osborne, Bill</t>
  </si>
  <si>
    <t>FU73475</t>
  </si>
  <si>
    <t>Leon, Emily</t>
  </si>
  <si>
    <t>LO12795</t>
  </si>
  <si>
    <t>Holmes, Tito</t>
  </si>
  <si>
    <t>SH95086</t>
  </si>
  <si>
    <t>Austin, William</t>
  </si>
  <si>
    <t>LO14840</t>
  </si>
  <si>
    <t>Hansen, Andrew</t>
  </si>
  <si>
    <t>RO17841</t>
  </si>
  <si>
    <t>Ramsey, Nathaniel</t>
  </si>
  <si>
    <t>SH81601</t>
  </si>
  <si>
    <t>McDowell, Scott</t>
  </si>
  <si>
    <t>TI98594</t>
  </si>
  <si>
    <t>Carter, Allan</t>
  </si>
  <si>
    <t>LE71767</t>
  </si>
  <si>
    <t>Giles, Kathleen</t>
  </si>
  <si>
    <t>RO91712</t>
  </si>
  <si>
    <t>Drake, Kyle</t>
  </si>
  <si>
    <t>LO12767</t>
  </si>
  <si>
    <t>Dodson, David</t>
  </si>
  <si>
    <t>PA69163</t>
  </si>
  <si>
    <t>Medina, Warren</t>
  </si>
  <si>
    <t>FU36550</t>
  </si>
  <si>
    <t>Armstrong, David</t>
  </si>
  <si>
    <t>RE51223</t>
  </si>
  <si>
    <t>Vincent, Guy</t>
  </si>
  <si>
    <t>PO87955</t>
  </si>
  <si>
    <t>Ware, David</t>
  </si>
  <si>
    <t>RO99745</t>
  </si>
  <si>
    <t>Sanders, Troy</t>
  </si>
  <si>
    <t>PA61226</t>
  </si>
  <si>
    <t>Weeks, Troy</t>
  </si>
  <si>
    <t>ST55599</t>
  </si>
  <si>
    <t>Guzman, Don</t>
  </si>
  <si>
    <t>MO79365</t>
  </si>
  <si>
    <t>Summers, Harold</t>
  </si>
  <si>
    <t>LO88984</t>
  </si>
  <si>
    <t>Ayala, Polly</t>
  </si>
  <si>
    <t>RO84318</t>
  </si>
  <si>
    <t>Maxwell, Jill</t>
  </si>
  <si>
    <t>TI46470</t>
  </si>
  <si>
    <t>King, Taslim</t>
  </si>
  <si>
    <t>Research/Development</t>
  </si>
  <si>
    <t>SH18352</t>
  </si>
  <si>
    <t>Rhodes, Brenda</t>
  </si>
  <si>
    <t>RO30089</t>
  </si>
  <si>
    <t>Walls, Brian</t>
  </si>
  <si>
    <t>LO54261</t>
  </si>
  <si>
    <t>Morton, Brian</t>
  </si>
  <si>
    <t>RO95555</t>
  </si>
  <si>
    <t>Nunez, Benning</t>
  </si>
  <si>
    <t>FU78307</t>
  </si>
  <si>
    <t>Farmer, Suzanne</t>
  </si>
  <si>
    <t>SH98497</t>
  </si>
  <si>
    <t>Harding, Erin</t>
  </si>
  <si>
    <t>LE93883</t>
  </si>
  <si>
    <t>Chambers, Richard</t>
  </si>
  <si>
    <t>PA30188</t>
  </si>
  <si>
    <t>Wolf, Debbie</t>
  </si>
  <si>
    <t>RE64840</t>
  </si>
  <si>
    <t>Gray, Mark</t>
  </si>
  <si>
    <t>BA27865</t>
  </si>
  <si>
    <t>Middleton, Jen</t>
  </si>
  <si>
    <t>TI37818</t>
  </si>
  <si>
    <t>Bryant, Douglas</t>
  </si>
  <si>
    <t>LO35720</t>
  </si>
  <si>
    <t>Vega, Alexandra</t>
  </si>
  <si>
    <t>PA56102</t>
  </si>
  <si>
    <t>Stewart, Elizabeth</t>
  </si>
  <si>
    <t>RO52193</t>
  </si>
  <si>
    <t>Flores, Angela</t>
  </si>
  <si>
    <t>LO99085</t>
  </si>
  <si>
    <t>Pace, Joseph</t>
  </si>
  <si>
    <t>TI29962</t>
  </si>
  <si>
    <t>Schneider, Gay</t>
  </si>
  <si>
    <t>PA96644</t>
  </si>
  <si>
    <t>Dudley, James</t>
  </si>
  <si>
    <t>SH40892</t>
  </si>
  <si>
    <t>Walton, Benjamin</t>
  </si>
  <si>
    <t>LO44061</t>
  </si>
  <si>
    <t>Wright, Brad</t>
  </si>
  <si>
    <t>MO80960</t>
  </si>
  <si>
    <t>Mendoza, Bobby</t>
  </si>
  <si>
    <t>FU65214</t>
  </si>
  <si>
    <t>Joseph, Christopher</t>
  </si>
  <si>
    <t>TI34738</t>
  </si>
  <si>
    <t>Hensley, William</t>
  </si>
  <si>
    <t>MO86724</t>
  </si>
  <si>
    <t>Meyers, David</t>
  </si>
  <si>
    <t>FU32268</t>
  </si>
  <si>
    <t>Clayton, Gregory</t>
  </si>
  <si>
    <t>TI34921</t>
  </si>
  <si>
    <t>Larsen, Lara</t>
  </si>
  <si>
    <t>ST56136</t>
  </si>
  <si>
    <t>Higgins, Angela</t>
  </si>
  <si>
    <t>LO88655</t>
  </si>
  <si>
    <t>Perez, Kim</t>
  </si>
  <si>
    <t>ST69684</t>
  </si>
  <si>
    <t>Valdez, Ann</t>
  </si>
  <si>
    <t>PO39506</t>
  </si>
  <si>
    <t>Frost, Adam</t>
  </si>
  <si>
    <t>FU24375</t>
  </si>
  <si>
    <t>Miller, Jessica</t>
  </si>
  <si>
    <t>MO57650</t>
  </si>
  <si>
    <t>Mosley, Michael</t>
  </si>
  <si>
    <t>PA15616</t>
  </si>
  <si>
    <t>Fields, Cathy</t>
  </si>
  <si>
    <t>FU31410</t>
  </si>
  <si>
    <t>Brock, Ensley</t>
  </si>
  <si>
    <t>PA83743</t>
  </si>
  <si>
    <t>Shaw, Pat</t>
  </si>
  <si>
    <t>PA34732</t>
  </si>
  <si>
    <t>McLaughlin, Edward</t>
  </si>
  <si>
    <t>SH24409</t>
  </si>
  <si>
    <t>Munoz, Michael</t>
  </si>
  <si>
    <t>PO76997</t>
  </si>
  <si>
    <t>Jordan, Mark</t>
  </si>
  <si>
    <t>BA72853</t>
  </si>
  <si>
    <t>Webb, Jim</t>
  </si>
  <si>
    <t>FU50470</t>
  </si>
  <si>
    <t>Maldonado, Robert</t>
  </si>
  <si>
    <t>RO98477</t>
  </si>
  <si>
    <t>Hunter, Lisa</t>
  </si>
  <si>
    <t>BA98814</t>
  </si>
  <si>
    <t>Rowe, Ken</t>
  </si>
  <si>
    <t>LO82056</t>
  </si>
  <si>
    <t>Kelly, Icelita</t>
  </si>
  <si>
    <t>MO22417</t>
  </si>
  <si>
    <t>Miranda, Elena</t>
  </si>
  <si>
    <t>ST38776</t>
  </si>
  <si>
    <t>Pugh, Lawrence</t>
  </si>
  <si>
    <t>PO95692</t>
  </si>
  <si>
    <t>Schwartz, Joseph</t>
  </si>
  <si>
    <t>RE13150</t>
  </si>
  <si>
    <t>Woodward, Tim</t>
  </si>
  <si>
    <t>BA62032</t>
  </si>
  <si>
    <t>Luna, Rodney</t>
  </si>
  <si>
    <t>LO11575</t>
  </si>
  <si>
    <t>Bowers, Tammy</t>
  </si>
  <si>
    <t>LE98363</t>
  </si>
  <si>
    <t>Schultz, Norman</t>
  </si>
  <si>
    <t>FU66158</t>
  </si>
  <si>
    <t>Snyder, Duane</t>
  </si>
  <si>
    <t>LO56157</t>
  </si>
  <si>
    <t>Holt, Robert</t>
  </si>
  <si>
    <t>LO49041</t>
  </si>
  <si>
    <t>Weaver, Eric</t>
  </si>
  <si>
    <t>PO67139</t>
  </si>
  <si>
    <t>Hardy, Svetlana</t>
  </si>
  <si>
    <t>LO91779</t>
  </si>
  <si>
    <t>Whitehead, Carolyn</t>
  </si>
  <si>
    <t>LO21413</t>
  </si>
  <si>
    <t>Oconnor, Kent</t>
  </si>
  <si>
    <t>PO36850</t>
  </si>
  <si>
    <t>Torres, Bruce</t>
  </si>
  <si>
    <t>MO65279</t>
  </si>
  <si>
    <t>Diaz, David</t>
  </si>
  <si>
    <t>TI96811</t>
  </si>
  <si>
    <t>Waters, Alfred</t>
  </si>
  <si>
    <t>ST16594</t>
  </si>
  <si>
    <t>Russell, Mark</t>
  </si>
  <si>
    <t>ST34456</t>
  </si>
  <si>
    <t>Wyatt, Kelly</t>
  </si>
  <si>
    <t>PO24702</t>
  </si>
  <si>
    <t>Beck, Craig</t>
  </si>
  <si>
    <t>PA40134</t>
  </si>
  <si>
    <t>Lane, Brandyn</t>
  </si>
  <si>
    <t>ST86401</t>
  </si>
  <si>
    <t>McIntosh, Jeremy</t>
  </si>
  <si>
    <t>PA28319</t>
  </si>
  <si>
    <t>Tate, Zachary</t>
  </si>
  <si>
    <t>SH86406</t>
  </si>
  <si>
    <t>Young, Benjamin</t>
  </si>
  <si>
    <t>PO31934</t>
  </si>
  <si>
    <t>Stone, Brian</t>
  </si>
  <si>
    <t>PA72118</t>
  </si>
  <si>
    <t>Gomez, Ed</t>
  </si>
  <si>
    <t>BA44975</t>
  </si>
  <si>
    <t>Vargas, Bryant</t>
  </si>
  <si>
    <t>LE61898</t>
  </si>
  <si>
    <t>Miles, Kenneth</t>
  </si>
  <si>
    <t>MO20813</t>
  </si>
  <si>
    <t>Lawrence, Ronald</t>
  </si>
  <si>
    <t>PA89917</t>
  </si>
  <si>
    <t>Hammond, Robert</t>
  </si>
  <si>
    <t>PA97896</t>
  </si>
  <si>
    <t>Patton, Corey</t>
  </si>
  <si>
    <t>LE81034</t>
  </si>
  <si>
    <t>Sweeney, Barbara</t>
  </si>
  <si>
    <t>LE11919</t>
  </si>
  <si>
    <t>French, Robert</t>
  </si>
  <si>
    <t>SH64943</t>
  </si>
  <si>
    <t>Huff, Erik</t>
  </si>
  <si>
    <t>RE88618</t>
  </si>
  <si>
    <t>Jefferson, Elaine</t>
  </si>
  <si>
    <t>RE17167</t>
  </si>
  <si>
    <t>Cole, Elbert</t>
  </si>
  <si>
    <t>PO59225</t>
  </si>
  <si>
    <t>Pratt, Erik</t>
  </si>
  <si>
    <t>ST43755</t>
  </si>
  <si>
    <t>Carlson, Jeremy</t>
  </si>
  <si>
    <t>FU19029</t>
  </si>
  <si>
    <t>Moses, Mark</t>
  </si>
  <si>
    <t>LE38697</t>
  </si>
  <si>
    <t>Wise, Ted</t>
  </si>
  <si>
    <t>LO45733</t>
  </si>
  <si>
    <t>Burnett, Kevin</t>
  </si>
  <si>
    <t>BA25231</t>
  </si>
  <si>
    <t>Simpson, Jimmy</t>
  </si>
  <si>
    <t>LE16640</t>
  </si>
  <si>
    <t>Gregory, Jon</t>
  </si>
  <si>
    <t>ST67922</t>
  </si>
  <si>
    <t>Golden, Christine</t>
  </si>
  <si>
    <t>PO59866</t>
  </si>
  <si>
    <t>Fletcher, Brian</t>
  </si>
  <si>
    <t>RE66734</t>
  </si>
  <si>
    <t>Black, Cliff</t>
  </si>
  <si>
    <t>BA69195</t>
  </si>
  <si>
    <t>Mack, Barry</t>
  </si>
  <si>
    <t>RE45645</t>
  </si>
  <si>
    <t>Deleon, Jaquelyn</t>
  </si>
  <si>
    <t>LO86229</t>
  </si>
  <si>
    <t>House, Paul</t>
  </si>
  <si>
    <t>PA48969</t>
  </si>
  <si>
    <t>Day, David</t>
  </si>
  <si>
    <t>ST67574</t>
  </si>
  <si>
    <t>Pena, Erik</t>
  </si>
  <si>
    <t>RO81042</t>
  </si>
  <si>
    <t>Byrd, Asa</t>
  </si>
  <si>
    <t>FU70062</t>
  </si>
  <si>
    <t>Santiago, Michael</t>
  </si>
  <si>
    <t>SH86051</t>
  </si>
  <si>
    <t>Marquez, Thomas</t>
  </si>
  <si>
    <t>RE85189</t>
  </si>
  <si>
    <t>Baker, Barney</t>
  </si>
  <si>
    <t>RO97284</t>
  </si>
  <si>
    <t>Henry, Craig</t>
  </si>
  <si>
    <t>LO48263</t>
  </si>
  <si>
    <t>Barber, Robbie</t>
  </si>
  <si>
    <t>LE60976</t>
  </si>
  <si>
    <t>Lowery, Charles</t>
  </si>
  <si>
    <t>PO55305</t>
  </si>
  <si>
    <t>Sexton, John</t>
  </si>
  <si>
    <t>SH41857</t>
  </si>
  <si>
    <t>Mendez, Max</t>
  </si>
  <si>
    <t>SH58570</t>
  </si>
  <si>
    <t>Burns, Fiona</t>
  </si>
  <si>
    <t>BA24864</t>
  </si>
  <si>
    <t>Brooks, Richard</t>
  </si>
  <si>
    <t>LE67435</t>
  </si>
  <si>
    <t>Nicholson, Lee</t>
  </si>
  <si>
    <t>PA42669</t>
  </si>
  <si>
    <t>Foley, Peter</t>
  </si>
  <si>
    <t>RO48498</t>
  </si>
  <si>
    <t>Hess, Brian</t>
  </si>
  <si>
    <t>FU43287</t>
  </si>
  <si>
    <t>Johnston, Daniel</t>
  </si>
  <si>
    <t>ST68740</t>
  </si>
  <si>
    <t>Glass, John</t>
  </si>
  <si>
    <t>FU85852</t>
  </si>
  <si>
    <t>Harvey, Michael</t>
  </si>
  <si>
    <t>PO86462</t>
  </si>
  <si>
    <t>Booker, Judith</t>
  </si>
  <si>
    <t>MO42847</t>
  </si>
  <si>
    <t>Allen, Thomas</t>
  </si>
  <si>
    <t>Pharmacokinetics</t>
  </si>
  <si>
    <t>BA34440</t>
  </si>
  <si>
    <t>Logan, Karen</t>
  </si>
  <si>
    <t>LO88707</t>
  </si>
  <si>
    <t>Ingram, Matt</t>
  </si>
  <si>
    <t>BA24897</t>
  </si>
  <si>
    <t>Rivera, Timothy</t>
  </si>
  <si>
    <t>TI79350</t>
  </si>
  <si>
    <t>McKenzie, Michelle</t>
  </si>
  <si>
    <t>LE12295</t>
  </si>
  <si>
    <t>Roberts, Jackie</t>
  </si>
  <si>
    <t>RO25770</t>
  </si>
  <si>
    <t>Griffith, Michelle</t>
  </si>
  <si>
    <t>PA69757</t>
  </si>
  <si>
    <t>Pruitt, Randy</t>
  </si>
  <si>
    <t>SH65265</t>
  </si>
  <si>
    <t>Winters, Shaun</t>
  </si>
  <si>
    <t>PA22440</t>
  </si>
  <si>
    <t>Jackson, Eric</t>
  </si>
  <si>
    <t>RO19351</t>
  </si>
  <si>
    <t>McKee, Michelle</t>
  </si>
  <si>
    <t>FU30562</t>
  </si>
  <si>
    <t>Benson, Troy</t>
  </si>
  <si>
    <t>PA42651</t>
  </si>
  <si>
    <t>Butler, Roy</t>
  </si>
  <si>
    <t>TI64924</t>
  </si>
  <si>
    <t>Owens, Dwight</t>
  </si>
  <si>
    <t>ST41409</t>
  </si>
  <si>
    <t>Mathews, Marcia</t>
  </si>
  <si>
    <t>PO12422</t>
  </si>
  <si>
    <t>Estrada, Joan</t>
  </si>
  <si>
    <t>TI43228</t>
  </si>
  <si>
    <t>Fleming, Irv</t>
  </si>
  <si>
    <t>RE37509</t>
  </si>
  <si>
    <t>Landry, Linda</t>
  </si>
  <si>
    <t>TI30130</t>
  </si>
  <si>
    <t>Bean, Deborah</t>
  </si>
  <si>
    <t>RE57950</t>
  </si>
  <si>
    <t>Moreno, Chris</t>
  </si>
  <si>
    <t>FU32436</t>
  </si>
  <si>
    <t>Morgan, Patricia</t>
  </si>
  <si>
    <t>LO96646</t>
  </si>
  <si>
    <t>Gibbs, Debra</t>
  </si>
  <si>
    <t>PO20262</t>
  </si>
  <si>
    <t>Padilla, Christopher</t>
  </si>
  <si>
    <t>ST59236</t>
  </si>
  <si>
    <t>Cortez, Jack</t>
  </si>
  <si>
    <t>ST84526</t>
  </si>
  <si>
    <t>Howell, Douglas</t>
  </si>
  <si>
    <t>TI46093</t>
  </si>
  <si>
    <t>Hoffman, Brian D</t>
  </si>
  <si>
    <t>BA32873</t>
  </si>
  <si>
    <t>Ray, ReAnnon</t>
  </si>
  <si>
    <t>RE17236</t>
  </si>
  <si>
    <t>Woods, Marcus</t>
  </si>
  <si>
    <t>LO95152</t>
  </si>
  <si>
    <t>Dennis, Paul</t>
  </si>
  <si>
    <t>PO67316</t>
  </si>
  <si>
    <t>Wall, John</t>
  </si>
  <si>
    <t>RO18762</t>
  </si>
  <si>
    <t>Silva, Stephen</t>
  </si>
  <si>
    <t>PA28813</t>
  </si>
  <si>
    <t>Barrett, John</t>
  </si>
  <si>
    <t>BA83306</t>
  </si>
  <si>
    <t>Davis, Tonya</t>
  </si>
  <si>
    <t>RE22906</t>
  </si>
  <si>
    <t>Floyd, Eric</t>
  </si>
  <si>
    <t>FU90160</t>
  </si>
  <si>
    <t>Pitts, Dana</t>
  </si>
  <si>
    <t>LO30673</t>
  </si>
  <si>
    <t>Meyer, Charles</t>
  </si>
  <si>
    <t>TI30569</t>
  </si>
  <si>
    <t>Leblanc, Jenny</t>
  </si>
  <si>
    <t>BA67963</t>
  </si>
  <si>
    <t>Cross, Marc</t>
  </si>
  <si>
    <t>FU60321</t>
  </si>
  <si>
    <t>Weber, Larry</t>
  </si>
  <si>
    <t>BA12449</t>
  </si>
  <si>
    <t>Taylor, Hector</t>
  </si>
  <si>
    <t>BA15965</t>
  </si>
  <si>
    <t>Lloyd, John</t>
  </si>
  <si>
    <t>BA88012</t>
  </si>
  <si>
    <t>Bailey, Victor</t>
  </si>
  <si>
    <t>FU28117</t>
  </si>
  <si>
    <t>Franklin, Alicia</t>
  </si>
  <si>
    <t>MO81548</t>
  </si>
  <si>
    <t>Hawkins, Douglas</t>
  </si>
  <si>
    <t>TI90000</t>
  </si>
  <si>
    <t>Griffin, Debbi</t>
  </si>
  <si>
    <t>MO45478</t>
  </si>
  <si>
    <t>Simon, Sheila</t>
  </si>
  <si>
    <t>LO26940</t>
  </si>
  <si>
    <t>Christian, Melissa</t>
  </si>
  <si>
    <t>RE55490</t>
  </si>
  <si>
    <t>Peterson, Shaun</t>
  </si>
  <si>
    <t>RO60282</t>
  </si>
  <si>
    <t>Pennington, Gary</t>
  </si>
  <si>
    <t>LO53413</t>
  </si>
  <si>
    <t>Dyer, Carrie</t>
  </si>
  <si>
    <t>FU78816</t>
  </si>
  <si>
    <t>Boyd, Debra</t>
  </si>
  <si>
    <t>LO92075</t>
  </si>
  <si>
    <t>Roy, Margarita</t>
  </si>
  <si>
    <t>PA86899</t>
  </si>
  <si>
    <t>Norris, Tamara</t>
  </si>
  <si>
    <t>SH53181</t>
  </si>
  <si>
    <t>McLean, Richard</t>
  </si>
  <si>
    <t>PA18677</t>
  </si>
  <si>
    <t>Hood, Renee</t>
  </si>
  <si>
    <t>PO96456</t>
  </si>
  <si>
    <t>White, Daniel</t>
  </si>
  <si>
    <t>PO84907</t>
  </si>
  <si>
    <t>George, Jessica</t>
  </si>
  <si>
    <t>LO61953</t>
  </si>
  <si>
    <t>Walters, Ann</t>
  </si>
  <si>
    <t>LE13418</t>
  </si>
  <si>
    <t>Herman, Henrietta</t>
  </si>
  <si>
    <t>PA31735</t>
  </si>
  <si>
    <t>Anthony, Robert</t>
  </si>
  <si>
    <t>FU64363</t>
  </si>
  <si>
    <t>Klein, Robert</t>
  </si>
  <si>
    <t>BA72530</t>
  </si>
  <si>
    <t>Duncan, George</t>
  </si>
  <si>
    <t>LE83265</t>
  </si>
  <si>
    <t>Hayes, Edward</t>
  </si>
  <si>
    <t>ST42159</t>
  </si>
  <si>
    <t>Bishop, Juan</t>
  </si>
  <si>
    <t>BA84636</t>
  </si>
  <si>
    <t>Roman, Teri</t>
  </si>
  <si>
    <t>MO57274</t>
  </si>
  <si>
    <t>Blackburn, Kathryn</t>
  </si>
  <si>
    <t>FU68942</t>
  </si>
  <si>
    <t>Keller, Jason</t>
  </si>
  <si>
    <t>PO37128</t>
  </si>
  <si>
    <t>Gaines, Sheela</t>
  </si>
  <si>
    <t>FU75279</t>
  </si>
  <si>
    <t>Blake, Thomas</t>
  </si>
  <si>
    <t>LO50866</t>
  </si>
  <si>
    <t>Cooper, Lisa</t>
  </si>
  <si>
    <t>RO94726</t>
  </si>
  <si>
    <t>Hudson, Lorna</t>
  </si>
  <si>
    <t>MO70782</t>
  </si>
  <si>
    <t>Turner, Ray</t>
  </si>
  <si>
    <t>MO73627</t>
  </si>
  <si>
    <t>Curry, Hunyen</t>
  </si>
  <si>
    <t>TI29627</t>
  </si>
  <si>
    <t>Morrow, Richard</t>
  </si>
  <si>
    <t>BA68615</t>
  </si>
  <si>
    <t>Kent, Angus</t>
  </si>
  <si>
    <t>MO33257</t>
  </si>
  <si>
    <t>Mullins, Angela</t>
  </si>
  <si>
    <t>BA40326</t>
  </si>
  <si>
    <t>West, Jeffrey</t>
  </si>
  <si>
    <t>LO90191</t>
  </si>
  <si>
    <t>Baxter, Teresa</t>
  </si>
  <si>
    <t>PA36585</t>
  </si>
  <si>
    <t>Moran, Carol</t>
  </si>
  <si>
    <t>PA85443</t>
  </si>
  <si>
    <t>Todd, Steven</t>
  </si>
  <si>
    <t>BA12893</t>
  </si>
  <si>
    <t>Carr, Susan</t>
  </si>
  <si>
    <t>ST22704</t>
  </si>
  <si>
    <t>Herrera, Shawn</t>
  </si>
  <si>
    <t>LO59781</t>
  </si>
  <si>
    <t>Jenkins, Scott</t>
  </si>
  <si>
    <t>LE54230</t>
  </si>
  <si>
    <t>Solomon, Michael</t>
  </si>
  <si>
    <t>PO94663</t>
  </si>
  <si>
    <t>Durham, Troy</t>
  </si>
  <si>
    <t>FU90675</t>
  </si>
  <si>
    <t>Hubbard, Sandra</t>
  </si>
  <si>
    <t>LE41583</t>
  </si>
  <si>
    <t>Marsh, Cynthia</t>
  </si>
  <si>
    <t>RE87604</t>
  </si>
  <si>
    <t>Lyons, Brian</t>
  </si>
  <si>
    <t>PO78950</t>
  </si>
  <si>
    <t>Wallace, Timothy</t>
  </si>
  <si>
    <t>PO46049</t>
  </si>
  <si>
    <t>Monroe, Justin</t>
  </si>
  <si>
    <t>PA36258</t>
  </si>
  <si>
    <t>Lambert, Jody</t>
  </si>
  <si>
    <t>PA81174</t>
  </si>
  <si>
    <t>Hunt, Norman</t>
  </si>
  <si>
    <t>FU54062</t>
  </si>
  <si>
    <t>Neal, Sally</t>
  </si>
  <si>
    <t>RE88193</t>
  </si>
  <si>
    <t>Gill, Douglas</t>
  </si>
  <si>
    <t>TI51625</t>
  </si>
  <si>
    <t>Myers, Marc</t>
  </si>
  <si>
    <t>ST30037</t>
  </si>
  <si>
    <t>Bowman, Michael</t>
  </si>
  <si>
    <t>LO59369</t>
  </si>
  <si>
    <t>Thornton, Charles</t>
  </si>
  <si>
    <t>PO89607</t>
  </si>
  <si>
    <t>Bauer, Chris</t>
  </si>
  <si>
    <t>MO56767</t>
  </si>
  <si>
    <t>Vazquez, Kenneth</t>
  </si>
  <si>
    <t>TI64030</t>
  </si>
  <si>
    <t>Blevins, Carey</t>
  </si>
  <si>
    <t>SH81342</t>
  </si>
  <si>
    <t>Barnett, Brenda</t>
  </si>
  <si>
    <t>RE47956</t>
  </si>
  <si>
    <t>Reed, Larry</t>
  </si>
  <si>
    <t>MO24101</t>
  </si>
  <si>
    <t>Townsend, Jerry</t>
  </si>
  <si>
    <t>LE47169</t>
  </si>
  <si>
    <t>Ortiz, Cynthia</t>
  </si>
  <si>
    <t>SH17335</t>
  </si>
  <si>
    <t>Hickman, John</t>
  </si>
  <si>
    <t>MO12205</t>
  </si>
  <si>
    <t>Fuller, Brenda</t>
  </si>
  <si>
    <t>PO16900</t>
  </si>
  <si>
    <t>Mercado, David</t>
  </si>
  <si>
    <t>PA44527</t>
  </si>
  <si>
    <t>Schroeder, Ben</t>
  </si>
  <si>
    <t>RO62626</t>
  </si>
  <si>
    <t>Cameron, John</t>
  </si>
  <si>
    <t>RE79013</t>
  </si>
  <si>
    <t>Gallegos, Rick</t>
  </si>
  <si>
    <t>RE91969</t>
  </si>
  <si>
    <t>Haynes, Ernest</t>
  </si>
  <si>
    <t>FU85143</t>
  </si>
  <si>
    <t>Rodriquez, Denise</t>
  </si>
  <si>
    <t>LO77776</t>
  </si>
  <si>
    <t>Bridges, Jeff</t>
  </si>
  <si>
    <t>LO67832</t>
  </si>
  <si>
    <t>Gilmore, Terry</t>
  </si>
  <si>
    <t>PO62015</t>
  </si>
  <si>
    <t>Huffman, Ignacio</t>
  </si>
  <si>
    <t>LO90058</t>
  </si>
  <si>
    <t>Parsons, Phillip</t>
  </si>
  <si>
    <t>PO58005</t>
  </si>
  <si>
    <t>Horton, Cleatis</t>
  </si>
  <si>
    <t>ST31170</t>
  </si>
  <si>
    <t>Mann, Lowell</t>
  </si>
  <si>
    <t>LO97193</t>
  </si>
  <si>
    <t>Martinez, Kathleen</t>
  </si>
  <si>
    <t>PA52856</t>
  </si>
  <si>
    <t>Colon, Donnie</t>
  </si>
  <si>
    <t>LE84798</t>
  </si>
  <si>
    <t>Wilkerson, Claudia</t>
  </si>
  <si>
    <t>ST90899</t>
  </si>
  <si>
    <t>Gentry, John</t>
  </si>
  <si>
    <t>BA67795</t>
  </si>
  <si>
    <t>Guerra, Karen</t>
  </si>
  <si>
    <t>SH77293</t>
  </si>
  <si>
    <t>Morrison, Julie</t>
  </si>
  <si>
    <t>RO31580</t>
  </si>
  <si>
    <t>Pittman, Bacardi</t>
  </si>
  <si>
    <t>PO37357</t>
  </si>
  <si>
    <t>Spencer, Boyd</t>
  </si>
  <si>
    <t>MO85780</t>
  </si>
  <si>
    <t>Fischer, David</t>
  </si>
  <si>
    <t>FU14241</t>
  </si>
  <si>
    <t>William, William</t>
  </si>
  <si>
    <t>SH73470</t>
  </si>
  <si>
    <t>Kelley, Nancy</t>
  </si>
  <si>
    <t>LE96864</t>
  </si>
  <si>
    <t>Flynn, Melissa</t>
  </si>
  <si>
    <t>PA65657</t>
  </si>
  <si>
    <t>Thompson, John</t>
  </si>
  <si>
    <t>MO22440</t>
  </si>
  <si>
    <t>Melton, Scott</t>
  </si>
  <si>
    <t>ST13556</t>
  </si>
  <si>
    <t>Reese, Marc</t>
  </si>
  <si>
    <t>LE92211</t>
  </si>
  <si>
    <t>Hogan, Daniel</t>
  </si>
  <si>
    <t>LE53522</t>
  </si>
  <si>
    <t>Christensen, Jill</t>
  </si>
  <si>
    <t>PO49399</t>
  </si>
  <si>
    <t>Rush, Lateef</t>
  </si>
  <si>
    <t>BA25718</t>
  </si>
  <si>
    <t>Velasquez, Clint</t>
  </si>
  <si>
    <t>RO27623</t>
  </si>
  <si>
    <t>Morse, Michael</t>
  </si>
  <si>
    <t>PA47140</t>
  </si>
  <si>
    <t>Shaffer, Nobuko</t>
  </si>
  <si>
    <t>PA92770</t>
  </si>
  <si>
    <t>Fernandez, Marie</t>
  </si>
  <si>
    <t>FU94385</t>
  </si>
  <si>
    <t>Spears, Melanie</t>
  </si>
  <si>
    <t>PA43342</t>
  </si>
  <si>
    <t>Wolfe, Keith</t>
  </si>
  <si>
    <t>FU78305</t>
  </si>
  <si>
    <t>Cobb, Nicole</t>
  </si>
  <si>
    <t>TI28344</t>
  </si>
  <si>
    <t>Ellis, Brenda</t>
  </si>
  <si>
    <t>PA56130</t>
  </si>
  <si>
    <t>Watts, Curtis</t>
  </si>
  <si>
    <t>RO46487</t>
  </si>
  <si>
    <t>Pope, Duane</t>
  </si>
  <si>
    <t>RO62189</t>
  </si>
  <si>
    <t>Henderson, Anthony</t>
  </si>
  <si>
    <t>PO24075</t>
  </si>
  <si>
    <t>Cline, Rebecca</t>
  </si>
  <si>
    <t>PA42328</t>
  </si>
  <si>
    <t>Stanley, Eric</t>
  </si>
  <si>
    <t>TI75529</t>
  </si>
  <si>
    <t>Hardin, Gregory</t>
  </si>
  <si>
    <t>SH80827</t>
  </si>
  <si>
    <t>Fitzgerald, George</t>
  </si>
  <si>
    <t>MO16637</t>
  </si>
  <si>
    <t>Rice, Diane</t>
  </si>
  <si>
    <t>FU57512</t>
  </si>
  <si>
    <t>Wheeler, Meegan</t>
  </si>
  <si>
    <t>RO31562</t>
  </si>
  <si>
    <t>Wade, Kevin</t>
  </si>
  <si>
    <t>SH40834</t>
  </si>
  <si>
    <t>Alvarado, Sonia</t>
  </si>
  <si>
    <t>LE29061</t>
  </si>
  <si>
    <t>Gonzalez, David</t>
  </si>
  <si>
    <t>BA52703</t>
  </si>
  <si>
    <t>Greene, Alexander</t>
  </si>
  <si>
    <t>PO82214</t>
  </si>
  <si>
    <t>Erickson, Ricky</t>
  </si>
  <si>
    <t>BA32511</t>
  </si>
  <si>
    <t>Leonard, Paul</t>
  </si>
  <si>
    <t>PA12977</t>
  </si>
  <si>
    <t>Cruz, Janene</t>
  </si>
  <si>
    <t>ST80174</t>
  </si>
  <si>
    <t>Carpenter, Ronald</t>
  </si>
  <si>
    <t>FU90128</t>
  </si>
  <si>
    <t>Knight, Denise</t>
  </si>
  <si>
    <t>PO92015</t>
  </si>
  <si>
    <t>Jimenez, Dominic</t>
  </si>
  <si>
    <t>LO29832</t>
  </si>
  <si>
    <t>Phelps, Gretchen</t>
  </si>
  <si>
    <t>BA92011</t>
  </si>
  <si>
    <t>Lucas, John</t>
  </si>
  <si>
    <t>PA72582</t>
  </si>
  <si>
    <t>Hurst, Thomas</t>
  </si>
  <si>
    <t>ST53878</t>
  </si>
  <si>
    <t>Buchanan, Dennis</t>
  </si>
  <si>
    <t>LE43101</t>
  </si>
  <si>
    <t>Hobbs, Scott</t>
  </si>
  <si>
    <t>MO28089</t>
  </si>
  <si>
    <t>Figueroa, Leonard</t>
  </si>
  <si>
    <t>RE43841</t>
  </si>
  <si>
    <t>Boone, Eric</t>
  </si>
  <si>
    <t>LE67861</t>
  </si>
  <si>
    <t>Palmer, Terry</t>
  </si>
  <si>
    <t>LO94903</t>
  </si>
  <si>
    <t>Larson, David</t>
  </si>
  <si>
    <t>SH36719</t>
  </si>
  <si>
    <t>Carroll, Lesa</t>
  </si>
  <si>
    <t>LO46197</t>
  </si>
  <si>
    <t>Boyer, John</t>
  </si>
  <si>
    <t>BA58331</t>
  </si>
  <si>
    <t>Bond, John</t>
  </si>
  <si>
    <t>TI44717</t>
  </si>
  <si>
    <t>Little, Steve</t>
  </si>
  <si>
    <t>LE21025</t>
  </si>
  <si>
    <t>Molina, Michael</t>
  </si>
  <si>
    <t>PO44764</t>
  </si>
  <si>
    <t>Davenport, Troy</t>
  </si>
  <si>
    <t>LO55014</t>
  </si>
  <si>
    <t>Sloan, Cindy</t>
  </si>
  <si>
    <t>FU31983</t>
  </si>
  <si>
    <t>Roth, Tony</t>
  </si>
  <si>
    <t>RO21626</t>
  </si>
  <si>
    <t>McCall, Keith</t>
  </si>
  <si>
    <t>RE28805</t>
  </si>
  <si>
    <t>Murphy, Jeff</t>
  </si>
  <si>
    <t>BA96702</t>
  </si>
  <si>
    <t>Vasquez, Michael</t>
  </si>
  <si>
    <t>RE76350</t>
  </si>
  <si>
    <t>Quinn, Cinnamon</t>
  </si>
  <si>
    <t>BA83242</t>
  </si>
  <si>
    <t>Collins, Michael</t>
  </si>
  <si>
    <t>BA38899</t>
  </si>
  <si>
    <t>Gonzales, David</t>
  </si>
  <si>
    <t>SH39432</t>
  </si>
  <si>
    <t>Gilbert, Shannon</t>
  </si>
  <si>
    <t>LO40854</t>
  </si>
  <si>
    <t>Atkinson, Danielle</t>
  </si>
  <si>
    <t>BA32846</t>
  </si>
  <si>
    <t>Underwood, Todd</t>
  </si>
  <si>
    <t>BA31327</t>
  </si>
  <si>
    <t>Grant, Leonard</t>
  </si>
  <si>
    <t>PA83525</t>
  </si>
  <si>
    <t>McClain, Steven</t>
  </si>
  <si>
    <t>TI97043</t>
  </si>
  <si>
    <t>Watkins, Gary</t>
  </si>
  <si>
    <t>LO55505</t>
  </si>
  <si>
    <t>Velez, Letitia</t>
  </si>
  <si>
    <t>LO71607</t>
  </si>
  <si>
    <t>Castro, Christopher</t>
  </si>
  <si>
    <t>FU51579</t>
  </si>
  <si>
    <t>Harper, Cynthia</t>
  </si>
  <si>
    <t>PO63246</t>
  </si>
  <si>
    <t>English, David</t>
  </si>
  <si>
    <t>PO13719</t>
  </si>
  <si>
    <t>Daniels, Janet</t>
  </si>
  <si>
    <t>BA64473</t>
  </si>
  <si>
    <t>Crawford, Ronald</t>
  </si>
  <si>
    <t>TI19395</t>
  </si>
  <si>
    <t>Douglas, Kenneth</t>
  </si>
  <si>
    <t>MO97523</t>
  </si>
  <si>
    <t>Cunningham, Denise</t>
  </si>
  <si>
    <t>BA79284</t>
  </si>
  <si>
    <t>Johns, Chad</t>
  </si>
  <si>
    <t>PA80032</t>
  </si>
  <si>
    <t>Dean, Gayla</t>
  </si>
  <si>
    <t>MO93072</t>
  </si>
  <si>
    <t>Wilson, Jessica</t>
  </si>
  <si>
    <t>PO54458</t>
  </si>
  <si>
    <t>Rodgers, Daniel</t>
  </si>
  <si>
    <t>FU66419</t>
  </si>
  <si>
    <t>Strickland, Rajean</t>
  </si>
  <si>
    <t>PA74623</t>
  </si>
  <si>
    <t>Welch, Michael</t>
  </si>
  <si>
    <t>LO83797</t>
  </si>
  <si>
    <t>Steele, Gerald</t>
  </si>
  <si>
    <t>PA65545</t>
  </si>
  <si>
    <t>Chase, Troy</t>
  </si>
  <si>
    <t>FU73232</t>
  </si>
  <si>
    <t>Parks, Christopher</t>
  </si>
  <si>
    <t>SH59759</t>
  </si>
  <si>
    <t>Olsen, Ewan</t>
  </si>
  <si>
    <t>ST20474</t>
  </si>
  <si>
    <t>Gallagher, Johnson</t>
  </si>
  <si>
    <t>RE39277</t>
  </si>
  <si>
    <t>Delgado, Dale</t>
  </si>
  <si>
    <t>RE85040</t>
  </si>
  <si>
    <t>Lang, Dana</t>
  </si>
  <si>
    <t>BA31010</t>
  </si>
  <si>
    <t>Wilkinson, Gregory</t>
  </si>
  <si>
    <t>BA22582</t>
  </si>
  <si>
    <t>Rich, Brent</t>
  </si>
  <si>
    <t>PO58313</t>
  </si>
  <si>
    <t>Browning, Kathleen</t>
  </si>
  <si>
    <t>ST78694</t>
  </si>
  <si>
    <t>Barron, Michael</t>
  </si>
  <si>
    <t>LE48214</t>
  </si>
  <si>
    <t>Thomas, Shannon</t>
  </si>
  <si>
    <t>LO39762</t>
  </si>
  <si>
    <t>Stevens, Andrew</t>
  </si>
  <si>
    <t>MO59880</t>
  </si>
  <si>
    <t>Robbins, Suzanne</t>
  </si>
  <si>
    <t>MO39379</t>
  </si>
  <si>
    <t>Cochran, Andrea</t>
  </si>
  <si>
    <t>RE42529</t>
  </si>
  <si>
    <t>Rios, Fredrick</t>
  </si>
  <si>
    <t>LO24264</t>
  </si>
  <si>
    <t>Conley, Mark</t>
  </si>
  <si>
    <t>FU51559</t>
  </si>
  <si>
    <t>Sheppard, Curtis</t>
  </si>
  <si>
    <t>SH41311</t>
  </si>
  <si>
    <t>Skinner, Jason</t>
  </si>
  <si>
    <t>SH98482</t>
  </si>
  <si>
    <t>Holland, Donald</t>
  </si>
  <si>
    <t>ST99630</t>
  </si>
  <si>
    <t>Finley, James</t>
  </si>
  <si>
    <t>LO21363</t>
  </si>
  <si>
    <t>Booth, Raquel</t>
  </si>
  <si>
    <t>LO50511</t>
  </si>
  <si>
    <t>Bennett, Chris</t>
  </si>
  <si>
    <t>RE84350</t>
  </si>
  <si>
    <t>Kim, Deborah</t>
  </si>
  <si>
    <t>PO53501</t>
  </si>
  <si>
    <t>Ortega, Jeffrey</t>
  </si>
  <si>
    <t>BA12763</t>
  </si>
  <si>
    <t>Robles, Charles</t>
  </si>
  <si>
    <t>LO75343</t>
  </si>
  <si>
    <t>Sherman, Karin</t>
  </si>
  <si>
    <t>RE60077</t>
  </si>
  <si>
    <t>Garza, Anthony</t>
  </si>
  <si>
    <t>PA11769</t>
  </si>
  <si>
    <t>Ward, Williams</t>
  </si>
  <si>
    <t>ST78784</t>
  </si>
  <si>
    <t>Curtis, Patrick</t>
  </si>
  <si>
    <t>PO60837</t>
  </si>
  <si>
    <t>Phillips, Liesl</t>
  </si>
  <si>
    <t>FU91383</t>
  </si>
  <si>
    <t>Hernandez, Glenn</t>
  </si>
  <si>
    <t>RE23960</t>
  </si>
  <si>
    <t>Hancock, Allen</t>
  </si>
  <si>
    <t>LO41809</t>
  </si>
  <si>
    <t>Roberson, Eileen</t>
  </si>
  <si>
    <t>SH45761</t>
  </si>
  <si>
    <t>Bates, Verna</t>
  </si>
  <si>
    <t>PO66517</t>
  </si>
  <si>
    <t>Henson, Debra</t>
  </si>
  <si>
    <t>TI96714</t>
  </si>
  <si>
    <t>Hartman, Michael</t>
  </si>
  <si>
    <t>RE27429</t>
  </si>
  <si>
    <t>Trevino, Gary</t>
  </si>
  <si>
    <t>PO53940</t>
  </si>
  <si>
    <t>Sawyer, Catherine</t>
  </si>
  <si>
    <t>PA56804</t>
  </si>
  <si>
    <t>Romero, Randy</t>
  </si>
  <si>
    <t>PO96553</t>
  </si>
  <si>
    <t>Bradshaw, Sheryl</t>
  </si>
  <si>
    <t>LO52353</t>
  </si>
  <si>
    <t>Dominguez, Duane</t>
  </si>
  <si>
    <t>MO47097</t>
  </si>
  <si>
    <t>Oliver, Francisco</t>
  </si>
  <si>
    <t>PA93828</t>
  </si>
  <si>
    <t>Scott, Todd</t>
  </si>
  <si>
    <t>MO42307</t>
  </si>
  <si>
    <t>Page, Lisa</t>
  </si>
  <si>
    <t>RO19741</t>
  </si>
  <si>
    <t>Copeland, Roger</t>
  </si>
  <si>
    <t>PA58937</t>
  </si>
  <si>
    <t>Shelton, Donna</t>
  </si>
  <si>
    <t>PA66964</t>
  </si>
  <si>
    <t>Harrell, Cristin</t>
  </si>
  <si>
    <t>ST51299</t>
  </si>
  <si>
    <t>Lowe, Michelle</t>
  </si>
  <si>
    <t>TI29474</t>
  </si>
  <si>
    <t>Guerrero, Laura</t>
  </si>
  <si>
    <t>PO38088</t>
  </si>
  <si>
    <t>Dalton, Carol</t>
  </si>
  <si>
    <t>TI33154</t>
  </si>
  <si>
    <t>Moody, Matthew</t>
  </si>
  <si>
    <t>TI58310</t>
  </si>
  <si>
    <t>Terry, Karin</t>
  </si>
  <si>
    <t>BA30783</t>
  </si>
  <si>
    <t>Petersen, Timothy</t>
  </si>
  <si>
    <t>TI74018</t>
  </si>
  <si>
    <t>Duran, Brian</t>
  </si>
  <si>
    <t>RE26700</t>
  </si>
  <si>
    <t>Craig, Alan</t>
  </si>
  <si>
    <t>LE45838</t>
  </si>
  <si>
    <t>James, Lynn</t>
  </si>
  <si>
    <t>MO66857</t>
  </si>
  <si>
    <t>Blankenship, Roger</t>
  </si>
  <si>
    <t>SH45801</t>
  </si>
  <si>
    <t>Perry, Christopher</t>
  </si>
  <si>
    <t>RE70646</t>
  </si>
  <si>
    <t>McClure, Gary</t>
  </si>
  <si>
    <t>PO16089</t>
  </si>
  <si>
    <t>Chen, Jaime</t>
  </si>
  <si>
    <t>PA37352</t>
  </si>
  <si>
    <t>Francis, Todd</t>
  </si>
  <si>
    <t>BA14473</t>
  </si>
  <si>
    <t>Norman, Rita</t>
  </si>
  <si>
    <t>PA25364</t>
  </si>
  <si>
    <t>Lester, Sherri</t>
  </si>
  <si>
    <t>RE32240</t>
  </si>
  <si>
    <t>Harrington, Aron</t>
  </si>
  <si>
    <t>RE60686</t>
  </si>
  <si>
    <t>Parker, Carl</t>
  </si>
  <si>
    <t>PO57575</t>
  </si>
  <si>
    <t>Strong, Lisa</t>
  </si>
  <si>
    <t>RO29731</t>
  </si>
  <si>
    <t>Weiss, Marisa</t>
  </si>
  <si>
    <t>MO41828</t>
  </si>
  <si>
    <t>Tran, Chad</t>
  </si>
  <si>
    <t>MO48173</t>
  </si>
  <si>
    <t>Walsh, Matthew</t>
  </si>
  <si>
    <t>PO84374</t>
  </si>
  <si>
    <t>Washington, Phillip</t>
  </si>
  <si>
    <t>PO59120</t>
  </si>
  <si>
    <t>Aguilar, Kevin</t>
  </si>
  <si>
    <t>FU28725</t>
  </si>
  <si>
    <t>McGee, Carol</t>
  </si>
  <si>
    <t>PO31113</t>
  </si>
  <si>
    <t>Casey, Ronald</t>
  </si>
  <si>
    <t>LE69137</t>
  </si>
  <si>
    <t>Newman, Aria</t>
  </si>
  <si>
    <t>FU31269</t>
  </si>
  <si>
    <t>Sims, Don</t>
  </si>
  <si>
    <t>PO93242</t>
  </si>
  <si>
    <t>Soto, Christopher</t>
  </si>
  <si>
    <t>RE42430</t>
  </si>
  <si>
    <t>Rose, Mark</t>
  </si>
  <si>
    <t>RO24011</t>
  </si>
  <si>
    <t>Poole, Tracy</t>
  </si>
  <si>
    <t>FU12536</t>
  </si>
  <si>
    <t>Estes, Mary</t>
  </si>
  <si>
    <t>RE94321</t>
  </si>
  <si>
    <t>Tanner, Timothy</t>
  </si>
  <si>
    <t>PO62002</t>
  </si>
  <si>
    <t>Callahan, Marilyn</t>
  </si>
  <si>
    <t>MO77983</t>
  </si>
  <si>
    <t>Atkins, Kevin</t>
  </si>
  <si>
    <t>RE98471</t>
  </si>
  <si>
    <t>Hampton, Catherine</t>
  </si>
  <si>
    <t>SH97776</t>
  </si>
  <si>
    <t>Briggs, Bryan</t>
  </si>
  <si>
    <t>BA72988</t>
  </si>
  <si>
    <t>Porter, Rachel</t>
  </si>
  <si>
    <t>BA20349</t>
  </si>
  <si>
    <t>Marks, LaReina</t>
  </si>
  <si>
    <t>ST75802</t>
  </si>
  <si>
    <t>Patrick, Wendy</t>
  </si>
  <si>
    <t>BA94233</t>
  </si>
  <si>
    <t>Nixon, Randy</t>
  </si>
  <si>
    <t>LE22498</t>
  </si>
  <si>
    <t>Best, Lara</t>
  </si>
  <si>
    <t>LO59709</t>
  </si>
  <si>
    <t>Bradley, David</t>
  </si>
  <si>
    <t>LO57980</t>
  </si>
  <si>
    <t>Frank, William</t>
  </si>
  <si>
    <t>RE28446</t>
  </si>
  <si>
    <t>Sanchez, Greg</t>
  </si>
  <si>
    <t>RE30168</t>
  </si>
  <si>
    <t>Richardson, Debbie</t>
  </si>
  <si>
    <t>PO80721</t>
  </si>
  <si>
    <t>Villarreal, Stephen</t>
  </si>
  <si>
    <t>PA27066</t>
  </si>
  <si>
    <t>Hale, Deon</t>
  </si>
  <si>
    <t>BA54092</t>
  </si>
  <si>
    <t>Stephens, Bonnie</t>
  </si>
  <si>
    <t>ST63071</t>
  </si>
  <si>
    <t>Shannon, Kevin</t>
  </si>
  <si>
    <t>FU37203</t>
  </si>
  <si>
    <t>Grimes, Jeffrey</t>
  </si>
  <si>
    <t>SH48044</t>
  </si>
  <si>
    <t>Dorsey, Matthew</t>
  </si>
  <si>
    <t>SH77811</t>
  </si>
  <si>
    <t>Livingston, Lynette</t>
  </si>
  <si>
    <t>ST55161</t>
  </si>
  <si>
    <t>May, Steve</t>
  </si>
  <si>
    <t>SH78685</t>
  </si>
  <si>
    <t>McDaniel, Tamara</t>
  </si>
  <si>
    <t>MO14691</t>
  </si>
  <si>
    <t>Glover, Eugene</t>
  </si>
  <si>
    <t>BA90881</t>
  </si>
  <si>
    <t>Stevenson, Michael</t>
  </si>
  <si>
    <t>PA93825</t>
  </si>
  <si>
    <t>Blair, Sperry</t>
  </si>
  <si>
    <t>PO37325</t>
  </si>
  <si>
    <t>Freeman, Dennis</t>
  </si>
  <si>
    <t>RE56728</t>
  </si>
  <si>
    <t>Cox, Stephanie</t>
  </si>
  <si>
    <t>TI53530</t>
  </si>
  <si>
    <t>Ashley, Michael</t>
  </si>
  <si>
    <t>TI71212</t>
  </si>
  <si>
    <t>Barker, Heidi</t>
  </si>
  <si>
    <t>TI69883</t>
  </si>
  <si>
    <t>Orr, Jennifer</t>
  </si>
  <si>
    <t>MO42091</t>
  </si>
  <si>
    <t>Gross, Davin</t>
  </si>
  <si>
    <t>TI53509</t>
  </si>
  <si>
    <t>Webster, David</t>
  </si>
  <si>
    <t>LO89853</t>
  </si>
  <si>
    <t>Schmidt, Michael</t>
  </si>
  <si>
    <t>LO82532</t>
  </si>
  <si>
    <t>Robertson, Nathan</t>
  </si>
  <si>
    <t>RO54445</t>
  </si>
  <si>
    <t>Sutton, Matthew</t>
  </si>
  <si>
    <t>RE91407</t>
  </si>
  <si>
    <t>Camacho, Stephanie</t>
  </si>
  <si>
    <t>ST76264</t>
  </si>
  <si>
    <t>Sparks, Terri</t>
  </si>
  <si>
    <t>LO87278</t>
  </si>
  <si>
    <t>Wagner, Lynne</t>
  </si>
  <si>
    <t>LO66829</t>
  </si>
  <si>
    <t>Snow, Desiree</t>
  </si>
  <si>
    <t>SH57460</t>
  </si>
  <si>
    <t>Humphrey, Andrew</t>
  </si>
  <si>
    <t>TI75998</t>
  </si>
  <si>
    <t>Greer, Brian</t>
  </si>
  <si>
    <t>SH39517</t>
  </si>
  <si>
    <t>Santos, Garret</t>
  </si>
  <si>
    <t>PO69515</t>
  </si>
  <si>
    <t>Reyes, Mary</t>
  </si>
  <si>
    <t>TI64427</t>
  </si>
  <si>
    <t>Caldwell, Pete</t>
  </si>
  <si>
    <t>LE90995</t>
  </si>
  <si>
    <t>Harrison, Jonathan</t>
  </si>
  <si>
    <t>TI48464</t>
  </si>
  <si>
    <t>Lopez, Stephen</t>
  </si>
  <si>
    <t>LO49268</t>
  </si>
  <si>
    <t>Gates, Anne</t>
  </si>
  <si>
    <t>LO32027</t>
  </si>
  <si>
    <t>Nelson, Shira</t>
  </si>
  <si>
    <t>RO73877</t>
  </si>
  <si>
    <t>Dunn, Matthew</t>
  </si>
  <si>
    <t>LO30570</t>
  </si>
  <si>
    <t>Mueller, Philip</t>
  </si>
  <si>
    <t>BA55130</t>
  </si>
  <si>
    <t>Hodges, Lisa</t>
  </si>
  <si>
    <t>RE65381</t>
  </si>
  <si>
    <t>Murray, Rebecca</t>
  </si>
  <si>
    <t>TI18510</t>
  </si>
  <si>
    <t>Powers, Tia</t>
  </si>
  <si>
    <t>PA78817</t>
  </si>
  <si>
    <t>McCoy, Preston</t>
  </si>
  <si>
    <t>SH72456</t>
  </si>
  <si>
    <t>Tucker, James</t>
  </si>
  <si>
    <t>LE29776</t>
  </si>
  <si>
    <t>Potter, Dawn</t>
  </si>
  <si>
    <t>FU99326</t>
  </si>
  <si>
    <t>Perkins, Donald</t>
  </si>
  <si>
    <t>RO13933</t>
  </si>
  <si>
    <t>Mitchell, Shannon</t>
  </si>
  <si>
    <t>LO52687</t>
  </si>
  <si>
    <t>Allison, Timothy</t>
  </si>
  <si>
    <t>LO28908</t>
  </si>
  <si>
    <t>Hull, Jeanne</t>
  </si>
  <si>
    <t>PA51703</t>
  </si>
  <si>
    <t>Reeves, Greg</t>
  </si>
  <si>
    <t>BA80873</t>
  </si>
  <si>
    <t>PO62549</t>
  </si>
  <si>
    <t>LO93386</t>
  </si>
  <si>
    <t>PO35176</t>
  </si>
  <si>
    <t>BA16926</t>
  </si>
  <si>
    <t>LO69945</t>
  </si>
  <si>
    <t>RO28049</t>
  </si>
  <si>
    <t>TI93714</t>
  </si>
  <si>
    <t>BA91374</t>
  </si>
  <si>
    <t>LO59632</t>
  </si>
  <si>
    <t>FU71983</t>
  </si>
  <si>
    <t>LO97620</t>
  </si>
  <si>
    <t>LO14974</t>
  </si>
  <si>
    <t>RE79970</t>
  </si>
  <si>
    <t>BA97684</t>
  </si>
  <si>
    <t>ST26366</t>
  </si>
  <si>
    <t>LO12838</t>
  </si>
  <si>
    <t>LO46786</t>
  </si>
  <si>
    <t>PA34892</t>
  </si>
  <si>
    <t>ST79212</t>
  </si>
  <si>
    <t>LO73286</t>
  </si>
  <si>
    <t>RE99701</t>
  </si>
  <si>
    <t>LE89838</t>
  </si>
  <si>
    <t>RE94139</t>
  </si>
  <si>
    <t>PA67920</t>
  </si>
  <si>
    <t>LO81238</t>
  </si>
  <si>
    <t>BA77035</t>
  </si>
  <si>
    <t>BA74311</t>
  </si>
  <si>
    <t>PO63603</t>
  </si>
  <si>
    <t>ST29710</t>
  </si>
  <si>
    <t>RO49168</t>
  </si>
  <si>
    <t>LE97933</t>
  </si>
  <si>
    <t>LE48356</t>
  </si>
  <si>
    <t>RE83349</t>
  </si>
  <si>
    <t>TI66811</t>
  </si>
  <si>
    <t>LO99090</t>
  </si>
  <si>
    <t>PO80007</t>
  </si>
  <si>
    <t>PO83371</t>
  </si>
  <si>
    <t>SH89076</t>
  </si>
  <si>
    <t>PA77814</t>
  </si>
  <si>
    <t>RO86481</t>
  </si>
  <si>
    <t>LO25925</t>
  </si>
  <si>
    <t>LO23597</t>
  </si>
  <si>
    <t>RE99009</t>
  </si>
  <si>
    <t>SH33112</t>
  </si>
  <si>
    <t>PA36889</t>
  </si>
  <si>
    <t>PO31083</t>
  </si>
  <si>
    <t>LO27888</t>
  </si>
  <si>
    <t>BA44974</t>
  </si>
  <si>
    <t>BA35641</t>
  </si>
  <si>
    <t>PA14522</t>
  </si>
  <si>
    <t>PA65136</t>
  </si>
  <si>
    <t>LO65822</t>
  </si>
  <si>
    <t>MO13812</t>
  </si>
  <si>
    <t>MO64229</t>
  </si>
  <si>
    <t>SH70045</t>
  </si>
  <si>
    <t>TI14264</t>
  </si>
  <si>
    <t>PO35843</t>
  </si>
  <si>
    <t>FU81318</t>
  </si>
  <si>
    <t>BA44107</t>
  </si>
  <si>
    <t>RE28132</t>
  </si>
  <si>
    <t>FU69966</t>
  </si>
  <si>
    <t>LO98562</t>
  </si>
  <si>
    <t>LE46778</t>
  </si>
  <si>
    <t>LE84986</t>
  </si>
  <si>
    <t>LO44337</t>
  </si>
  <si>
    <t>SH35176</t>
  </si>
  <si>
    <t>FU67970</t>
  </si>
  <si>
    <t>LO75433</t>
  </si>
  <si>
    <t>RE76932</t>
  </si>
  <si>
    <t>FU98580</t>
  </si>
  <si>
    <t>PA94354</t>
  </si>
  <si>
    <t>SH36050</t>
  </si>
  <si>
    <t>RE18998</t>
  </si>
  <si>
    <t>PO34314</t>
  </si>
  <si>
    <t>BA30189</t>
  </si>
  <si>
    <t>MO89334</t>
  </si>
  <si>
    <t>PA68088</t>
  </si>
  <si>
    <t>TI17210</t>
  </si>
  <si>
    <t>BA41958</t>
  </si>
  <si>
    <t>SH77516</t>
  </si>
  <si>
    <t>TI44586</t>
  </si>
  <si>
    <t>BA52902</t>
  </si>
  <si>
    <t>PO61863</t>
  </si>
  <si>
    <t>PO69182</t>
  </si>
  <si>
    <t>ST77198</t>
  </si>
  <si>
    <t>ST62842</t>
  </si>
  <si>
    <t>FU68281</t>
  </si>
  <si>
    <t>FU16898</t>
  </si>
  <si>
    <t>ST23210</t>
  </si>
  <si>
    <t>TI68834</t>
  </si>
  <si>
    <t>MO87800</t>
  </si>
  <si>
    <t>RE47980</t>
  </si>
  <si>
    <t>LO22008</t>
  </si>
  <si>
    <t>SH42856</t>
  </si>
  <si>
    <t>BA43831</t>
  </si>
  <si>
    <t>PA89579</t>
  </si>
  <si>
    <t>TI29196</t>
  </si>
  <si>
    <t>PO50911</t>
  </si>
  <si>
    <t>TI85758</t>
  </si>
  <si>
    <t>MO37246</t>
  </si>
  <si>
    <t>MO92390</t>
  </si>
  <si>
    <t>PA78572</t>
  </si>
  <si>
    <t>LE86866</t>
  </si>
  <si>
    <t>ST95737</t>
  </si>
  <si>
    <t>PA54081</t>
  </si>
  <si>
    <t>PA23927</t>
  </si>
  <si>
    <t>LO74304</t>
  </si>
  <si>
    <t>TI84918</t>
  </si>
  <si>
    <t>LE28240</t>
  </si>
  <si>
    <t>TI71865</t>
  </si>
  <si>
    <t>TI37793</t>
  </si>
  <si>
    <t>TI54572</t>
  </si>
  <si>
    <t>TI88327</t>
  </si>
  <si>
    <t>BA90281</t>
  </si>
  <si>
    <t>PA61099</t>
  </si>
  <si>
    <t>RE92513</t>
  </si>
  <si>
    <t>LE80826</t>
  </si>
  <si>
    <t>RE47925</t>
  </si>
  <si>
    <t>ST68964</t>
  </si>
  <si>
    <t>PO71992</t>
  </si>
  <si>
    <t>FU89675</t>
  </si>
  <si>
    <t>RE22657</t>
  </si>
  <si>
    <t>RO68458</t>
  </si>
  <si>
    <t>PO12420</t>
  </si>
  <si>
    <t>RO82894</t>
  </si>
  <si>
    <t>SH94448</t>
  </si>
  <si>
    <t>RO11778</t>
  </si>
  <si>
    <t>PO88735</t>
  </si>
  <si>
    <t>BA77226</t>
  </si>
  <si>
    <t>TI22998</t>
  </si>
  <si>
    <t>ST64454</t>
  </si>
  <si>
    <t>LO49887</t>
  </si>
  <si>
    <t>RO44325</t>
  </si>
  <si>
    <t>BA41347</t>
  </si>
  <si>
    <t>LE57881</t>
  </si>
  <si>
    <t>LE67920</t>
  </si>
  <si>
    <t>TI33068</t>
  </si>
  <si>
    <t>LE11959</t>
  </si>
  <si>
    <t>RE36877</t>
  </si>
  <si>
    <t>RE99374</t>
  </si>
  <si>
    <t>LO90215</t>
  </si>
  <si>
    <t>LE47097</t>
  </si>
  <si>
    <t>RE23351</t>
  </si>
  <si>
    <t>PO96445</t>
  </si>
  <si>
    <t>PA41842</t>
  </si>
  <si>
    <t>BA31030</t>
  </si>
  <si>
    <t>PA21136</t>
  </si>
  <si>
    <t>ST75318</t>
  </si>
  <si>
    <t>LO90892</t>
  </si>
  <si>
    <t>SH53008</t>
  </si>
  <si>
    <t>SH38267</t>
  </si>
  <si>
    <t>ST16038</t>
  </si>
  <si>
    <t>LO42307</t>
  </si>
  <si>
    <t>LO50798</t>
  </si>
  <si>
    <t>RO30136</t>
  </si>
  <si>
    <t>BA71150</t>
  </si>
  <si>
    <t>PO24032</t>
  </si>
  <si>
    <t>PO38313</t>
  </si>
  <si>
    <t>PO92213</t>
  </si>
  <si>
    <t>PA70647</t>
  </si>
  <si>
    <t>TI20043</t>
  </si>
  <si>
    <t>LE61390</t>
  </si>
  <si>
    <t>BA93037</t>
  </si>
  <si>
    <t>FU97070</t>
  </si>
  <si>
    <t>LE67907</t>
  </si>
  <si>
    <t>LO14992</t>
  </si>
  <si>
    <t>RO38116</t>
  </si>
  <si>
    <t>RO59815</t>
  </si>
  <si>
    <t>Product</t>
  </si>
  <si>
    <t>Time</t>
  </si>
  <si>
    <t>Amount</t>
  </si>
  <si>
    <t>Dryers</t>
  </si>
  <si>
    <t>Televisions</t>
  </si>
  <si>
    <t>Refrigerators</t>
  </si>
  <si>
    <t>Clothes Washers</t>
  </si>
  <si>
    <t>Dishwashers</t>
  </si>
  <si>
    <t>Anderson, Ted</t>
  </si>
  <si>
    <t>Castro, Chris</t>
  </si>
  <si>
    <t>Soto, Chris</t>
  </si>
  <si>
    <t>Williamson, Sumedha</t>
  </si>
  <si>
    <t>Woodward, Timothy</t>
  </si>
  <si>
    <t>Perry, Chris</t>
  </si>
  <si>
    <t>Stephenson, Matthew</t>
  </si>
  <si>
    <t>McKinney, Christofer</t>
  </si>
  <si>
    <t>Schroeder, Bennet</t>
  </si>
  <si>
    <t>Joseph, Chris</t>
  </si>
  <si>
    <t>Parks, Chris</t>
  </si>
  <si>
    <t>Padilla, Chris</t>
  </si>
  <si>
    <t>Richardson, Deborah</t>
  </si>
  <si>
    <t>Glenn, Chris</t>
  </si>
  <si>
    <t>Comp.</t>
  </si>
  <si>
    <t>Ramsey, 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</si>
</sst>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00\-00\-0000"/>
    <numFmt numFmtId="165" formatCode="_(* #,##0_);_(* \(#,##0\);_(* &quot;-&quot;??_);_(@_)"/>
    <numFmt numFmtId="166" formatCode="m/d/yy;@"/>
  </numFmts>
  <fonts count="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0070C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</borders>
  <cellStyleXfs count="3">
    <xf numFmtId="0" fontId="0" fillId="0" borderId="0"/>
    <xf numFmtId="0" fontId="3" fillId="0" borderId="0"/>
    <xf numFmtId="43" fontId="3" fillId="0" borderId="0" applyFont="0" applyFill="0" applyBorder="0" applyAlignment="0" applyProtection="0"/>
  </cellStyleXfs>
  <cellXfs count="42">
    <xf numFmtId="0" fontId="0" fillId="0" borderId="0" xfId="0"/>
    <xf numFmtId="0" fontId="4" fillId="2" borderId="1" xfId="1" applyFont="1" applyFill="1" applyBorder="1" applyAlignment="1" applyProtection="1">
      <alignment horizontal="right" vertical="top"/>
    </xf>
    <xf numFmtId="165" fontId="5" fillId="0" borderId="0" xfId="2" applyNumberFormat="1" applyFont="1" applyFill="1" applyProtection="1"/>
    <xf numFmtId="165" fontId="5" fillId="0" borderId="0" xfId="2" applyNumberFormat="1" applyFont="1" applyFill="1" applyBorder="1" applyProtection="1"/>
    <xf numFmtId="0" fontId="5" fillId="0" borderId="0" xfId="1" applyFont="1" applyFill="1" applyProtection="1"/>
    <xf numFmtId="0" fontId="4" fillId="2" borderId="1" xfId="1" applyFont="1" applyFill="1" applyBorder="1" applyAlignment="1" applyProtection="1">
      <alignment horizontal="left" vertical="top"/>
    </xf>
    <xf numFmtId="0" fontId="4" fillId="2" borderId="1" xfId="1" applyFont="1" applyFill="1" applyBorder="1" applyAlignment="1" applyProtection="1">
      <alignment horizontal="center" vertical="top"/>
    </xf>
    <xf numFmtId="0" fontId="4" fillId="2" borderId="1" xfId="1" applyFont="1" applyFill="1" applyBorder="1" applyAlignment="1" applyProtection="1">
      <alignment vertical="top"/>
    </xf>
    <xf numFmtId="164" fontId="4" fillId="2" borderId="1" xfId="1" applyNumberFormat="1" applyFont="1" applyFill="1" applyBorder="1" applyAlignment="1" applyProtection="1">
      <alignment horizontal="center" vertical="top"/>
    </xf>
    <xf numFmtId="15" fontId="4" fillId="2" borderId="1" xfId="1" applyNumberFormat="1" applyFont="1" applyFill="1" applyBorder="1" applyAlignment="1" applyProtection="1">
      <alignment horizontal="left" vertical="top"/>
    </xf>
    <xf numFmtId="165" fontId="4" fillId="2" borderId="1" xfId="2" applyNumberFormat="1" applyFont="1" applyFill="1" applyBorder="1" applyAlignment="1" applyProtection="1">
      <alignment horizontal="right" vertical="top"/>
    </xf>
    <xf numFmtId="0" fontId="5" fillId="0" borderId="0" xfId="1" applyFont="1" applyProtection="1"/>
    <xf numFmtId="0" fontId="6" fillId="3" borderId="2" xfId="1" applyFont="1" applyFill="1" applyBorder="1" applyAlignment="1" applyProtection="1">
      <alignment horizontal="left"/>
    </xf>
    <xf numFmtId="165" fontId="6" fillId="3" borderId="2" xfId="2" applyNumberFormat="1" applyFont="1" applyFill="1" applyBorder="1" applyAlignment="1" applyProtection="1">
      <alignment horizontal="right"/>
    </xf>
    <xf numFmtId="0" fontId="5" fillId="0" borderId="0" xfId="1" applyFont="1" applyFill="1" applyAlignment="1" applyProtection="1">
      <alignment horizontal="center"/>
    </xf>
    <xf numFmtId="164" fontId="5" fillId="0" borderId="0" xfId="1" applyNumberFormat="1" applyFont="1" applyAlignment="1" applyProtection="1">
      <alignment horizontal="right"/>
    </xf>
    <xf numFmtId="15" fontId="5" fillId="0" borderId="0" xfId="1" applyNumberFormat="1" applyFont="1" applyFill="1" applyProtection="1"/>
    <xf numFmtId="165" fontId="5" fillId="0" borderId="0" xfId="2" applyNumberFormat="1" applyFont="1" applyProtection="1"/>
    <xf numFmtId="165" fontId="5" fillId="0" borderId="0" xfId="2" applyNumberFormat="1" applyFont="1" applyFill="1" applyAlignment="1" applyProtection="1"/>
    <xf numFmtId="0" fontId="5" fillId="0" borderId="0" xfId="1" applyFont="1" applyAlignment="1" applyProtection="1">
      <alignment horizontal="center"/>
    </xf>
    <xf numFmtId="14" fontId="5" fillId="0" borderId="0" xfId="1" applyNumberFormat="1" applyFont="1" applyProtection="1"/>
    <xf numFmtId="165" fontId="5" fillId="0" borderId="0" xfId="2" applyNumberFormat="1" applyFont="1" applyBorder="1" applyProtection="1"/>
    <xf numFmtId="164" fontId="5" fillId="0" borderId="0" xfId="1" applyNumberFormat="1" applyFont="1" applyFill="1" applyAlignment="1" applyProtection="1">
      <alignment horizontal="right"/>
    </xf>
    <xf numFmtId="0" fontId="5" fillId="0" borderId="0" xfId="1" applyFont="1" applyBorder="1" applyProtection="1"/>
    <xf numFmtId="164" fontId="5" fillId="0" borderId="0" xfId="1" applyNumberFormat="1" applyFont="1" applyProtection="1"/>
    <xf numFmtId="15" fontId="5" fillId="0" borderId="0" xfId="1" applyNumberFormat="1" applyFont="1" applyProtection="1"/>
    <xf numFmtId="165" fontId="5" fillId="0" borderId="0" xfId="2" applyNumberFormat="1" applyFont="1" applyAlignment="1" applyProtection="1"/>
    <xf numFmtId="0" fontId="0" fillId="0" borderId="0" xfId="0" applyProtection="1"/>
    <xf numFmtId="0" fontId="2" fillId="4" borderId="3" xfId="1" applyFont="1" applyFill="1" applyBorder="1" applyAlignment="1" applyProtection="1">
      <alignment horizontal="left"/>
    </xf>
    <xf numFmtId="14" fontId="2" fillId="4" borderId="3" xfId="1" applyNumberFormat="1" applyFont="1" applyFill="1" applyBorder="1" applyAlignment="1" applyProtection="1">
      <alignment horizontal="center"/>
    </xf>
    <xf numFmtId="0" fontId="2" fillId="4" borderId="3" xfId="1" applyFont="1" applyFill="1" applyBorder="1" applyAlignment="1" applyProtection="1">
      <alignment horizontal="center"/>
    </xf>
    <xf numFmtId="165" fontId="2" fillId="4" borderId="3" xfId="2" applyNumberFormat="1" applyFont="1" applyFill="1" applyBorder="1" applyAlignment="1" applyProtection="1">
      <alignment horizontal="right"/>
    </xf>
    <xf numFmtId="0" fontId="5" fillId="0" borderId="0" xfId="1" applyNumberFormat="1" applyFont="1" applyProtection="1"/>
    <xf numFmtId="0" fontId="5" fillId="0" borderId="0" xfId="2" applyNumberFormat="1" applyFont="1" applyProtection="1"/>
    <xf numFmtId="0" fontId="1" fillId="0" borderId="0" xfId="1" applyFont="1" applyProtection="1"/>
    <xf numFmtId="18" fontId="1" fillId="0" borderId="0" xfId="1" applyNumberFormat="1" applyFont="1" applyProtection="1"/>
    <xf numFmtId="166" fontId="5" fillId="0" borderId="0" xfId="1" applyNumberFormat="1" applyFont="1" applyProtection="1"/>
    <xf numFmtId="14" fontId="4" fillId="2" borderId="1" xfId="1" applyNumberFormat="1" applyFont="1" applyFill="1" applyBorder="1" applyAlignment="1" applyProtection="1">
      <alignment horizontal="right" vertical="top"/>
    </xf>
    <xf numFmtId="14" fontId="6" fillId="3" borderId="2" xfId="1" applyNumberFormat="1" applyFont="1" applyFill="1" applyBorder="1" applyAlignment="1" applyProtection="1">
      <alignment horizontal="center" wrapText="1"/>
    </xf>
    <xf numFmtId="3" fontId="4" fillId="2" borderId="1" xfId="2" applyNumberFormat="1" applyFont="1" applyFill="1" applyBorder="1" applyAlignment="1" applyProtection="1">
      <alignment horizontal="right" vertical="top"/>
    </xf>
    <xf numFmtId="3" fontId="5" fillId="0" borderId="0" xfId="2" applyNumberFormat="1" applyFont="1" applyAlignment="1" applyProtection="1"/>
    <xf numFmtId="3" fontId="5" fillId="0" borderId="0" xfId="2" applyNumberFormat="1" applyFont="1" applyFill="1" applyAlignment="1" applyProtection="1"/>
  </cellXfs>
  <cellStyles count="3">
    <cellStyle name="Comma 2" xfId="2" xr:uid="{71B69DE6-F8A2-4FA3-ACD8-A2CA8971A416}"/>
    <cellStyle name="Normal" xfId="0" builtinId="0"/>
    <cellStyle name="Normal 2" xfId="1" xr:uid="{5538F082-F9F5-4073-B121-6BE44A70BC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 - Qtr1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55</c:v>
              </c:pt>
              <c:pt idx="1">
                <c:v>96</c:v>
              </c:pt>
              <c:pt idx="2">
                <c:v>80</c:v>
              </c:pt>
              <c:pt idx="3">
                <c:v>99</c:v>
              </c:pt>
              <c:pt idx="4">
                <c:v>96</c:v>
              </c:pt>
            </c:numLit>
          </c:val>
          <c:extLst>
            <c:ext xmlns:c16="http://schemas.microsoft.com/office/drawing/2014/chart" uri="{C3380CC4-5D6E-409C-BE32-E72D297353CC}">
              <c16:uniqueId val="{00000000-1425-4555-81F3-600C10649BF5}"/>
            </c:ext>
          </c:extLst>
        </c:ser>
        <c:ser>
          <c:idx val="1"/>
          <c:order val="1"/>
          <c:tx>
            <c:v>NE - Qtr2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48</c:v>
              </c:pt>
              <c:pt idx="1">
                <c:v>88</c:v>
              </c:pt>
              <c:pt idx="2">
                <c:v>88</c:v>
              </c:pt>
              <c:pt idx="3">
                <c:v>39</c:v>
              </c:pt>
              <c:pt idx="4">
                <c:v>98</c:v>
              </c:pt>
            </c:numLit>
          </c:val>
          <c:extLst>
            <c:ext xmlns:c16="http://schemas.microsoft.com/office/drawing/2014/chart" uri="{C3380CC4-5D6E-409C-BE32-E72D297353CC}">
              <c16:uniqueId val="{00000001-1425-4555-81F3-600C10649BF5}"/>
            </c:ext>
          </c:extLst>
        </c:ser>
        <c:ser>
          <c:idx val="2"/>
          <c:order val="2"/>
          <c:tx>
            <c:v>NE - Qtr3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90</c:v>
              </c:pt>
              <c:pt idx="1">
                <c:v>67</c:v>
              </c:pt>
              <c:pt idx="2">
                <c:v>76</c:v>
              </c:pt>
              <c:pt idx="3">
                <c:v>116</c:v>
              </c:pt>
              <c:pt idx="4">
                <c:v>90</c:v>
              </c:pt>
            </c:numLit>
          </c:val>
          <c:extLst>
            <c:ext xmlns:c16="http://schemas.microsoft.com/office/drawing/2014/chart" uri="{C3380CC4-5D6E-409C-BE32-E72D297353CC}">
              <c16:uniqueId val="{00000002-1425-4555-81F3-600C10649BF5}"/>
            </c:ext>
          </c:extLst>
        </c:ser>
        <c:ser>
          <c:idx val="3"/>
          <c:order val="3"/>
          <c:tx>
            <c:v>NE - Qtr4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51</c:v>
              </c:pt>
              <c:pt idx="1">
                <c:v>71</c:v>
              </c:pt>
              <c:pt idx="2">
                <c:v>92</c:v>
              </c:pt>
              <c:pt idx="3">
                <c:v>76</c:v>
              </c:pt>
              <c:pt idx="4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3-1425-4555-81F3-600C10649BF5}"/>
            </c:ext>
          </c:extLst>
        </c:ser>
        <c:ser>
          <c:idx val="4"/>
          <c:order val="4"/>
          <c:tx>
            <c:v>NW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4-1425-4555-81F3-600C10649BF5}"/>
            </c:ext>
          </c:extLst>
        </c:ser>
        <c:ser>
          <c:idx val="5"/>
          <c:order val="5"/>
          <c:tx>
            <c:v>SE - Qtr1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59</c:v>
              </c:pt>
              <c:pt idx="1">
                <c:v>73</c:v>
              </c:pt>
              <c:pt idx="2">
                <c:v>109</c:v>
              </c:pt>
              <c:pt idx="3">
                <c:v>52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5-1425-4555-81F3-600C10649BF5}"/>
            </c:ext>
          </c:extLst>
        </c:ser>
        <c:ser>
          <c:idx val="6"/>
          <c:order val="6"/>
          <c:tx>
            <c:v>SE - Qtr2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115</c:v>
              </c:pt>
              <c:pt idx="1">
                <c:v>79</c:v>
              </c:pt>
              <c:pt idx="2">
                <c:v>97</c:v>
              </c:pt>
              <c:pt idx="3">
                <c:v>77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6-1425-4555-81F3-600C10649BF5}"/>
            </c:ext>
          </c:extLst>
        </c:ser>
        <c:ser>
          <c:idx val="7"/>
          <c:order val="7"/>
          <c:tx>
            <c:v>SE - Qtr3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75</c:v>
              </c:pt>
              <c:pt idx="1">
                <c:v>53</c:v>
              </c:pt>
              <c:pt idx="2">
                <c:v>31</c:v>
              </c:pt>
              <c:pt idx="3">
                <c:v>85</c:v>
              </c:pt>
              <c:pt idx="4">
                <c:v>112</c:v>
              </c:pt>
            </c:numLit>
          </c:val>
          <c:extLst>
            <c:ext xmlns:c16="http://schemas.microsoft.com/office/drawing/2014/chart" uri="{C3380CC4-5D6E-409C-BE32-E72D297353CC}">
              <c16:uniqueId val="{00000007-1425-4555-81F3-600C10649BF5}"/>
            </c:ext>
          </c:extLst>
        </c:ser>
        <c:ser>
          <c:idx val="8"/>
          <c:order val="8"/>
          <c:tx>
            <c:v>SE - Qtr4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114</c:v>
              </c:pt>
              <c:pt idx="1">
                <c:v>83</c:v>
              </c:pt>
              <c:pt idx="2">
                <c:v>91</c:v>
              </c:pt>
              <c:pt idx="3">
                <c:v>78</c:v>
              </c:pt>
              <c:pt idx="4">
                <c:v>169</c:v>
              </c:pt>
            </c:numLit>
          </c:val>
          <c:extLst>
            <c:ext xmlns:c16="http://schemas.microsoft.com/office/drawing/2014/chart" uri="{C3380CC4-5D6E-409C-BE32-E72D297353CC}">
              <c16:uniqueId val="{00000008-1425-4555-81F3-600C10649BF5}"/>
            </c:ext>
          </c:extLst>
        </c:ser>
        <c:ser>
          <c:idx val="9"/>
          <c:order val="9"/>
          <c:tx>
            <c:v>SW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9-1425-4555-81F3-600C10649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7846232"/>
        <c:axId val="317846624"/>
      </c:barChart>
      <c:catAx>
        <c:axId val="317846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784662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317846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7846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244</c:v>
              </c:pt>
              <c:pt idx="1">
                <c:v>322</c:v>
              </c:pt>
              <c:pt idx="2">
                <c:v>336</c:v>
              </c:pt>
              <c:pt idx="3">
                <c:v>330</c:v>
              </c:pt>
              <c:pt idx="4">
                <c:v>381</c:v>
              </c:pt>
            </c:numLit>
          </c:val>
          <c:extLst>
            <c:ext xmlns:c16="http://schemas.microsoft.com/office/drawing/2014/chart" uri="{C3380CC4-5D6E-409C-BE32-E72D297353CC}">
              <c16:uniqueId val="{00000000-2821-4875-90BD-9E1AA6B83490}"/>
            </c:ext>
          </c:extLst>
        </c:ser>
        <c:ser>
          <c:idx val="1"/>
          <c:order val="1"/>
          <c:tx>
            <c:v>NW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1-2821-4875-90BD-9E1AA6B83490}"/>
            </c:ext>
          </c:extLst>
        </c:ser>
        <c:ser>
          <c:idx val="2"/>
          <c:order val="2"/>
          <c:tx>
            <c:v>SE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363</c:v>
              </c:pt>
              <c:pt idx="1">
                <c:v>288</c:v>
              </c:pt>
              <c:pt idx="2">
                <c:v>328</c:v>
              </c:pt>
              <c:pt idx="3">
                <c:v>292</c:v>
              </c:pt>
              <c:pt idx="4">
                <c:v>445</c:v>
              </c:pt>
            </c:numLit>
          </c:val>
          <c:extLst>
            <c:ext xmlns:c16="http://schemas.microsoft.com/office/drawing/2014/chart" uri="{C3380CC4-5D6E-409C-BE32-E72D297353CC}">
              <c16:uniqueId val="{00000002-2821-4875-90BD-9E1AA6B83490}"/>
            </c:ext>
          </c:extLst>
        </c:ser>
        <c:ser>
          <c:idx val="3"/>
          <c:order val="3"/>
          <c:tx>
            <c:v>SW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3-2821-4875-90BD-9E1AA6B83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9822720"/>
        <c:axId val="389823112"/>
      </c:barChart>
      <c:catAx>
        <c:axId val="38982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823112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389823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822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244</c:v>
              </c:pt>
              <c:pt idx="1">
                <c:v>322</c:v>
              </c:pt>
              <c:pt idx="2">
                <c:v>336</c:v>
              </c:pt>
              <c:pt idx="3">
                <c:v>330</c:v>
              </c:pt>
              <c:pt idx="4">
                <c:v>381</c:v>
              </c:pt>
            </c:numLit>
          </c:val>
          <c:extLst>
            <c:ext xmlns:c16="http://schemas.microsoft.com/office/drawing/2014/chart" uri="{C3380CC4-5D6E-409C-BE32-E72D297353CC}">
              <c16:uniqueId val="{00000000-1979-4C27-B71C-72D770731A54}"/>
            </c:ext>
          </c:extLst>
        </c:ser>
        <c:ser>
          <c:idx val="1"/>
          <c:order val="1"/>
          <c:tx>
            <c:v>NW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1-1979-4C27-B71C-72D770731A54}"/>
            </c:ext>
          </c:extLst>
        </c:ser>
        <c:ser>
          <c:idx val="2"/>
          <c:order val="2"/>
          <c:tx>
            <c:v>SE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363</c:v>
              </c:pt>
              <c:pt idx="1">
                <c:v>288</c:v>
              </c:pt>
              <c:pt idx="2">
                <c:v>328</c:v>
              </c:pt>
              <c:pt idx="3">
                <c:v>292</c:v>
              </c:pt>
              <c:pt idx="4">
                <c:v>445</c:v>
              </c:pt>
            </c:numLit>
          </c:val>
          <c:extLst>
            <c:ext xmlns:c16="http://schemas.microsoft.com/office/drawing/2014/chart" uri="{C3380CC4-5D6E-409C-BE32-E72D297353CC}">
              <c16:uniqueId val="{00000002-1979-4C27-B71C-72D770731A54}"/>
            </c:ext>
          </c:extLst>
        </c:ser>
        <c:ser>
          <c:idx val="3"/>
          <c:order val="3"/>
          <c:tx>
            <c:v>SW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3-1979-4C27-B71C-72D770731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1373720"/>
        <c:axId val="321372152"/>
      </c:barChart>
      <c:catAx>
        <c:axId val="321373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1372152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321372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1373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315</xdr:row>
      <xdr:rowOff>0</xdr:rowOff>
    </xdr:from>
    <xdr:to>
      <xdr:col>8</xdr:col>
      <xdr:colOff>0</xdr:colOff>
      <xdr:row>315</xdr:row>
      <xdr:rowOff>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98BB9AAB-9049-40E4-A44E-83164E71A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</xdr:row>
      <xdr:rowOff>0</xdr:rowOff>
    </xdr:from>
    <xdr:to>
      <xdr:col>8</xdr:col>
      <xdr:colOff>0</xdr:colOff>
      <xdr:row>7</xdr:row>
      <xdr:rowOff>0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4537C405-E2BC-4823-9269-F28690EBF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8</xdr:col>
      <xdr:colOff>0</xdr:colOff>
      <xdr:row>1</xdr:row>
      <xdr:rowOff>0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69CFAE92-B8C7-447A-929C-F1882F1F4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B58C8-A3BD-4600-955F-02037791EE3F}">
  <sheetPr>
    <tabColor indexed="11"/>
    <pageSetUpPr autoPageBreaks="0"/>
  </sheetPr>
  <dimension ref="A1:T910"/>
  <sheetViews>
    <sheetView tabSelected="1" zoomScale="130" zoomScaleNormal="130" zoomScaleSheetLayoutView="100" workbookViewId="0"/>
  </sheetViews>
  <sheetFormatPr baseColWidth="10" defaultColWidth="19.83203125" defaultRowHeight="15" x14ac:dyDescent="0.2"/>
  <cols>
    <col min="1" max="1" width="17.33203125" style="11" customWidth="1"/>
    <col min="2" max="2" width="8.1640625" style="19" bestFit="1" customWidth="1"/>
    <col min="3" max="3" width="23.1640625" style="11" customWidth="1"/>
    <col min="4" max="4" width="11.33203125" style="24" customWidth="1"/>
    <col min="5" max="5" width="9.6640625" style="11" bestFit="1" customWidth="1"/>
    <col min="6" max="6" width="10.83203125" style="20" bestFit="1" customWidth="1"/>
    <col min="7" max="7" width="10.6640625" style="25" customWidth="1"/>
    <col min="8" max="8" width="7" style="4" bestFit="1" customWidth="1"/>
    <col min="9" max="9" width="8.33203125" style="11" bestFit="1" customWidth="1"/>
    <col min="10" max="10" width="9.33203125" style="26" customWidth="1"/>
    <col min="11" max="11" width="10" style="11" bestFit="1" customWidth="1"/>
    <col min="12" max="13" width="19.83203125" style="11"/>
    <col min="14" max="14" width="12.6640625" style="11" bestFit="1" customWidth="1"/>
    <col min="15" max="15" width="15" style="11" bestFit="1" customWidth="1"/>
    <col min="16" max="16" width="7" style="11" bestFit="1" customWidth="1"/>
    <col min="17" max="17" width="16" style="11" bestFit="1" customWidth="1"/>
    <col min="18" max="18" width="11" style="20" bestFit="1" customWidth="1"/>
    <col min="19" max="19" width="7.33203125" style="11" bestFit="1" customWidth="1"/>
    <col min="20" max="20" width="11" style="11" bestFit="1" customWidth="1"/>
    <col min="21" max="16384" width="19.83203125" style="11"/>
  </cols>
  <sheetData>
    <row r="1" spans="1:20" ht="16" x14ac:dyDescent="0.2">
      <c r="A1" s="5" t="s">
        <v>0</v>
      </c>
      <c r="B1" s="6" t="s">
        <v>1</v>
      </c>
      <c r="C1" s="7" t="s">
        <v>2</v>
      </c>
      <c r="D1" s="8" t="s">
        <v>3</v>
      </c>
      <c r="E1" s="7" t="s">
        <v>4</v>
      </c>
      <c r="F1" s="37" t="s">
        <v>5</v>
      </c>
      <c r="G1" s="9" t="s">
        <v>6</v>
      </c>
      <c r="H1" s="1" t="s">
        <v>7</v>
      </c>
      <c r="I1" s="7" t="s">
        <v>8</v>
      </c>
      <c r="J1" s="10" t="s">
        <v>9</v>
      </c>
      <c r="K1" s="6" t="s">
        <v>10</v>
      </c>
      <c r="N1" s="12" t="s">
        <v>11</v>
      </c>
      <c r="O1" s="12" t="s">
        <v>12</v>
      </c>
      <c r="P1" s="12" t="s">
        <v>13</v>
      </c>
      <c r="Q1" s="12" t="s">
        <v>14</v>
      </c>
      <c r="R1" s="38" t="s">
        <v>15</v>
      </c>
      <c r="S1" s="13" t="s">
        <v>16</v>
      </c>
      <c r="T1" s="13" t="s">
        <v>17</v>
      </c>
    </row>
    <row r="2" spans="1:20" x14ac:dyDescent="0.2">
      <c r="A2" s="11" t="s">
        <v>307</v>
      </c>
      <c r="B2" s="14" t="s">
        <v>36</v>
      </c>
      <c r="C2" s="11" t="s">
        <v>101</v>
      </c>
      <c r="D2" s="15">
        <v>834061135</v>
      </c>
      <c r="E2" s="11" t="s">
        <v>29</v>
      </c>
      <c r="F2" s="20">
        <v>36369</v>
      </c>
      <c r="G2" s="16" t="str">
        <f t="shared" ref="G2:G65" si="0">CHOOSE(MONTH(F2),"January","February","March","April","May","June","July","August","September","October","November","December")</f>
        <v>July</v>
      </c>
      <c r="H2" s="2">
        <f t="shared" ref="H2:H65" ca="1" si="1">DATEDIF(F2,TODAY(),"Y")</f>
        <v>19</v>
      </c>
      <c r="I2" s="17" t="s">
        <v>38</v>
      </c>
      <c r="J2" s="18">
        <v>60156</v>
      </c>
      <c r="K2" s="19">
        <v>2</v>
      </c>
      <c r="N2" s="11" t="s">
        <v>1705</v>
      </c>
      <c r="O2" s="11" t="s">
        <v>78</v>
      </c>
      <c r="P2" s="11" t="s">
        <v>24</v>
      </c>
      <c r="Q2" s="11" t="s">
        <v>34</v>
      </c>
      <c r="R2" s="20">
        <f>(42351+(3*365))+112</f>
        <v>43558</v>
      </c>
      <c r="S2" s="17">
        <v>6</v>
      </c>
      <c r="T2" s="17">
        <v>3150</v>
      </c>
    </row>
    <row r="3" spans="1:20" x14ac:dyDescent="0.2">
      <c r="A3" s="11" t="s">
        <v>512</v>
      </c>
      <c r="B3" s="14" t="s">
        <v>36</v>
      </c>
      <c r="C3" s="11" t="s">
        <v>214</v>
      </c>
      <c r="D3" s="15">
        <v>484217278</v>
      </c>
      <c r="E3" s="11" t="s">
        <v>56</v>
      </c>
      <c r="F3" s="20">
        <v>42603</v>
      </c>
      <c r="G3" s="16" t="str">
        <f t="shared" si="0"/>
        <v>August</v>
      </c>
      <c r="H3" s="2">
        <f t="shared" ca="1" si="1"/>
        <v>2</v>
      </c>
      <c r="I3" s="17"/>
      <c r="J3" s="18">
        <v>14272</v>
      </c>
      <c r="K3" s="19">
        <v>4</v>
      </c>
      <c r="N3" s="11" t="s">
        <v>911</v>
      </c>
      <c r="O3" s="11" t="s">
        <v>114</v>
      </c>
      <c r="P3" s="11" t="s">
        <v>40</v>
      </c>
      <c r="Q3" s="11" t="s">
        <v>219</v>
      </c>
      <c r="R3" s="20">
        <f>(41985+(3*365))+112</f>
        <v>43192</v>
      </c>
      <c r="S3" s="17">
        <v>5</v>
      </c>
      <c r="T3" s="17">
        <v>2445</v>
      </c>
    </row>
    <row r="4" spans="1:20" x14ac:dyDescent="0.2">
      <c r="A4" s="11" t="s">
        <v>297</v>
      </c>
      <c r="B4" s="14" t="s">
        <v>19</v>
      </c>
      <c r="C4" s="11" t="s">
        <v>101</v>
      </c>
      <c r="D4" s="15">
        <v>444159297</v>
      </c>
      <c r="E4" s="11" t="s">
        <v>29</v>
      </c>
      <c r="F4" s="20">
        <v>36392</v>
      </c>
      <c r="G4" s="16" t="str">
        <f t="shared" si="0"/>
        <v>August</v>
      </c>
      <c r="H4" s="2">
        <f t="shared" ca="1" si="1"/>
        <v>19</v>
      </c>
      <c r="I4" s="17" t="s">
        <v>47</v>
      </c>
      <c r="J4" s="18">
        <v>110066</v>
      </c>
      <c r="K4" s="19">
        <v>5</v>
      </c>
      <c r="N4" s="11" t="s">
        <v>454</v>
      </c>
      <c r="O4" s="11" t="s">
        <v>32</v>
      </c>
      <c r="P4" s="11" t="s">
        <v>40</v>
      </c>
      <c r="Q4" s="11" t="s">
        <v>34</v>
      </c>
      <c r="R4" s="20">
        <f>(41810+(3*365))+112</f>
        <v>43017</v>
      </c>
      <c r="S4" s="17">
        <v>19</v>
      </c>
      <c r="T4" s="17">
        <v>10715</v>
      </c>
    </row>
    <row r="5" spans="1:20" x14ac:dyDescent="0.2">
      <c r="A5" s="11" t="s">
        <v>162</v>
      </c>
      <c r="B5" s="14" t="s">
        <v>43</v>
      </c>
      <c r="C5" s="11" t="s">
        <v>104</v>
      </c>
      <c r="D5" s="15">
        <v>963028490</v>
      </c>
      <c r="E5" s="11" t="s">
        <v>29</v>
      </c>
      <c r="F5" s="20">
        <v>36407</v>
      </c>
      <c r="G5" s="16" t="str">
        <f t="shared" si="0"/>
        <v>September</v>
      </c>
      <c r="H5" s="2">
        <f t="shared" ca="1" si="1"/>
        <v>19</v>
      </c>
      <c r="I5" s="17" t="s">
        <v>87</v>
      </c>
      <c r="J5" s="18">
        <v>55823</v>
      </c>
      <c r="K5" s="19">
        <v>2</v>
      </c>
      <c r="N5" s="11" t="s">
        <v>1169</v>
      </c>
      <c r="O5" s="11" t="s">
        <v>125</v>
      </c>
      <c r="P5" s="11" t="s">
        <v>40</v>
      </c>
      <c r="Q5" s="11" t="s">
        <v>34</v>
      </c>
      <c r="R5" s="20">
        <f>(42070+(3*365))+112</f>
        <v>43277</v>
      </c>
      <c r="S5" s="17">
        <v>8</v>
      </c>
      <c r="T5" s="17">
        <v>2733</v>
      </c>
    </row>
    <row r="6" spans="1:20" x14ac:dyDescent="0.2">
      <c r="A6" s="11" t="s">
        <v>1418</v>
      </c>
      <c r="B6" s="14" t="s">
        <v>51</v>
      </c>
      <c r="C6" s="11" t="s">
        <v>152</v>
      </c>
      <c r="D6" s="15">
        <v>688769770</v>
      </c>
      <c r="E6" s="11" t="s">
        <v>29</v>
      </c>
      <c r="F6" s="20">
        <v>41482</v>
      </c>
      <c r="G6" s="16" t="str">
        <f t="shared" si="0"/>
        <v>July</v>
      </c>
      <c r="H6" s="2">
        <f t="shared" ca="1" si="1"/>
        <v>5</v>
      </c>
      <c r="I6" s="17" t="s">
        <v>47</v>
      </c>
      <c r="J6" s="18">
        <v>60116</v>
      </c>
      <c r="K6" s="19">
        <v>2</v>
      </c>
      <c r="N6" s="11" t="s">
        <v>1369</v>
      </c>
      <c r="O6" s="11" t="s">
        <v>45</v>
      </c>
      <c r="P6" s="11" t="s">
        <v>65</v>
      </c>
      <c r="Q6" s="11" t="s">
        <v>219</v>
      </c>
      <c r="R6" s="20">
        <f>(42154+(3*365))+112</f>
        <v>43361</v>
      </c>
      <c r="S6" s="17">
        <v>9</v>
      </c>
      <c r="T6" s="17">
        <v>4205</v>
      </c>
    </row>
    <row r="7" spans="1:20" x14ac:dyDescent="0.2">
      <c r="A7" s="11" t="s">
        <v>73</v>
      </c>
      <c r="B7" s="14" t="s">
        <v>36</v>
      </c>
      <c r="C7" s="11" t="s">
        <v>62</v>
      </c>
      <c r="D7" s="15">
        <v>840313216</v>
      </c>
      <c r="E7" s="11" t="s">
        <v>29</v>
      </c>
      <c r="F7" s="20">
        <v>41925</v>
      </c>
      <c r="G7" s="16" t="str">
        <f t="shared" si="0"/>
        <v>October</v>
      </c>
      <c r="H7" s="2">
        <f t="shared" ca="1" si="1"/>
        <v>4</v>
      </c>
      <c r="I7" s="17" t="s">
        <v>38</v>
      </c>
      <c r="J7" s="18">
        <v>50855</v>
      </c>
      <c r="K7" s="19">
        <v>3</v>
      </c>
      <c r="N7" s="11" t="s">
        <v>907</v>
      </c>
      <c r="O7" s="11" t="s">
        <v>54</v>
      </c>
      <c r="P7" s="11" t="s">
        <v>33</v>
      </c>
      <c r="Q7" s="11" t="s">
        <v>219</v>
      </c>
      <c r="R7" s="20">
        <f>(41984+(3*365))+112</f>
        <v>43191</v>
      </c>
      <c r="S7" s="17">
        <v>10</v>
      </c>
      <c r="T7" s="17">
        <v>5950</v>
      </c>
    </row>
    <row r="8" spans="1:20" x14ac:dyDescent="0.2">
      <c r="A8" s="11" t="s">
        <v>863</v>
      </c>
      <c r="B8" s="14" t="s">
        <v>43</v>
      </c>
      <c r="C8" s="11" t="s">
        <v>864</v>
      </c>
      <c r="D8" s="15">
        <v>425943144</v>
      </c>
      <c r="E8" s="11" t="s">
        <v>21</v>
      </c>
      <c r="F8" s="20">
        <v>37264</v>
      </c>
      <c r="G8" s="16" t="str">
        <f t="shared" si="0"/>
        <v>January</v>
      </c>
      <c r="H8" s="2">
        <f t="shared" ca="1" si="1"/>
        <v>17</v>
      </c>
      <c r="I8" s="17"/>
      <c r="J8" s="18">
        <v>96795</v>
      </c>
      <c r="K8" s="19">
        <v>2</v>
      </c>
      <c r="N8" s="11" t="s">
        <v>1560</v>
      </c>
      <c r="O8" s="11" t="s">
        <v>54</v>
      </c>
      <c r="P8" s="11" t="s">
        <v>33</v>
      </c>
      <c r="Q8" s="11" t="s">
        <v>219</v>
      </c>
      <c r="R8" s="20">
        <f>(42231+(3*365))+112</f>
        <v>43438</v>
      </c>
      <c r="S8" s="17">
        <v>5</v>
      </c>
      <c r="T8" s="17">
        <v>2765</v>
      </c>
    </row>
    <row r="9" spans="1:20" x14ac:dyDescent="0.2">
      <c r="A9" s="11" t="s">
        <v>1554</v>
      </c>
      <c r="B9" s="14" t="s">
        <v>27</v>
      </c>
      <c r="C9" s="11" t="s">
        <v>145</v>
      </c>
      <c r="D9" s="15">
        <v>323701315</v>
      </c>
      <c r="E9" s="11" t="s">
        <v>29</v>
      </c>
      <c r="F9" s="20">
        <v>43437</v>
      </c>
      <c r="G9" s="16" t="str">
        <f t="shared" si="0"/>
        <v>December</v>
      </c>
      <c r="H9" s="2">
        <f t="shared" ca="1" si="1"/>
        <v>0</v>
      </c>
      <c r="I9" s="17" t="s">
        <v>38</v>
      </c>
      <c r="J9" s="18">
        <v>108351</v>
      </c>
      <c r="K9" s="19">
        <v>3</v>
      </c>
      <c r="N9" s="11" t="s">
        <v>1213</v>
      </c>
      <c r="O9" s="11" t="s">
        <v>32</v>
      </c>
      <c r="P9" s="11" t="s">
        <v>33</v>
      </c>
      <c r="Q9" s="11" t="s">
        <v>219</v>
      </c>
      <c r="R9" s="20">
        <f>(42095+(3*365))+112</f>
        <v>43302</v>
      </c>
      <c r="S9" s="17">
        <v>13</v>
      </c>
      <c r="T9" s="17">
        <v>4615</v>
      </c>
    </row>
    <row r="10" spans="1:20" x14ac:dyDescent="0.2">
      <c r="A10" s="11" t="s">
        <v>1172</v>
      </c>
      <c r="B10" s="14" t="s">
        <v>19</v>
      </c>
      <c r="C10" s="11" t="s">
        <v>145</v>
      </c>
      <c r="D10" s="15">
        <v>412159105</v>
      </c>
      <c r="E10" s="11" t="s">
        <v>56</v>
      </c>
      <c r="F10" s="20">
        <v>38258</v>
      </c>
      <c r="G10" s="16" t="str">
        <f t="shared" si="0"/>
        <v>September</v>
      </c>
      <c r="H10" s="2">
        <f t="shared" ca="1" si="1"/>
        <v>14</v>
      </c>
      <c r="I10" s="17"/>
      <c r="J10" s="18">
        <v>45236</v>
      </c>
      <c r="K10" s="19">
        <v>4</v>
      </c>
      <c r="N10" s="11" t="s">
        <v>760</v>
      </c>
      <c r="O10" s="11" t="s">
        <v>114</v>
      </c>
      <c r="P10" s="11" t="s">
        <v>65</v>
      </c>
      <c r="Q10" s="11" t="s">
        <v>41</v>
      </c>
      <c r="R10" s="20">
        <f>(41935+(3*365))+112</f>
        <v>43142</v>
      </c>
      <c r="S10" s="17">
        <v>6</v>
      </c>
      <c r="T10" s="17">
        <v>2765</v>
      </c>
    </row>
    <row r="11" spans="1:20" x14ac:dyDescent="0.2">
      <c r="A11" s="11" t="s">
        <v>431</v>
      </c>
      <c r="B11" s="14" t="s">
        <v>83</v>
      </c>
      <c r="C11" s="11" t="s">
        <v>205</v>
      </c>
      <c r="D11" s="15">
        <v>477110649</v>
      </c>
      <c r="E11" s="11" t="s">
        <v>29</v>
      </c>
      <c r="F11" s="20">
        <v>39899</v>
      </c>
      <c r="G11" s="16" t="str">
        <f t="shared" si="0"/>
        <v>March</v>
      </c>
      <c r="H11" s="2">
        <f t="shared" ca="1" si="1"/>
        <v>10</v>
      </c>
      <c r="I11" s="17" t="s">
        <v>87</v>
      </c>
      <c r="J11" s="18">
        <v>60953</v>
      </c>
      <c r="K11" s="19">
        <v>1</v>
      </c>
      <c r="N11" s="11" t="s">
        <v>557</v>
      </c>
      <c r="O11" s="11" t="s">
        <v>125</v>
      </c>
      <c r="P11" s="11" t="s">
        <v>33</v>
      </c>
      <c r="Q11" s="11" t="s">
        <v>41</v>
      </c>
      <c r="R11" s="20">
        <f>(41850+(3*365))+112</f>
        <v>43057</v>
      </c>
      <c r="S11" s="17">
        <v>3</v>
      </c>
      <c r="T11" s="17">
        <v>1115</v>
      </c>
    </row>
    <row r="12" spans="1:20" x14ac:dyDescent="0.2">
      <c r="A12" s="11" t="s">
        <v>61</v>
      </c>
      <c r="B12" s="14" t="s">
        <v>43</v>
      </c>
      <c r="C12" s="4" t="s">
        <v>62</v>
      </c>
      <c r="D12" s="22">
        <v>771277493</v>
      </c>
      <c r="E12" s="4" t="s">
        <v>56</v>
      </c>
      <c r="F12" s="20">
        <v>42982</v>
      </c>
      <c r="G12" s="16" t="str">
        <f t="shared" si="0"/>
        <v>September</v>
      </c>
      <c r="H12" s="2">
        <f t="shared" ca="1" si="1"/>
        <v>1</v>
      </c>
      <c r="I12" s="17"/>
      <c r="J12" s="18">
        <v>14359</v>
      </c>
      <c r="K12" s="19">
        <v>4</v>
      </c>
      <c r="N12" s="11" t="s">
        <v>1665</v>
      </c>
      <c r="O12" s="11" t="s">
        <v>45</v>
      </c>
      <c r="P12" s="11" t="s">
        <v>24</v>
      </c>
      <c r="Q12" s="11" t="s">
        <v>120</v>
      </c>
      <c r="R12" s="20">
        <f>(42320+(3*365))+112</f>
        <v>43527</v>
      </c>
      <c r="S12" s="17">
        <v>1</v>
      </c>
      <c r="T12" s="17">
        <v>435</v>
      </c>
    </row>
    <row r="13" spans="1:20" x14ac:dyDescent="0.2">
      <c r="A13" s="11" t="s">
        <v>94</v>
      </c>
      <c r="B13" s="14" t="s">
        <v>19</v>
      </c>
      <c r="C13" s="4" t="s">
        <v>62</v>
      </c>
      <c r="D13" s="22">
        <v>638271383</v>
      </c>
      <c r="E13" s="4" t="s">
        <v>29</v>
      </c>
      <c r="F13" s="20">
        <v>40998</v>
      </c>
      <c r="G13" s="16" t="str">
        <f t="shared" si="0"/>
        <v>March</v>
      </c>
      <c r="H13" s="2">
        <f t="shared" ca="1" si="1"/>
        <v>7</v>
      </c>
      <c r="I13" s="17" t="s">
        <v>47</v>
      </c>
      <c r="J13" s="18">
        <v>66623</v>
      </c>
      <c r="K13" s="19">
        <v>4</v>
      </c>
      <c r="N13" s="11" t="s">
        <v>1637</v>
      </c>
      <c r="O13" s="11" t="s">
        <v>32</v>
      </c>
      <c r="P13" s="11" t="s">
        <v>33</v>
      </c>
      <c r="Q13" s="11" t="s">
        <v>34</v>
      </c>
      <c r="R13" s="20">
        <f>(42297+(3*365))+112</f>
        <v>43504</v>
      </c>
      <c r="S13" s="17">
        <v>11</v>
      </c>
      <c r="T13" s="17">
        <v>4547</v>
      </c>
    </row>
    <row r="14" spans="1:20" x14ac:dyDescent="0.2">
      <c r="A14" s="11" t="s">
        <v>982</v>
      </c>
      <c r="B14" s="14" t="s">
        <v>19</v>
      </c>
      <c r="C14" s="11" t="s">
        <v>254</v>
      </c>
      <c r="D14" s="15">
        <v>931977751</v>
      </c>
      <c r="E14" s="11" t="s">
        <v>29</v>
      </c>
      <c r="F14" s="20">
        <v>37757</v>
      </c>
      <c r="G14" s="16" t="str">
        <f t="shared" si="0"/>
        <v>May</v>
      </c>
      <c r="H14" s="2">
        <f t="shared" ca="1" si="1"/>
        <v>16</v>
      </c>
      <c r="I14" s="17" t="s">
        <v>47</v>
      </c>
      <c r="J14" s="18">
        <v>34871</v>
      </c>
      <c r="K14" s="19">
        <v>5</v>
      </c>
      <c r="N14" s="11" t="s">
        <v>1299</v>
      </c>
      <c r="O14" s="11" t="s">
        <v>64</v>
      </c>
      <c r="P14" s="11" t="s">
        <v>24</v>
      </c>
      <c r="Q14" s="11" t="s">
        <v>219</v>
      </c>
      <c r="R14" s="20">
        <f>(42130+(3*365))+112</f>
        <v>43337</v>
      </c>
      <c r="S14" s="17">
        <v>7</v>
      </c>
      <c r="T14" s="17">
        <v>3180</v>
      </c>
    </row>
    <row r="15" spans="1:20" x14ac:dyDescent="0.2">
      <c r="A15" s="11" t="s">
        <v>622</v>
      </c>
      <c r="B15" s="14" t="s">
        <v>36</v>
      </c>
      <c r="C15" s="11" t="s">
        <v>214</v>
      </c>
      <c r="D15" s="15">
        <v>378189642</v>
      </c>
      <c r="E15" s="11" t="s">
        <v>21</v>
      </c>
      <c r="F15" s="20">
        <v>40755</v>
      </c>
      <c r="G15" s="16" t="str">
        <f t="shared" si="0"/>
        <v>July</v>
      </c>
      <c r="H15" s="2">
        <f t="shared" ca="1" si="1"/>
        <v>7</v>
      </c>
      <c r="I15" s="17"/>
      <c r="J15" s="18">
        <v>86697</v>
      </c>
      <c r="K15" s="19">
        <v>5</v>
      </c>
      <c r="N15" s="11" t="s">
        <v>1253</v>
      </c>
      <c r="O15" s="11" t="s">
        <v>54</v>
      </c>
      <c r="P15" s="11" t="s">
        <v>65</v>
      </c>
      <c r="Q15" s="11" t="s">
        <v>219</v>
      </c>
      <c r="R15" s="20">
        <f>(42110+(3*365))+112</f>
        <v>43317</v>
      </c>
      <c r="S15" s="17">
        <v>9</v>
      </c>
      <c r="T15" s="17">
        <v>4950</v>
      </c>
    </row>
    <row r="16" spans="1:20" x14ac:dyDescent="0.2">
      <c r="A16" s="11" t="s">
        <v>348</v>
      </c>
      <c r="B16" s="14" t="s">
        <v>27</v>
      </c>
      <c r="C16" s="11" t="s">
        <v>59</v>
      </c>
      <c r="D16" s="15">
        <v>659929807</v>
      </c>
      <c r="E16" s="11" t="s">
        <v>29</v>
      </c>
      <c r="F16" s="20">
        <v>41609</v>
      </c>
      <c r="G16" s="16" t="str">
        <f t="shared" si="0"/>
        <v>December</v>
      </c>
      <c r="H16" s="2">
        <f t="shared" ca="1" si="1"/>
        <v>5</v>
      </c>
      <c r="I16" s="17" t="s">
        <v>47</v>
      </c>
      <c r="J16" s="18">
        <v>30254</v>
      </c>
      <c r="K16" s="19">
        <v>4</v>
      </c>
      <c r="N16" s="11" t="s">
        <v>680</v>
      </c>
      <c r="O16" s="11" t="s">
        <v>117</v>
      </c>
      <c r="P16" s="11" t="s">
        <v>33</v>
      </c>
      <c r="Q16" s="11" t="s">
        <v>25</v>
      </c>
      <c r="R16" s="20">
        <f>(41900+(3*365))+112</f>
        <v>43107</v>
      </c>
      <c r="S16" s="17">
        <v>10</v>
      </c>
      <c r="T16" s="17">
        <v>4690</v>
      </c>
    </row>
    <row r="17" spans="1:20" x14ac:dyDescent="0.2">
      <c r="A17" s="11" t="s">
        <v>1492</v>
      </c>
      <c r="B17" s="14" t="s">
        <v>19</v>
      </c>
      <c r="C17" s="11" t="s">
        <v>152</v>
      </c>
      <c r="D17" s="15">
        <v>876082195</v>
      </c>
      <c r="E17" s="11" t="s">
        <v>29</v>
      </c>
      <c r="F17" s="20">
        <v>39186</v>
      </c>
      <c r="G17" s="16" t="str">
        <f t="shared" si="0"/>
        <v>April</v>
      </c>
      <c r="H17" s="2">
        <f t="shared" ca="1" si="1"/>
        <v>12</v>
      </c>
      <c r="I17" s="17" t="s">
        <v>71</v>
      </c>
      <c r="J17" s="18">
        <v>83498</v>
      </c>
      <c r="K17" s="19">
        <v>2</v>
      </c>
      <c r="N17" s="11" t="s">
        <v>1584</v>
      </c>
      <c r="O17" s="11" t="s">
        <v>64</v>
      </c>
      <c r="P17" s="11" t="s">
        <v>40</v>
      </c>
      <c r="Q17" s="11" t="s">
        <v>41</v>
      </c>
      <c r="R17" s="20">
        <f>(42252+(3*365))+112</f>
        <v>43459</v>
      </c>
      <c r="S17" s="17">
        <v>13</v>
      </c>
      <c r="T17" s="17">
        <v>5250</v>
      </c>
    </row>
    <row r="18" spans="1:20" x14ac:dyDescent="0.2">
      <c r="A18" s="11" t="s">
        <v>1440</v>
      </c>
      <c r="B18" s="14" t="s">
        <v>43</v>
      </c>
      <c r="C18" s="11" t="s">
        <v>86</v>
      </c>
      <c r="D18" s="15">
        <v>261920277</v>
      </c>
      <c r="E18" s="11" t="s">
        <v>29</v>
      </c>
      <c r="F18" s="20">
        <v>38712</v>
      </c>
      <c r="G18" s="16" t="str">
        <f t="shared" si="0"/>
        <v>December</v>
      </c>
      <c r="H18" s="2">
        <f t="shared" ca="1" si="1"/>
        <v>13</v>
      </c>
      <c r="I18" s="17" t="s">
        <v>71</v>
      </c>
      <c r="J18" s="18">
        <v>117221</v>
      </c>
      <c r="K18" s="19">
        <v>3</v>
      </c>
      <c r="N18" s="11" t="s">
        <v>664</v>
      </c>
      <c r="O18" s="11" t="s">
        <v>64</v>
      </c>
      <c r="P18" s="11" t="s">
        <v>65</v>
      </c>
      <c r="Q18" s="11" t="s">
        <v>219</v>
      </c>
      <c r="R18" s="20">
        <f>(41895+(3*365))+112</f>
        <v>43102</v>
      </c>
      <c r="S18" s="17">
        <v>4</v>
      </c>
      <c r="T18" s="17">
        <v>2225</v>
      </c>
    </row>
    <row r="19" spans="1:20" x14ac:dyDescent="0.2">
      <c r="A19" s="11" t="s">
        <v>1238</v>
      </c>
      <c r="B19" s="14" t="s">
        <v>19</v>
      </c>
      <c r="C19" s="11" t="s">
        <v>20</v>
      </c>
      <c r="D19" s="15">
        <v>627678686</v>
      </c>
      <c r="E19" s="11" t="s">
        <v>21</v>
      </c>
      <c r="F19" s="20">
        <v>38361</v>
      </c>
      <c r="G19" s="16" t="str">
        <f t="shared" si="0"/>
        <v>January</v>
      </c>
      <c r="H19" s="2">
        <f t="shared" ca="1" si="1"/>
        <v>14</v>
      </c>
      <c r="I19" s="17"/>
      <c r="J19" s="18">
        <v>100899</v>
      </c>
      <c r="K19" s="19">
        <v>5</v>
      </c>
      <c r="N19" s="11" t="s">
        <v>1391</v>
      </c>
      <c r="O19" s="11" t="s">
        <v>75</v>
      </c>
      <c r="P19" s="11" t="s">
        <v>33</v>
      </c>
      <c r="Q19" s="11" t="s">
        <v>41</v>
      </c>
      <c r="R19" s="20">
        <f>(42164+(3*365))+112</f>
        <v>43371</v>
      </c>
      <c r="S19" s="17">
        <v>7</v>
      </c>
      <c r="T19" s="17">
        <v>2925</v>
      </c>
    </row>
    <row r="20" spans="1:20" x14ac:dyDescent="0.2">
      <c r="A20" s="11" t="s">
        <v>604</v>
      </c>
      <c r="B20" s="14" t="s">
        <v>27</v>
      </c>
      <c r="C20" s="11" t="s">
        <v>152</v>
      </c>
      <c r="D20" s="15">
        <v>656572514</v>
      </c>
      <c r="E20" s="11" t="s">
        <v>21</v>
      </c>
      <c r="F20" s="20">
        <v>36830</v>
      </c>
      <c r="G20" s="16" t="str">
        <f t="shared" si="0"/>
        <v>October</v>
      </c>
      <c r="H20" s="2">
        <f t="shared" ca="1" si="1"/>
        <v>18</v>
      </c>
      <c r="I20" s="17"/>
      <c r="J20" s="18">
        <v>94703</v>
      </c>
      <c r="K20" s="19">
        <v>2</v>
      </c>
      <c r="N20" s="11" t="s">
        <v>629</v>
      </c>
      <c r="O20" s="11" t="s">
        <v>45</v>
      </c>
      <c r="P20" s="11" t="s">
        <v>33</v>
      </c>
      <c r="Q20" s="11" t="s">
        <v>25</v>
      </c>
      <c r="R20" s="20">
        <f>(41881+(3*365))+112</f>
        <v>43088</v>
      </c>
      <c r="S20" s="17">
        <v>5</v>
      </c>
      <c r="T20" s="17">
        <v>2125</v>
      </c>
    </row>
    <row r="21" spans="1:20" x14ac:dyDescent="0.2">
      <c r="A21" s="11" t="s">
        <v>190</v>
      </c>
      <c r="B21" s="14" t="s">
        <v>51</v>
      </c>
      <c r="C21" s="11" t="s">
        <v>20</v>
      </c>
      <c r="D21" s="15">
        <v>877122222</v>
      </c>
      <c r="E21" s="11" t="s">
        <v>29</v>
      </c>
      <c r="F21" s="20">
        <v>43431</v>
      </c>
      <c r="G21" s="16" t="str">
        <f t="shared" si="0"/>
        <v>November</v>
      </c>
      <c r="H21" s="2">
        <f t="shared" ca="1" si="1"/>
        <v>0</v>
      </c>
      <c r="I21" s="17" t="s">
        <v>71</v>
      </c>
      <c r="J21" s="18">
        <v>100859</v>
      </c>
      <c r="K21" s="19">
        <v>2</v>
      </c>
      <c r="N21" s="11" t="s">
        <v>1007</v>
      </c>
      <c r="O21" s="11" t="s">
        <v>117</v>
      </c>
      <c r="P21" s="11" t="s">
        <v>65</v>
      </c>
      <c r="Q21" s="11" t="s">
        <v>41</v>
      </c>
      <c r="R21" s="20">
        <f>(42011+(3*365))+112</f>
        <v>43218</v>
      </c>
      <c r="S21" s="17">
        <v>1</v>
      </c>
      <c r="T21" s="17">
        <v>460</v>
      </c>
    </row>
    <row r="22" spans="1:20" x14ac:dyDescent="0.2">
      <c r="A22" s="11" t="s">
        <v>636</v>
      </c>
      <c r="B22" s="14" t="s">
        <v>27</v>
      </c>
      <c r="C22" s="11" t="s">
        <v>214</v>
      </c>
      <c r="D22" s="15">
        <v>251824309</v>
      </c>
      <c r="E22" s="11" t="s">
        <v>21</v>
      </c>
      <c r="F22" s="20">
        <v>39585</v>
      </c>
      <c r="G22" s="16" t="str">
        <f t="shared" si="0"/>
        <v>May</v>
      </c>
      <c r="H22" s="2">
        <f t="shared" ca="1" si="1"/>
        <v>11</v>
      </c>
      <c r="I22" s="17"/>
      <c r="J22" s="18">
        <v>61317</v>
      </c>
      <c r="K22" s="19">
        <v>1</v>
      </c>
      <c r="N22" s="11" t="s">
        <v>373</v>
      </c>
      <c r="O22" s="11" t="s">
        <v>32</v>
      </c>
      <c r="P22" s="11" t="s">
        <v>40</v>
      </c>
      <c r="Q22" s="11" t="s">
        <v>25</v>
      </c>
      <c r="R22" s="20">
        <f>(41775+(3*365))+112</f>
        <v>42982</v>
      </c>
      <c r="S22" s="17">
        <v>3</v>
      </c>
      <c r="T22" s="17">
        <v>1690</v>
      </c>
    </row>
    <row r="23" spans="1:20" x14ac:dyDescent="0.2">
      <c r="A23" s="11" t="s">
        <v>386</v>
      </c>
      <c r="B23" s="14" t="s">
        <v>43</v>
      </c>
      <c r="C23" s="11" t="s">
        <v>152</v>
      </c>
      <c r="D23" s="15">
        <v>877574472</v>
      </c>
      <c r="E23" s="11" t="s">
        <v>21</v>
      </c>
      <c r="F23" s="20">
        <v>36257</v>
      </c>
      <c r="G23" s="16" t="str">
        <f t="shared" si="0"/>
        <v>April</v>
      </c>
      <c r="H23" s="2">
        <f t="shared" ca="1" si="1"/>
        <v>20</v>
      </c>
      <c r="I23" s="17"/>
      <c r="J23" s="18">
        <v>46818</v>
      </c>
      <c r="K23" s="19">
        <v>5</v>
      </c>
      <c r="N23" s="11" t="s">
        <v>1401</v>
      </c>
      <c r="O23" s="11" t="s">
        <v>45</v>
      </c>
      <c r="P23" s="11" t="s">
        <v>65</v>
      </c>
      <c r="Q23" s="11" t="s">
        <v>25</v>
      </c>
      <c r="R23" s="20">
        <f>(42168+(3*365))+112</f>
        <v>43375</v>
      </c>
      <c r="S23" s="17">
        <v>11</v>
      </c>
      <c r="T23" s="17">
        <v>5225</v>
      </c>
    </row>
    <row r="24" spans="1:20" x14ac:dyDescent="0.2">
      <c r="A24" s="11" t="s">
        <v>946</v>
      </c>
      <c r="B24" s="14" t="s">
        <v>27</v>
      </c>
      <c r="C24" s="11" t="s">
        <v>59</v>
      </c>
      <c r="D24" s="15">
        <v>661397587</v>
      </c>
      <c r="E24" s="11" t="s">
        <v>21</v>
      </c>
      <c r="F24" s="20">
        <v>37768</v>
      </c>
      <c r="G24" s="16" t="str">
        <f t="shared" si="0"/>
        <v>May</v>
      </c>
      <c r="H24" s="2">
        <f t="shared" ca="1" si="1"/>
        <v>16</v>
      </c>
      <c r="I24" s="17"/>
      <c r="J24" s="18">
        <v>54756</v>
      </c>
      <c r="K24" s="19">
        <v>5</v>
      </c>
      <c r="N24" s="11" t="s">
        <v>1097</v>
      </c>
      <c r="O24" s="11" t="s">
        <v>114</v>
      </c>
      <c r="P24" s="11" t="s">
        <v>40</v>
      </c>
      <c r="Q24" s="11" t="s">
        <v>41</v>
      </c>
      <c r="R24" s="20">
        <f>(42037+(3*365))+112</f>
        <v>43244</v>
      </c>
      <c r="S24" s="17">
        <v>15</v>
      </c>
      <c r="T24" s="17">
        <v>5955</v>
      </c>
    </row>
    <row r="25" spans="1:20" x14ac:dyDescent="0.2">
      <c r="A25" s="11" t="s">
        <v>833</v>
      </c>
      <c r="B25" s="14" t="s">
        <v>43</v>
      </c>
      <c r="C25" s="11" t="s">
        <v>86</v>
      </c>
      <c r="D25" s="15">
        <v>895408697</v>
      </c>
      <c r="E25" s="11" t="s">
        <v>29</v>
      </c>
      <c r="F25" s="20">
        <v>42013</v>
      </c>
      <c r="G25" s="16" t="str">
        <f t="shared" si="0"/>
        <v>January</v>
      </c>
      <c r="H25" s="2">
        <f t="shared" ca="1" si="1"/>
        <v>4</v>
      </c>
      <c r="I25" s="17" t="s">
        <v>30</v>
      </c>
      <c r="J25" s="18">
        <v>64274</v>
      </c>
      <c r="K25" s="19">
        <v>4</v>
      </c>
      <c r="N25" s="11" t="s">
        <v>736</v>
      </c>
      <c r="O25" s="11" t="s">
        <v>64</v>
      </c>
      <c r="P25" s="11" t="s">
        <v>24</v>
      </c>
      <c r="Q25" s="11" t="s">
        <v>25</v>
      </c>
      <c r="R25" s="20">
        <f>(41921+(3*365))+112</f>
        <v>43128</v>
      </c>
      <c r="S25" s="17">
        <v>15</v>
      </c>
      <c r="T25" s="17">
        <v>5430</v>
      </c>
    </row>
    <row r="26" spans="1:20" x14ac:dyDescent="0.2">
      <c r="A26" s="11" t="s">
        <v>534</v>
      </c>
      <c r="B26" s="14" t="s">
        <v>27</v>
      </c>
      <c r="C26" s="11" t="s">
        <v>214</v>
      </c>
      <c r="D26" s="15">
        <v>377194926</v>
      </c>
      <c r="E26" s="11" t="s">
        <v>29</v>
      </c>
      <c r="F26" s="20">
        <v>43459</v>
      </c>
      <c r="G26" s="16" t="str">
        <f t="shared" si="0"/>
        <v>December</v>
      </c>
      <c r="H26" s="2">
        <f t="shared" ca="1" si="1"/>
        <v>0</v>
      </c>
      <c r="I26" s="17" t="s">
        <v>38</v>
      </c>
      <c r="J26" s="18">
        <v>59751</v>
      </c>
      <c r="K26" s="19">
        <v>1</v>
      </c>
      <c r="N26" s="11" t="s">
        <v>981</v>
      </c>
      <c r="O26" s="11" t="s">
        <v>45</v>
      </c>
      <c r="P26" s="11" t="s">
        <v>65</v>
      </c>
      <c r="Q26" s="11" t="s">
        <v>219</v>
      </c>
      <c r="R26" s="20">
        <f>(42004+(3*365))+112</f>
        <v>43211</v>
      </c>
      <c r="S26" s="17">
        <v>5</v>
      </c>
      <c r="T26" s="17">
        <v>2230</v>
      </c>
    </row>
    <row r="27" spans="1:20" x14ac:dyDescent="0.2">
      <c r="A27" s="11" t="s">
        <v>378</v>
      </c>
      <c r="B27" s="14" t="s">
        <v>51</v>
      </c>
      <c r="C27" s="11" t="s">
        <v>59</v>
      </c>
      <c r="D27" s="15">
        <v>105708355</v>
      </c>
      <c r="E27" s="11" t="s">
        <v>29</v>
      </c>
      <c r="F27" s="20">
        <v>38845</v>
      </c>
      <c r="G27" s="16" t="str">
        <f t="shared" si="0"/>
        <v>May</v>
      </c>
      <c r="H27" s="2">
        <f t="shared" ca="1" si="1"/>
        <v>13</v>
      </c>
      <c r="I27" s="17" t="s">
        <v>87</v>
      </c>
      <c r="J27" s="18">
        <v>95864</v>
      </c>
      <c r="K27" s="19">
        <v>5</v>
      </c>
      <c r="N27" s="11" t="s">
        <v>122</v>
      </c>
      <c r="O27" s="11" t="s">
        <v>89</v>
      </c>
      <c r="P27" s="11" t="s">
        <v>65</v>
      </c>
      <c r="Q27" s="11" t="s">
        <v>25</v>
      </c>
      <c r="R27" s="20">
        <f>(41671+(3*365))+112</f>
        <v>42878</v>
      </c>
      <c r="S27" s="17">
        <v>6</v>
      </c>
      <c r="T27" s="21">
        <v>3350</v>
      </c>
    </row>
    <row r="28" spans="1:20" x14ac:dyDescent="0.2">
      <c r="A28" s="11" t="s">
        <v>66</v>
      </c>
      <c r="B28" s="14" t="s">
        <v>43</v>
      </c>
      <c r="C28" s="11" t="s">
        <v>62</v>
      </c>
      <c r="D28" s="15">
        <v>767961463</v>
      </c>
      <c r="E28" s="11" t="s">
        <v>21</v>
      </c>
      <c r="F28" s="20">
        <v>39633</v>
      </c>
      <c r="G28" s="16" t="str">
        <f t="shared" si="0"/>
        <v>July</v>
      </c>
      <c r="H28" s="2">
        <f t="shared" ca="1" si="1"/>
        <v>10</v>
      </c>
      <c r="I28" s="17"/>
      <c r="J28" s="18">
        <v>103532</v>
      </c>
      <c r="K28" s="19">
        <v>3</v>
      </c>
      <c r="N28" s="11" t="s">
        <v>296</v>
      </c>
      <c r="O28" s="11" t="s">
        <v>64</v>
      </c>
      <c r="P28" s="11" t="s">
        <v>33</v>
      </c>
      <c r="Q28" s="11" t="s">
        <v>25</v>
      </c>
      <c r="R28" s="20">
        <f>(41741+(3*365))+112</f>
        <v>42948</v>
      </c>
      <c r="S28" s="17">
        <v>3</v>
      </c>
      <c r="T28" s="17">
        <v>1480</v>
      </c>
    </row>
    <row r="29" spans="1:20" x14ac:dyDescent="0.2">
      <c r="A29" s="11" t="s">
        <v>135</v>
      </c>
      <c r="B29" s="14" t="s">
        <v>43</v>
      </c>
      <c r="C29" s="11" t="s">
        <v>136</v>
      </c>
      <c r="D29" s="15">
        <v>484442635</v>
      </c>
      <c r="E29" s="11" t="s">
        <v>21</v>
      </c>
      <c r="F29" s="20">
        <v>36023</v>
      </c>
      <c r="G29" s="16" t="str">
        <f t="shared" si="0"/>
        <v>August</v>
      </c>
      <c r="H29" s="2">
        <f t="shared" ca="1" si="1"/>
        <v>20</v>
      </c>
      <c r="I29" s="17"/>
      <c r="J29" s="18">
        <v>31077</v>
      </c>
      <c r="K29" s="19">
        <v>4</v>
      </c>
      <c r="N29" s="11" t="s">
        <v>1527</v>
      </c>
      <c r="O29" s="11" t="s">
        <v>32</v>
      </c>
      <c r="P29" s="11" t="s">
        <v>40</v>
      </c>
      <c r="Q29" s="11" t="s">
        <v>25</v>
      </c>
      <c r="R29" s="20">
        <f>(42218+(3*365))+112</f>
        <v>43425</v>
      </c>
      <c r="S29" s="17">
        <v>7</v>
      </c>
      <c r="T29" s="17">
        <v>3820</v>
      </c>
    </row>
    <row r="30" spans="1:20" x14ac:dyDescent="0.2">
      <c r="A30" s="11" t="s">
        <v>837</v>
      </c>
      <c r="B30" s="14" t="s">
        <v>51</v>
      </c>
      <c r="C30" s="11" t="s">
        <v>86</v>
      </c>
      <c r="D30" s="15">
        <v>788451186</v>
      </c>
      <c r="E30" s="11" t="s">
        <v>21</v>
      </c>
      <c r="F30" s="20">
        <v>41352</v>
      </c>
      <c r="G30" s="16" t="str">
        <f t="shared" si="0"/>
        <v>March</v>
      </c>
      <c r="H30" s="2">
        <f t="shared" ca="1" si="1"/>
        <v>6</v>
      </c>
      <c r="I30" s="17"/>
      <c r="J30" s="18">
        <v>77652</v>
      </c>
      <c r="K30" s="19">
        <v>3</v>
      </c>
      <c r="N30" s="11" t="s">
        <v>644</v>
      </c>
      <c r="O30" s="11" t="s">
        <v>125</v>
      </c>
      <c r="P30" s="11" t="s">
        <v>65</v>
      </c>
      <c r="Q30" s="11" t="s">
        <v>34</v>
      </c>
      <c r="R30" s="20">
        <f>(41888+(3*365))+112</f>
        <v>43095</v>
      </c>
      <c r="S30" s="17">
        <v>11</v>
      </c>
      <c r="T30" s="17">
        <v>5775</v>
      </c>
    </row>
    <row r="31" spans="1:20" x14ac:dyDescent="0.2">
      <c r="A31" s="11" t="s">
        <v>1494</v>
      </c>
      <c r="B31" s="14" t="s">
        <v>27</v>
      </c>
      <c r="C31" s="11" t="s">
        <v>152</v>
      </c>
      <c r="D31" s="15">
        <v>771110153</v>
      </c>
      <c r="E31" s="11" t="s">
        <v>29</v>
      </c>
      <c r="F31" s="20">
        <v>42139</v>
      </c>
      <c r="G31" s="16" t="str">
        <f t="shared" si="0"/>
        <v>May</v>
      </c>
      <c r="H31" s="2">
        <f t="shared" ca="1" si="1"/>
        <v>4</v>
      </c>
      <c r="I31" s="17" t="s">
        <v>47</v>
      </c>
      <c r="J31" s="18">
        <v>33723</v>
      </c>
      <c r="K31" s="19">
        <v>3</v>
      </c>
      <c r="N31" s="11" t="s">
        <v>1201</v>
      </c>
      <c r="O31" s="11" t="s">
        <v>23</v>
      </c>
      <c r="P31" s="11" t="s">
        <v>33</v>
      </c>
      <c r="Q31" s="11" t="s">
        <v>120</v>
      </c>
      <c r="R31" s="20">
        <f>(42090+(3*365))+112</f>
        <v>43297</v>
      </c>
      <c r="S31" s="17">
        <v>4</v>
      </c>
      <c r="T31" s="17">
        <v>1385</v>
      </c>
    </row>
    <row r="32" spans="1:20" x14ac:dyDescent="0.2">
      <c r="A32" s="11" t="s">
        <v>407</v>
      </c>
      <c r="B32" s="14" t="s">
        <v>51</v>
      </c>
      <c r="C32" s="4" t="s">
        <v>37</v>
      </c>
      <c r="D32" s="22">
        <v>411526157</v>
      </c>
      <c r="E32" s="4" t="s">
        <v>56</v>
      </c>
      <c r="F32" s="20">
        <v>36702</v>
      </c>
      <c r="G32" s="16" t="str">
        <f t="shared" si="0"/>
        <v>June</v>
      </c>
      <c r="H32" s="2">
        <f t="shared" ca="1" si="1"/>
        <v>18</v>
      </c>
      <c r="I32" s="17"/>
      <c r="J32" s="18">
        <v>48168</v>
      </c>
      <c r="K32" s="19">
        <v>2</v>
      </c>
      <c r="N32" s="11" t="s">
        <v>326</v>
      </c>
      <c r="O32" s="11" t="s">
        <v>23</v>
      </c>
      <c r="P32" s="11" t="s">
        <v>24</v>
      </c>
      <c r="Q32" s="11" t="s">
        <v>41</v>
      </c>
      <c r="R32" s="20">
        <f>(41753+(3*365))+112</f>
        <v>42960</v>
      </c>
      <c r="S32" s="17">
        <v>2</v>
      </c>
      <c r="T32" s="17">
        <v>1125</v>
      </c>
    </row>
    <row r="33" spans="1:20" x14ac:dyDescent="0.2">
      <c r="A33" s="11" t="s">
        <v>1064</v>
      </c>
      <c r="B33" s="14" t="s">
        <v>19</v>
      </c>
      <c r="C33" s="11" t="s">
        <v>214</v>
      </c>
      <c r="D33" s="15">
        <v>147724014</v>
      </c>
      <c r="E33" s="11" t="s">
        <v>29</v>
      </c>
      <c r="F33" s="20">
        <v>38044</v>
      </c>
      <c r="G33" s="16" t="str">
        <f t="shared" si="0"/>
        <v>February</v>
      </c>
      <c r="H33" s="2">
        <f t="shared" ca="1" si="1"/>
        <v>15</v>
      </c>
      <c r="I33" s="17" t="s">
        <v>30</v>
      </c>
      <c r="J33" s="18">
        <v>59765</v>
      </c>
      <c r="K33" s="19">
        <v>2</v>
      </c>
      <c r="N33" s="11" t="s">
        <v>1149</v>
      </c>
      <c r="O33" s="11" t="s">
        <v>32</v>
      </c>
      <c r="P33" s="11" t="s">
        <v>24</v>
      </c>
      <c r="Q33" s="11" t="s">
        <v>34</v>
      </c>
      <c r="R33" s="20">
        <f>(42058+(3*365))+112</f>
        <v>43265</v>
      </c>
      <c r="S33" s="17">
        <v>19</v>
      </c>
      <c r="T33" s="17">
        <v>5700</v>
      </c>
    </row>
    <row r="34" spans="1:20" x14ac:dyDescent="0.2">
      <c r="A34" s="11" t="s">
        <v>279</v>
      </c>
      <c r="B34" s="14" t="s">
        <v>19</v>
      </c>
      <c r="C34" s="11" t="s">
        <v>28</v>
      </c>
      <c r="D34" s="15">
        <v>324622113</v>
      </c>
      <c r="E34" s="11" t="s">
        <v>80</v>
      </c>
      <c r="F34" s="20">
        <v>43372</v>
      </c>
      <c r="G34" s="16" t="str">
        <f t="shared" si="0"/>
        <v>September</v>
      </c>
      <c r="H34" s="2">
        <f t="shared" ca="1" si="1"/>
        <v>0</v>
      </c>
      <c r="I34" s="17" t="s">
        <v>30</v>
      </c>
      <c r="J34" s="18">
        <v>38644</v>
      </c>
      <c r="K34" s="19">
        <v>1</v>
      </c>
      <c r="N34" s="11" t="s">
        <v>175</v>
      </c>
      <c r="O34" s="11" t="s">
        <v>23</v>
      </c>
      <c r="P34" s="11" t="s">
        <v>65</v>
      </c>
      <c r="Q34" s="11" t="s">
        <v>120</v>
      </c>
      <c r="R34" s="20">
        <f>(41686+(3*365))+112</f>
        <v>42893</v>
      </c>
      <c r="S34" s="17">
        <v>1</v>
      </c>
      <c r="T34" s="21">
        <v>520</v>
      </c>
    </row>
    <row r="35" spans="1:20" x14ac:dyDescent="0.2">
      <c r="A35" s="11" t="s">
        <v>926</v>
      </c>
      <c r="B35" s="14" t="s">
        <v>36</v>
      </c>
      <c r="C35" s="11" t="s">
        <v>20</v>
      </c>
      <c r="D35" s="15">
        <v>964243524</v>
      </c>
      <c r="E35" s="11" t="s">
        <v>29</v>
      </c>
      <c r="F35" s="20">
        <v>37852</v>
      </c>
      <c r="G35" s="16" t="str">
        <f t="shared" si="0"/>
        <v>August</v>
      </c>
      <c r="H35" s="2">
        <f t="shared" ca="1" si="1"/>
        <v>15</v>
      </c>
      <c r="I35" s="17" t="s">
        <v>47</v>
      </c>
      <c r="J35" s="18">
        <v>91652</v>
      </c>
      <c r="K35" s="19">
        <v>5</v>
      </c>
      <c r="N35" s="11" t="s">
        <v>1583</v>
      </c>
      <c r="O35" s="11" t="s">
        <v>45</v>
      </c>
      <c r="P35" s="11" t="s">
        <v>65</v>
      </c>
      <c r="Q35" s="11" t="s">
        <v>25</v>
      </c>
      <c r="R35" s="20">
        <f>(42251+(3*365))+112</f>
        <v>43458</v>
      </c>
      <c r="S35" s="17">
        <v>7</v>
      </c>
      <c r="T35" s="17">
        <v>2340</v>
      </c>
    </row>
    <row r="36" spans="1:20" x14ac:dyDescent="0.2">
      <c r="A36" s="11" t="s">
        <v>1296</v>
      </c>
      <c r="B36" s="14" t="s">
        <v>43</v>
      </c>
      <c r="C36" s="11" t="s">
        <v>145</v>
      </c>
      <c r="D36" s="15">
        <v>291274360</v>
      </c>
      <c r="E36" s="11" t="s">
        <v>29</v>
      </c>
      <c r="F36" s="20">
        <v>38937</v>
      </c>
      <c r="G36" s="16" t="str">
        <f t="shared" si="0"/>
        <v>August</v>
      </c>
      <c r="H36" s="2">
        <f t="shared" ca="1" si="1"/>
        <v>12</v>
      </c>
      <c r="I36" s="17" t="s">
        <v>30</v>
      </c>
      <c r="J36" s="18">
        <v>90999</v>
      </c>
      <c r="K36" s="19">
        <v>5</v>
      </c>
      <c r="N36" s="11" t="s">
        <v>153</v>
      </c>
      <c r="O36" s="11" t="s">
        <v>64</v>
      </c>
      <c r="P36" s="11" t="s">
        <v>65</v>
      </c>
      <c r="Q36" s="11" t="s">
        <v>25</v>
      </c>
      <c r="R36" s="20">
        <f>(41679+(3*365))+112</f>
        <v>42886</v>
      </c>
      <c r="S36" s="17">
        <v>1</v>
      </c>
      <c r="T36" s="21">
        <v>565</v>
      </c>
    </row>
    <row r="37" spans="1:20" x14ac:dyDescent="0.2">
      <c r="A37" s="11" t="s">
        <v>580</v>
      </c>
      <c r="B37" s="14" t="s">
        <v>83</v>
      </c>
      <c r="C37" s="11" t="s">
        <v>214</v>
      </c>
      <c r="D37" s="15">
        <v>993383806</v>
      </c>
      <c r="E37" s="11" t="s">
        <v>56</v>
      </c>
      <c r="F37" s="20">
        <v>38923</v>
      </c>
      <c r="G37" s="16" t="str">
        <f t="shared" si="0"/>
        <v>July</v>
      </c>
      <c r="H37" s="2">
        <f t="shared" ca="1" si="1"/>
        <v>12</v>
      </c>
      <c r="I37" s="17"/>
      <c r="J37" s="18">
        <v>50776</v>
      </c>
      <c r="K37" s="19">
        <v>4</v>
      </c>
      <c r="N37" s="11" t="s">
        <v>527</v>
      </c>
      <c r="O37" s="11" t="s">
        <v>78</v>
      </c>
      <c r="P37" s="11" t="s">
        <v>65</v>
      </c>
      <c r="Q37" s="11" t="s">
        <v>120</v>
      </c>
      <c r="R37" s="20">
        <f>(41840+(3*365))+112</f>
        <v>43047</v>
      </c>
      <c r="S37" s="17">
        <v>2</v>
      </c>
      <c r="T37" s="17">
        <v>695</v>
      </c>
    </row>
    <row r="38" spans="1:20" x14ac:dyDescent="0.2">
      <c r="A38" s="11" t="s">
        <v>532</v>
      </c>
      <c r="B38" s="14" t="s">
        <v>19</v>
      </c>
      <c r="C38" s="11" t="s">
        <v>214</v>
      </c>
      <c r="D38" s="15">
        <v>470719383</v>
      </c>
      <c r="E38" s="11" t="s">
        <v>29</v>
      </c>
      <c r="F38" s="20">
        <v>38865</v>
      </c>
      <c r="G38" s="16" t="str">
        <f t="shared" si="0"/>
        <v>May</v>
      </c>
      <c r="H38" s="2">
        <f t="shared" ca="1" si="1"/>
        <v>13</v>
      </c>
      <c r="I38" s="17" t="s">
        <v>47</v>
      </c>
      <c r="J38" s="18">
        <v>101412</v>
      </c>
      <c r="K38" s="19">
        <v>5</v>
      </c>
      <c r="N38" s="11" t="s">
        <v>1473</v>
      </c>
      <c r="O38" s="11" t="s">
        <v>75</v>
      </c>
      <c r="P38" s="11" t="s">
        <v>24</v>
      </c>
      <c r="Q38" s="11" t="s">
        <v>34</v>
      </c>
      <c r="R38" s="20">
        <f>(42194+(3*365))+112</f>
        <v>43401</v>
      </c>
      <c r="S38" s="17">
        <v>6</v>
      </c>
      <c r="T38" s="17">
        <v>3360</v>
      </c>
    </row>
    <row r="39" spans="1:20" x14ac:dyDescent="0.2">
      <c r="A39" s="11" t="s">
        <v>68</v>
      </c>
      <c r="B39" s="14" t="s">
        <v>27</v>
      </c>
      <c r="C39" s="11" t="s">
        <v>62</v>
      </c>
      <c r="D39" s="15">
        <v>542051793</v>
      </c>
      <c r="E39" s="11" t="s">
        <v>29</v>
      </c>
      <c r="F39" s="20">
        <v>39116</v>
      </c>
      <c r="G39" s="16" t="str">
        <f t="shared" si="0"/>
        <v>February</v>
      </c>
      <c r="H39" s="2">
        <f t="shared" ca="1" si="1"/>
        <v>12</v>
      </c>
      <c r="I39" s="17" t="s">
        <v>47</v>
      </c>
      <c r="J39" s="18">
        <v>101453</v>
      </c>
      <c r="K39" s="19">
        <v>1</v>
      </c>
      <c r="N39" s="11" t="s">
        <v>547</v>
      </c>
      <c r="O39" s="11" t="s">
        <v>89</v>
      </c>
      <c r="P39" s="11" t="s">
        <v>33</v>
      </c>
      <c r="Q39" s="11" t="s">
        <v>41</v>
      </c>
      <c r="R39" s="20">
        <f>(41846+(3*365))+112</f>
        <v>43053</v>
      </c>
      <c r="S39" s="17">
        <v>14</v>
      </c>
      <c r="T39" s="17">
        <v>4200</v>
      </c>
    </row>
    <row r="40" spans="1:20" x14ac:dyDescent="0.2">
      <c r="A40" s="11" t="s">
        <v>1344</v>
      </c>
      <c r="B40" s="14" t="s">
        <v>19</v>
      </c>
      <c r="C40" s="11" t="s">
        <v>86</v>
      </c>
      <c r="D40" s="15">
        <v>626767704</v>
      </c>
      <c r="E40" s="11" t="s">
        <v>21</v>
      </c>
      <c r="F40" s="20">
        <v>38632</v>
      </c>
      <c r="G40" s="16" t="str">
        <f t="shared" si="0"/>
        <v>October</v>
      </c>
      <c r="H40" s="2">
        <f t="shared" ca="1" si="1"/>
        <v>13</v>
      </c>
      <c r="I40" s="17"/>
      <c r="J40" s="18">
        <v>105206</v>
      </c>
      <c r="K40" s="19">
        <v>5</v>
      </c>
      <c r="N40" s="11" t="s">
        <v>497</v>
      </c>
      <c r="O40" s="11" t="s">
        <v>23</v>
      </c>
      <c r="P40" s="11" t="s">
        <v>24</v>
      </c>
      <c r="Q40" s="11" t="s">
        <v>120</v>
      </c>
      <c r="R40" s="20">
        <f>(41826+(3*365))+112</f>
        <v>43033</v>
      </c>
      <c r="S40" s="17">
        <v>7</v>
      </c>
      <c r="T40" s="17">
        <v>2385</v>
      </c>
    </row>
    <row r="41" spans="1:20" x14ac:dyDescent="0.2">
      <c r="A41" s="11" t="s">
        <v>1058</v>
      </c>
      <c r="B41" s="14" t="s">
        <v>27</v>
      </c>
      <c r="C41" s="11" t="s">
        <v>214</v>
      </c>
      <c r="D41" s="15">
        <v>243062914</v>
      </c>
      <c r="E41" s="11" t="s">
        <v>29</v>
      </c>
      <c r="F41" s="20">
        <v>38055</v>
      </c>
      <c r="G41" s="16" t="str">
        <f t="shared" si="0"/>
        <v>March</v>
      </c>
      <c r="H41" s="2">
        <f t="shared" ca="1" si="1"/>
        <v>15</v>
      </c>
      <c r="I41" s="17" t="s">
        <v>47</v>
      </c>
      <c r="J41" s="18">
        <v>99158</v>
      </c>
      <c r="K41" s="19">
        <v>3</v>
      </c>
      <c r="N41" s="11" t="s">
        <v>1119</v>
      </c>
      <c r="O41" s="11" t="s">
        <v>75</v>
      </c>
      <c r="P41" s="11" t="s">
        <v>65</v>
      </c>
      <c r="Q41" s="11" t="s">
        <v>120</v>
      </c>
      <c r="R41" s="20">
        <f>(42043+(3*365))+112</f>
        <v>43250</v>
      </c>
      <c r="S41" s="17">
        <v>6</v>
      </c>
      <c r="T41" s="17">
        <v>3190</v>
      </c>
    </row>
    <row r="42" spans="1:20" x14ac:dyDescent="0.2">
      <c r="A42" s="11" t="s">
        <v>1018</v>
      </c>
      <c r="B42" s="14" t="s">
        <v>51</v>
      </c>
      <c r="C42" s="11" t="s">
        <v>20</v>
      </c>
      <c r="D42" s="15">
        <v>344090854</v>
      </c>
      <c r="E42" s="11" t="s">
        <v>29</v>
      </c>
      <c r="F42" s="20">
        <v>38053</v>
      </c>
      <c r="G42" s="16" t="str">
        <f t="shared" si="0"/>
        <v>March</v>
      </c>
      <c r="H42" s="2">
        <f t="shared" ca="1" si="1"/>
        <v>15</v>
      </c>
      <c r="I42" s="17" t="s">
        <v>71</v>
      </c>
      <c r="J42" s="18">
        <v>110862</v>
      </c>
      <c r="K42" s="19">
        <v>5</v>
      </c>
      <c r="N42" s="11" t="s">
        <v>1607</v>
      </c>
      <c r="O42" s="11" t="s">
        <v>78</v>
      </c>
      <c r="P42" s="11" t="s">
        <v>40</v>
      </c>
      <c r="Q42" s="11" t="s">
        <v>34</v>
      </c>
      <c r="R42" s="20">
        <f>(42271+(3*365))+112</f>
        <v>43478</v>
      </c>
      <c r="S42" s="17">
        <v>19</v>
      </c>
      <c r="T42" s="17">
        <v>7369</v>
      </c>
    </row>
    <row r="43" spans="1:20" x14ac:dyDescent="0.2">
      <c r="A43" s="11" t="s">
        <v>900</v>
      </c>
      <c r="B43" s="14" t="s">
        <v>27</v>
      </c>
      <c r="C43" s="11" t="s">
        <v>136</v>
      </c>
      <c r="D43" s="15">
        <v>933883118</v>
      </c>
      <c r="E43" s="11" t="s">
        <v>21</v>
      </c>
      <c r="F43" s="20">
        <v>37514</v>
      </c>
      <c r="G43" s="16" t="str">
        <f t="shared" si="0"/>
        <v>September</v>
      </c>
      <c r="H43" s="2">
        <f t="shared" ca="1" si="1"/>
        <v>16</v>
      </c>
      <c r="I43" s="17"/>
      <c r="J43" s="18">
        <v>116073</v>
      </c>
      <c r="K43" s="19">
        <v>2</v>
      </c>
      <c r="N43" s="11" t="s">
        <v>406</v>
      </c>
      <c r="O43" s="11" t="s">
        <v>45</v>
      </c>
      <c r="P43" s="11" t="s">
        <v>65</v>
      </c>
      <c r="Q43" s="11" t="s">
        <v>34</v>
      </c>
      <c r="R43" s="20">
        <f>(41788+(3*365))+112</f>
        <v>42995</v>
      </c>
      <c r="S43" s="17">
        <v>14</v>
      </c>
      <c r="T43" s="17">
        <v>7599</v>
      </c>
    </row>
    <row r="44" spans="1:20" x14ac:dyDescent="0.2">
      <c r="A44" s="11" t="s">
        <v>277</v>
      </c>
      <c r="B44" s="14" t="s">
        <v>27</v>
      </c>
      <c r="C44" s="11" t="s">
        <v>265</v>
      </c>
      <c r="D44" s="15">
        <v>495042805</v>
      </c>
      <c r="E44" s="11" t="s">
        <v>21</v>
      </c>
      <c r="F44" s="20">
        <v>43109</v>
      </c>
      <c r="G44" s="16" t="str">
        <f t="shared" si="0"/>
        <v>January</v>
      </c>
      <c r="H44" s="2">
        <f t="shared" ca="1" si="1"/>
        <v>1</v>
      </c>
      <c r="I44" s="17"/>
      <c r="J44" s="18">
        <v>80123</v>
      </c>
      <c r="K44" s="19">
        <v>5</v>
      </c>
      <c r="N44" s="11" t="s">
        <v>1608</v>
      </c>
      <c r="O44" s="11" t="s">
        <v>78</v>
      </c>
      <c r="P44" s="11" t="s">
        <v>24</v>
      </c>
      <c r="Q44" s="11" t="s">
        <v>41</v>
      </c>
      <c r="R44" s="20">
        <f>(42272+(3*365))+112</f>
        <v>43479</v>
      </c>
      <c r="S44" s="17">
        <v>6</v>
      </c>
      <c r="T44" s="17">
        <v>3155</v>
      </c>
    </row>
    <row r="45" spans="1:20" x14ac:dyDescent="0.2">
      <c r="A45" s="11" t="s">
        <v>346</v>
      </c>
      <c r="B45" s="14" t="s">
        <v>27</v>
      </c>
      <c r="C45" s="11" t="s">
        <v>136</v>
      </c>
      <c r="D45" s="15">
        <v>828395582</v>
      </c>
      <c r="E45" s="11" t="s">
        <v>29</v>
      </c>
      <c r="F45" s="20">
        <v>36429</v>
      </c>
      <c r="G45" s="16" t="str">
        <f t="shared" si="0"/>
        <v>September</v>
      </c>
      <c r="H45" s="2">
        <f t="shared" ca="1" si="1"/>
        <v>19</v>
      </c>
      <c r="I45" s="17" t="s">
        <v>71</v>
      </c>
      <c r="J45" s="18">
        <v>96768</v>
      </c>
      <c r="K45" s="19">
        <v>4</v>
      </c>
      <c r="N45" s="11" t="s">
        <v>44</v>
      </c>
      <c r="O45" s="11" t="s">
        <v>45</v>
      </c>
      <c r="P45" s="11" t="s">
        <v>24</v>
      </c>
      <c r="Q45" s="11" t="s">
        <v>41</v>
      </c>
      <c r="R45" s="20">
        <f>(41647+(3*365))+112</f>
        <v>42854</v>
      </c>
      <c r="S45" s="17">
        <v>3</v>
      </c>
      <c r="T45" s="21">
        <v>1670</v>
      </c>
    </row>
    <row r="46" spans="1:20" x14ac:dyDescent="0.2">
      <c r="A46" s="11" t="s">
        <v>763</v>
      </c>
      <c r="B46" s="14" t="s">
        <v>19</v>
      </c>
      <c r="C46" s="11" t="s">
        <v>145</v>
      </c>
      <c r="D46" s="15">
        <v>102159909</v>
      </c>
      <c r="E46" s="11" t="s">
        <v>56</v>
      </c>
      <c r="F46" s="20">
        <v>37201</v>
      </c>
      <c r="G46" s="16" t="str">
        <f t="shared" si="0"/>
        <v>November</v>
      </c>
      <c r="H46" s="2">
        <f t="shared" ca="1" si="1"/>
        <v>17</v>
      </c>
      <c r="I46" s="17"/>
      <c r="J46" s="18">
        <v>49664</v>
      </c>
      <c r="K46" s="19">
        <v>4</v>
      </c>
      <c r="N46" s="11" t="s">
        <v>899</v>
      </c>
      <c r="O46" s="11" t="s">
        <v>32</v>
      </c>
      <c r="P46" s="11" t="s">
        <v>24</v>
      </c>
      <c r="Q46" s="11" t="s">
        <v>34</v>
      </c>
      <c r="R46" s="20">
        <f>(41978+(3*365))+112</f>
        <v>43185</v>
      </c>
      <c r="S46" s="17">
        <v>12</v>
      </c>
      <c r="T46" s="17">
        <v>5854</v>
      </c>
    </row>
    <row r="47" spans="1:20" x14ac:dyDescent="0.2">
      <c r="A47" s="11" t="s">
        <v>246</v>
      </c>
      <c r="B47" s="14" t="s">
        <v>43</v>
      </c>
      <c r="C47" s="11" t="s">
        <v>20</v>
      </c>
      <c r="D47" s="15">
        <v>126492342</v>
      </c>
      <c r="E47" s="11" t="s">
        <v>56</v>
      </c>
      <c r="F47" s="20">
        <v>38915</v>
      </c>
      <c r="G47" s="16" t="str">
        <f t="shared" si="0"/>
        <v>July</v>
      </c>
      <c r="H47" s="2">
        <f t="shared" ca="1" si="1"/>
        <v>12</v>
      </c>
      <c r="I47" s="17"/>
      <c r="J47" s="18">
        <v>24975</v>
      </c>
      <c r="K47" s="19">
        <v>5</v>
      </c>
      <c r="N47" s="11" t="s">
        <v>933</v>
      </c>
      <c r="O47" s="11" t="s">
        <v>64</v>
      </c>
      <c r="P47" s="11" t="s">
        <v>65</v>
      </c>
      <c r="Q47" s="11" t="s">
        <v>219</v>
      </c>
      <c r="R47" s="20">
        <f>(41993+(3*365))+112</f>
        <v>43200</v>
      </c>
      <c r="S47" s="17">
        <v>14</v>
      </c>
      <c r="T47" s="17">
        <v>5000</v>
      </c>
    </row>
    <row r="48" spans="1:20" x14ac:dyDescent="0.2">
      <c r="A48" s="11" t="s">
        <v>354</v>
      </c>
      <c r="B48" s="14" t="s">
        <v>19</v>
      </c>
      <c r="C48" s="11" t="s">
        <v>59</v>
      </c>
      <c r="D48" s="15">
        <v>518690148</v>
      </c>
      <c r="E48" s="11" t="s">
        <v>29</v>
      </c>
      <c r="F48" s="20">
        <v>43255</v>
      </c>
      <c r="G48" s="16" t="str">
        <f t="shared" si="0"/>
        <v>June</v>
      </c>
      <c r="H48" s="2">
        <f t="shared" ca="1" si="1"/>
        <v>1</v>
      </c>
      <c r="I48" s="17" t="s">
        <v>38</v>
      </c>
      <c r="J48" s="18">
        <v>44064</v>
      </c>
      <c r="K48" s="19">
        <v>4</v>
      </c>
      <c r="N48" s="11" t="s">
        <v>345</v>
      </c>
      <c r="O48" s="11" t="s">
        <v>32</v>
      </c>
      <c r="P48" s="11" t="s">
        <v>40</v>
      </c>
      <c r="Q48" s="11" t="s">
        <v>219</v>
      </c>
      <c r="R48" s="20">
        <f>(41759+(3*365))+112</f>
        <v>42966</v>
      </c>
      <c r="S48" s="17">
        <v>8</v>
      </c>
      <c r="T48" s="17">
        <v>3480</v>
      </c>
    </row>
    <row r="49" spans="1:20" x14ac:dyDescent="0.2">
      <c r="A49" s="11" t="s">
        <v>1320</v>
      </c>
      <c r="B49" s="14" t="s">
        <v>19</v>
      </c>
      <c r="C49" s="11" t="s">
        <v>214</v>
      </c>
      <c r="D49" s="15">
        <v>853268713</v>
      </c>
      <c r="E49" s="11" t="s">
        <v>29</v>
      </c>
      <c r="F49" s="20">
        <v>38445</v>
      </c>
      <c r="G49" s="16" t="str">
        <f t="shared" si="0"/>
        <v>April</v>
      </c>
      <c r="H49" s="2">
        <f t="shared" ca="1" si="1"/>
        <v>14</v>
      </c>
      <c r="I49" s="17" t="s">
        <v>47</v>
      </c>
      <c r="J49" s="18">
        <v>81378</v>
      </c>
      <c r="K49" s="19">
        <v>1</v>
      </c>
      <c r="N49" s="11" t="s">
        <v>1515</v>
      </c>
      <c r="O49" s="11" t="s">
        <v>75</v>
      </c>
      <c r="P49" s="11" t="s">
        <v>65</v>
      </c>
      <c r="Q49" s="11" t="s">
        <v>25</v>
      </c>
      <c r="R49" s="20">
        <f>(42213+(3*365))+112</f>
        <v>43420</v>
      </c>
      <c r="S49" s="17">
        <v>14</v>
      </c>
      <c r="T49" s="17">
        <v>8370</v>
      </c>
    </row>
    <row r="50" spans="1:20" x14ac:dyDescent="0.2">
      <c r="A50" s="11" t="s">
        <v>886</v>
      </c>
      <c r="B50" s="14" t="s">
        <v>36</v>
      </c>
      <c r="C50" s="11" t="s">
        <v>249</v>
      </c>
      <c r="D50" s="15">
        <v>113377726</v>
      </c>
      <c r="E50" s="11" t="s">
        <v>29</v>
      </c>
      <c r="F50" s="20">
        <v>39322</v>
      </c>
      <c r="G50" s="16" t="str">
        <f t="shared" si="0"/>
        <v>August</v>
      </c>
      <c r="H50" s="2">
        <f t="shared" ca="1" si="1"/>
        <v>11</v>
      </c>
      <c r="I50" s="17" t="s">
        <v>30</v>
      </c>
      <c r="J50" s="18">
        <v>92354</v>
      </c>
      <c r="K50" s="19">
        <v>5</v>
      </c>
      <c r="N50" s="11" t="s">
        <v>1379</v>
      </c>
      <c r="O50" s="11" t="s">
        <v>32</v>
      </c>
      <c r="P50" s="11" t="s">
        <v>65</v>
      </c>
      <c r="Q50" s="11" t="s">
        <v>219</v>
      </c>
      <c r="R50" s="20">
        <f>(42157+(3*365))+112</f>
        <v>43364</v>
      </c>
      <c r="S50" s="17">
        <v>3</v>
      </c>
      <c r="T50" s="17">
        <v>1385</v>
      </c>
    </row>
    <row r="51" spans="1:20" x14ac:dyDescent="0.2">
      <c r="A51" s="11" t="s">
        <v>338</v>
      </c>
      <c r="B51" s="14" t="s">
        <v>43</v>
      </c>
      <c r="C51" s="11" t="s">
        <v>336</v>
      </c>
      <c r="D51" s="15">
        <v>914041569</v>
      </c>
      <c r="E51" s="11" t="s">
        <v>29</v>
      </c>
      <c r="F51" s="20">
        <v>43256</v>
      </c>
      <c r="G51" s="16" t="str">
        <f t="shared" si="0"/>
        <v>June</v>
      </c>
      <c r="H51" s="2">
        <f t="shared" ca="1" si="1"/>
        <v>1</v>
      </c>
      <c r="I51" s="17" t="s">
        <v>30</v>
      </c>
      <c r="J51" s="18">
        <v>106853</v>
      </c>
      <c r="K51" s="19">
        <v>2</v>
      </c>
      <c r="N51" s="11" t="s">
        <v>1287</v>
      </c>
      <c r="O51" s="11" t="s">
        <v>23</v>
      </c>
      <c r="P51" s="11" t="s">
        <v>65</v>
      </c>
      <c r="Q51" s="11" t="s">
        <v>34</v>
      </c>
      <c r="R51" s="20">
        <f>(42127+(3*365))+112</f>
        <v>43334</v>
      </c>
      <c r="S51" s="17">
        <v>20</v>
      </c>
      <c r="T51" s="17">
        <v>8580</v>
      </c>
    </row>
    <row r="52" spans="1:20" x14ac:dyDescent="0.2">
      <c r="A52" s="11" t="s">
        <v>1454</v>
      </c>
      <c r="B52" s="14" t="s">
        <v>51</v>
      </c>
      <c r="C52" s="11" t="s">
        <v>152</v>
      </c>
      <c r="D52" s="15">
        <v>995590510</v>
      </c>
      <c r="E52" s="11" t="s">
        <v>21</v>
      </c>
      <c r="F52" s="20">
        <v>43494</v>
      </c>
      <c r="G52" s="16" t="str">
        <f t="shared" si="0"/>
        <v>January</v>
      </c>
      <c r="H52" s="2">
        <f t="shared" ca="1" si="1"/>
        <v>0</v>
      </c>
      <c r="I52" s="17"/>
      <c r="J52" s="18">
        <v>58037</v>
      </c>
      <c r="K52" s="19">
        <v>4</v>
      </c>
      <c r="N52" s="11" t="s">
        <v>959</v>
      </c>
      <c r="O52" s="11" t="s">
        <v>125</v>
      </c>
      <c r="P52" s="11" t="s">
        <v>33</v>
      </c>
      <c r="Q52" s="11" t="s">
        <v>120</v>
      </c>
      <c r="R52" s="20">
        <f>(42001+(3*365))+112</f>
        <v>43208</v>
      </c>
      <c r="S52" s="17">
        <v>3</v>
      </c>
      <c r="T52" s="17">
        <v>1365</v>
      </c>
    </row>
    <row r="53" spans="1:20" x14ac:dyDescent="0.2">
      <c r="A53" s="11" t="s">
        <v>990</v>
      </c>
      <c r="B53" s="14" t="s">
        <v>27</v>
      </c>
      <c r="C53" s="11" t="s">
        <v>254</v>
      </c>
      <c r="D53" s="15">
        <v>842774592</v>
      </c>
      <c r="E53" s="11" t="s">
        <v>56</v>
      </c>
      <c r="F53" s="20">
        <v>41000</v>
      </c>
      <c r="G53" s="16" t="str">
        <f t="shared" si="0"/>
        <v>April</v>
      </c>
      <c r="H53" s="2">
        <f t="shared" ca="1" si="1"/>
        <v>7</v>
      </c>
      <c r="I53" s="17"/>
      <c r="J53" s="18">
        <v>45241</v>
      </c>
      <c r="K53" s="19">
        <v>4</v>
      </c>
      <c r="N53" s="11" t="s">
        <v>1037</v>
      </c>
      <c r="O53" s="11" t="s">
        <v>23</v>
      </c>
      <c r="P53" s="11" t="s">
        <v>40</v>
      </c>
      <c r="Q53" s="11" t="s">
        <v>34</v>
      </c>
      <c r="R53" s="20">
        <f>(42019+(3*365))+112</f>
        <v>43226</v>
      </c>
      <c r="S53" s="17">
        <v>13</v>
      </c>
      <c r="T53" s="17">
        <v>4371</v>
      </c>
    </row>
    <row r="54" spans="1:20" x14ac:dyDescent="0.2">
      <c r="A54" s="11" t="s">
        <v>815</v>
      </c>
      <c r="B54" s="14" t="s">
        <v>27</v>
      </c>
      <c r="C54" s="11" t="s">
        <v>20</v>
      </c>
      <c r="D54" s="15">
        <v>496260023</v>
      </c>
      <c r="E54" s="11" t="s">
        <v>29</v>
      </c>
      <c r="F54" s="20">
        <v>37330</v>
      </c>
      <c r="G54" s="16" t="str">
        <f t="shared" si="0"/>
        <v>March</v>
      </c>
      <c r="H54" s="2">
        <f t="shared" ca="1" si="1"/>
        <v>17</v>
      </c>
      <c r="I54" s="17" t="s">
        <v>87</v>
      </c>
      <c r="J54" s="18">
        <v>100805</v>
      </c>
      <c r="K54" s="19">
        <v>5</v>
      </c>
      <c r="N54" s="11" t="s">
        <v>1115</v>
      </c>
      <c r="O54" s="11" t="s">
        <v>117</v>
      </c>
      <c r="P54" s="11" t="s">
        <v>33</v>
      </c>
      <c r="Q54" s="11" t="s">
        <v>25</v>
      </c>
      <c r="R54" s="20">
        <f>(42042+(3*365))+112</f>
        <v>43249</v>
      </c>
      <c r="S54" s="17">
        <v>3</v>
      </c>
      <c r="T54" s="17">
        <v>985</v>
      </c>
    </row>
    <row r="55" spans="1:20" x14ac:dyDescent="0.2">
      <c r="A55" s="11" t="s">
        <v>994</v>
      </c>
      <c r="B55" s="14" t="s">
        <v>51</v>
      </c>
      <c r="C55" s="11" t="s">
        <v>254</v>
      </c>
      <c r="D55" s="15">
        <v>719165738</v>
      </c>
      <c r="E55" s="11" t="s">
        <v>21</v>
      </c>
      <c r="F55" s="20">
        <v>43324</v>
      </c>
      <c r="G55" s="16" t="str">
        <f t="shared" si="0"/>
        <v>August</v>
      </c>
      <c r="H55" s="2">
        <f t="shared" ca="1" si="1"/>
        <v>0</v>
      </c>
      <c r="I55" s="17"/>
      <c r="J55" s="18">
        <v>53244</v>
      </c>
      <c r="K55" s="19">
        <v>4</v>
      </c>
      <c r="N55" s="11" t="s">
        <v>1389</v>
      </c>
      <c r="O55" s="11" t="s">
        <v>117</v>
      </c>
      <c r="P55" s="11" t="s">
        <v>65</v>
      </c>
      <c r="Q55" s="11" t="s">
        <v>34</v>
      </c>
      <c r="R55" s="20">
        <f>(42161+(3*365))+112</f>
        <v>43368</v>
      </c>
      <c r="S55" s="17">
        <v>6</v>
      </c>
      <c r="T55" s="17">
        <v>1920</v>
      </c>
    </row>
    <row r="56" spans="1:20" x14ac:dyDescent="0.2">
      <c r="A56" s="11" t="s">
        <v>232</v>
      </c>
      <c r="B56" s="14" t="s">
        <v>19</v>
      </c>
      <c r="C56" s="11" t="s">
        <v>86</v>
      </c>
      <c r="D56" s="15">
        <v>555025137</v>
      </c>
      <c r="E56" s="11" t="s">
        <v>80</v>
      </c>
      <c r="F56" s="20">
        <v>36175</v>
      </c>
      <c r="G56" s="16" t="str">
        <f t="shared" si="0"/>
        <v>January</v>
      </c>
      <c r="H56" s="2">
        <f t="shared" ca="1" si="1"/>
        <v>20</v>
      </c>
      <c r="I56" s="17" t="s">
        <v>38</v>
      </c>
      <c r="J56" s="18">
        <v>17672</v>
      </c>
      <c r="K56" s="19">
        <v>4</v>
      </c>
      <c r="N56" s="11" t="s">
        <v>1467</v>
      </c>
      <c r="O56" s="11" t="s">
        <v>78</v>
      </c>
      <c r="P56" s="11" t="s">
        <v>65</v>
      </c>
      <c r="Q56" s="11" t="s">
        <v>120</v>
      </c>
      <c r="R56" s="20">
        <f>(42193+(3*365))+112</f>
        <v>43400</v>
      </c>
      <c r="S56" s="17">
        <v>14</v>
      </c>
      <c r="T56" s="17">
        <v>4915</v>
      </c>
    </row>
    <row r="57" spans="1:20" x14ac:dyDescent="0.2">
      <c r="A57" s="11" t="s">
        <v>1486</v>
      </c>
      <c r="B57" s="14" t="s">
        <v>43</v>
      </c>
      <c r="C57" s="11" t="s">
        <v>152</v>
      </c>
      <c r="D57" s="15">
        <v>683670378</v>
      </c>
      <c r="E57" s="11" t="s">
        <v>29</v>
      </c>
      <c r="F57" s="20">
        <v>41203</v>
      </c>
      <c r="G57" s="16" t="str">
        <f t="shared" si="0"/>
        <v>October</v>
      </c>
      <c r="H57" s="2">
        <f t="shared" ca="1" si="1"/>
        <v>6</v>
      </c>
      <c r="I57" s="17" t="s">
        <v>30</v>
      </c>
      <c r="J57" s="18">
        <v>109809</v>
      </c>
      <c r="K57" s="19">
        <v>2</v>
      </c>
      <c r="N57" s="11" t="s">
        <v>1525</v>
      </c>
      <c r="O57" s="11" t="s">
        <v>49</v>
      </c>
      <c r="P57" s="11" t="s">
        <v>24</v>
      </c>
      <c r="Q57" s="11" t="s">
        <v>219</v>
      </c>
      <c r="R57" s="20">
        <f>(42217+(3*365))+112</f>
        <v>43424</v>
      </c>
      <c r="S57" s="17">
        <v>9</v>
      </c>
      <c r="T57" s="17">
        <v>2815</v>
      </c>
    </row>
    <row r="58" spans="1:20" x14ac:dyDescent="0.2">
      <c r="A58" s="11" t="s">
        <v>1000</v>
      </c>
      <c r="B58" s="14" t="s">
        <v>19</v>
      </c>
      <c r="C58" s="11" t="s">
        <v>145</v>
      </c>
      <c r="D58" s="15">
        <v>709234421</v>
      </c>
      <c r="E58" s="11" t="s">
        <v>29</v>
      </c>
      <c r="F58" s="20">
        <v>37610</v>
      </c>
      <c r="G58" s="16" t="str">
        <f t="shared" si="0"/>
        <v>December</v>
      </c>
      <c r="H58" s="2">
        <f t="shared" ca="1" si="1"/>
        <v>16</v>
      </c>
      <c r="I58" s="17" t="s">
        <v>47</v>
      </c>
      <c r="J58" s="18">
        <v>52650</v>
      </c>
      <c r="K58" s="19">
        <v>5</v>
      </c>
      <c r="N58" s="11" t="s">
        <v>1682</v>
      </c>
      <c r="O58" s="11" t="s">
        <v>125</v>
      </c>
      <c r="P58" s="11" t="s">
        <v>33</v>
      </c>
      <c r="Q58" s="11" t="s">
        <v>120</v>
      </c>
      <c r="R58" s="20">
        <f>(42333+(3*365))+112</f>
        <v>43540</v>
      </c>
      <c r="S58" s="17">
        <v>10</v>
      </c>
      <c r="T58" s="17">
        <v>3140</v>
      </c>
    </row>
    <row r="59" spans="1:20" x14ac:dyDescent="0.2">
      <c r="A59" s="11" t="s">
        <v>1390</v>
      </c>
      <c r="B59" s="14" t="s">
        <v>27</v>
      </c>
      <c r="C59" s="11" t="s">
        <v>145</v>
      </c>
      <c r="D59" s="15">
        <v>110726520</v>
      </c>
      <c r="E59" s="11" t="s">
        <v>29</v>
      </c>
      <c r="F59" s="20">
        <v>38353</v>
      </c>
      <c r="G59" s="16" t="str">
        <f t="shared" si="0"/>
        <v>January</v>
      </c>
      <c r="H59" s="2">
        <f t="shared" ca="1" si="1"/>
        <v>14</v>
      </c>
      <c r="I59" s="17" t="s">
        <v>47</v>
      </c>
      <c r="J59" s="18">
        <v>106259</v>
      </c>
      <c r="K59" s="19">
        <v>4</v>
      </c>
      <c r="N59" s="11" t="s">
        <v>577</v>
      </c>
      <c r="O59" s="11" t="s">
        <v>49</v>
      </c>
      <c r="P59" s="11" t="s">
        <v>40</v>
      </c>
      <c r="Q59" s="11" t="s">
        <v>120</v>
      </c>
      <c r="R59" s="20">
        <f>(41858+(3*365))+112</f>
        <v>43065</v>
      </c>
      <c r="S59" s="17">
        <v>4</v>
      </c>
      <c r="T59" s="17">
        <v>2005</v>
      </c>
    </row>
    <row r="60" spans="1:20" x14ac:dyDescent="0.2">
      <c r="A60" s="11" t="s">
        <v>1062</v>
      </c>
      <c r="B60" s="14" t="s">
        <v>19</v>
      </c>
      <c r="C60" s="11" t="s">
        <v>214</v>
      </c>
      <c r="D60" s="15">
        <v>687006783</v>
      </c>
      <c r="E60" s="11" t="s">
        <v>21</v>
      </c>
      <c r="F60" s="20">
        <v>38235</v>
      </c>
      <c r="G60" s="16" t="str">
        <f t="shared" si="0"/>
        <v>September</v>
      </c>
      <c r="H60" s="2">
        <f t="shared" ca="1" si="1"/>
        <v>14</v>
      </c>
      <c r="I60" s="17"/>
      <c r="J60" s="18">
        <v>89114</v>
      </c>
      <c r="K60" s="19">
        <v>2</v>
      </c>
      <c r="N60" s="11" t="s">
        <v>1675</v>
      </c>
      <c r="O60" s="11" t="s">
        <v>23</v>
      </c>
      <c r="P60" s="11" t="s">
        <v>65</v>
      </c>
      <c r="Q60" s="11" t="s">
        <v>120</v>
      </c>
      <c r="R60" s="20">
        <f>(42327+(3*365))+112</f>
        <v>43534</v>
      </c>
      <c r="S60" s="17">
        <v>12</v>
      </c>
      <c r="T60" s="17">
        <v>5545</v>
      </c>
    </row>
    <row r="61" spans="1:20" x14ac:dyDescent="0.2">
      <c r="A61" s="11" t="s">
        <v>1212</v>
      </c>
      <c r="B61" s="14" t="s">
        <v>51</v>
      </c>
      <c r="C61" s="11" t="s">
        <v>152</v>
      </c>
      <c r="D61" s="15">
        <v>799754905</v>
      </c>
      <c r="E61" s="11" t="s">
        <v>29</v>
      </c>
      <c r="F61" s="20">
        <v>38163</v>
      </c>
      <c r="G61" s="16" t="str">
        <f t="shared" si="0"/>
        <v>June</v>
      </c>
      <c r="H61" s="2">
        <f t="shared" ca="1" si="1"/>
        <v>14</v>
      </c>
      <c r="I61" s="17" t="s">
        <v>47</v>
      </c>
      <c r="J61" s="18">
        <v>42782</v>
      </c>
      <c r="K61" s="19">
        <v>4</v>
      </c>
      <c r="N61" s="11" t="s">
        <v>1471</v>
      </c>
      <c r="O61" s="11" t="s">
        <v>89</v>
      </c>
      <c r="P61" s="11" t="s">
        <v>65</v>
      </c>
      <c r="Q61" s="11" t="s">
        <v>34</v>
      </c>
      <c r="R61" s="20">
        <f>(42193+(3*365))+112</f>
        <v>43400</v>
      </c>
      <c r="S61" s="17">
        <v>17</v>
      </c>
      <c r="T61" s="17">
        <v>5730</v>
      </c>
    </row>
    <row r="62" spans="1:20" x14ac:dyDescent="0.2">
      <c r="A62" s="11" t="s">
        <v>861</v>
      </c>
      <c r="B62" s="14" t="s">
        <v>51</v>
      </c>
      <c r="C62" s="11" t="s">
        <v>214</v>
      </c>
      <c r="D62" s="15">
        <v>783624212</v>
      </c>
      <c r="E62" s="11" t="s">
        <v>80</v>
      </c>
      <c r="F62" s="20">
        <v>37439</v>
      </c>
      <c r="G62" s="16" t="str">
        <f t="shared" si="0"/>
        <v>July</v>
      </c>
      <c r="H62" s="2">
        <f t="shared" ca="1" si="1"/>
        <v>16</v>
      </c>
      <c r="I62" s="17" t="s">
        <v>87</v>
      </c>
      <c r="J62" s="18">
        <v>20601</v>
      </c>
      <c r="K62" s="19">
        <v>2</v>
      </c>
      <c r="N62" s="11" t="s">
        <v>312</v>
      </c>
      <c r="O62" s="11" t="s">
        <v>114</v>
      </c>
      <c r="P62" s="11" t="s">
        <v>33</v>
      </c>
      <c r="Q62" s="11" t="s">
        <v>41</v>
      </c>
      <c r="R62" s="20">
        <f>(41746+(3*365))+112</f>
        <v>42953</v>
      </c>
      <c r="S62" s="17">
        <v>6</v>
      </c>
      <c r="T62" s="17">
        <v>2040</v>
      </c>
    </row>
    <row r="63" spans="1:20" x14ac:dyDescent="0.2">
      <c r="A63" s="11" t="s">
        <v>1202</v>
      </c>
      <c r="B63" s="14" t="s">
        <v>43</v>
      </c>
      <c r="C63" s="11" t="s">
        <v>136</v>
      </c>
      <c r="D63" s="15">
        <v>151277827</v>
      </c>
      <c r="E63" s="11" t="s">
        <v>29</v>
      </c>
      <c r="F63" s="20">
        <v>42755</v>
      </c>
      <c r="G63" s="16" t="str">
        <f t="shared" si="0"/>
        <v>January</v>
      </c>
      <c r="H63" s="2">
        <f t="shared" ca="1" si="1"/>
        <v>2</v>
      </c>
      <c r="I63" s="17" t="s">
        <v>47</v>
      </c>
      <c r="J63" s="18">
        <v>33467</v>
      </c>
      <c r="K63" s="19">
        <v>3</v>
      </c>
      <c r="N63" s="11" t="s">
        <v>416</v>
      </c>
      <c r="O63" s="11" t="s">
        <v>64</v>
      </c>
      <c r="P63" s="11" t="s">
        <v>65</v>
      </c>
      <c r="Q63" s="11" t="s">
        <v>41</v>
      </c>
      <c r="R63" s="20">
        <f>(41791+(3*365))+112</f>
        <v>42998</v>
      </c>
      <c r="S63" s="17">
        <v>5</v>
      </c>
      <c r="T63" s="17">
        <v>2645</v>
      </c>
    </row>
    <row r="64" spans="1:20" x14ac:dyDescent="0.2">
      <c r="A64" s="11" t="s">
        <v>1318</v>
      </c>
      <c r="B64" s="14" t="s">
        <v>83</v>
      </c>
      <c r="C64" s="11" t="s">
        <v>214</v>
      </c>
      <c r="D64" s="15">
        <v>350104448</v>
      </c>
      <c r="E64" s="11" t="s">
        <v>29</v>
      </c>
      <c r="F64" s="20">
        <v>38385</v>
      </c>
      <c r="G64" s="16" t="str">
        <f t="shared" si="0"/>
        <v>February</v>
      </c>
      <c r="H64" s="2">
        <f t="shared" ca="1" si="1"/>
        <v>14</v>
      </c>
      <c r="I64" s="17" t="s">
        <v>38</v>
      </c>
      <c r="J64" s="18">
        <v>60642</v>
      </c>
      <c r="K64" s="19">
        <v>1</v>
      </c>
      <c r="N64" s="11" t="s">
        <v>838</v>
      </c>
      <c r="O64" s="11" t="s">
        <v>49</v>
      </c>
      <c r="P64" s="11" t="s">
        <v>24</v>
      </c>
      <c r="Q64" s="11" t="s">
        <v>25</v>
      </c>
      <c r="R64" s="20">
        <f>(41963+(3*365))+112</f>
        <v>43170</v>
      </c>
      <c r="S64" s="17">
        <v>5</v>
      </c>
      <c r="T64" s="17">
        <v>2565</v>
      </c>
    </row>
    <row r="65" spans="1:20" x14ac:dyDescent="0.2">
      <c r="A65" s="11" t="s">
        <v>301</v>
      </c>
      <c r="B65" s="14" t="s">
        <v>19</v>
      </c>
      <c r="C65" s="11" t="s">
        <v>52</v>
      </c>
      <c r="D65" s="15">
        <v>907491320</v>
      </c>
      <c r="E65" s="11" t="s">
        <v>80</v>
      </c>
      <c r="F65" s="20">
        <v>39213</v>
      </c>
      <c r="G65" s="16" t="str">
        <f t="shared" si="0"/>
        <v>May</v>
      </c>
      <c r="H65" s="2">
        <f t="shared" ca="1" si="1"/>
        <v>12</v>
      </c>
      <c r="I65" s="17" t="s">
        <v>71</v>
      </c>
      <c r="J65" s="18">
        <v>57922</v>
      </c>
      <c r="K65" s="19">
        <v>1</v>
      </c>
      <c r="N65" s="11" t="s">
        <v>1441</v>
      </c>
      <c r="O65" s="11" t="s">
        <v>23</v>
      </c>
      <c r="P65" s="11" t="s">
        <v>40</v>
      </c>
      <c r="Q65" s="11" t="s">
        <v>25</v>
      </c>
      <c r="R65" s="20">
        <f>(42185+(3*365))+112</f>
        <v>43392</v>
      </c>
      <c r="S65" s="17">
        <v>15</v>
      </c>
      <c r="T65" s="17">
        <v>8790</v>
      </c>
    </row>
    <row r="66" spans="1:20" x14ac:dyDescent="0.2">
      <c r="A66" s="11" t="s">
        <v>737</v>
      </c>
      <c r="B66" s="14" t="s">
        <v>51</v>
      </c>
      <c r="C66" s="11" t="s">
        <v>214</v>
      </c>
      <c r="D66" s="15">
        <v>311883362</v>
      </c>
      <c r="E66" s="11" t="s">
        <v>21</v>
      </c>
      <c r="F66" s="20">
        <v>40182</v>
      </c>
      <c r="G66" s="16" t="str">
        <f t="shared" ref="G66:G129" si="2">CHOOSE(MONTH(F66),"January","February","March","April","May","June","July","August","September","October","November","December")</f>
        <v>January</v>
      </c>
      <c r="H66" s="2">
        <f t="shared" ref="H66:H129" ca="1" si="3">DATEDIF(F66,TODAY(),"Y")</f>
        <v>9</v>
      </c>
      <c r="I66" s="17"/>
      <c r="J66" s="18">
        <v>71240</v>
      </c>
      <c r="K66" s="19">
        <v>2</v>
      </c>
      <c r="N66" s="11" t="s">
        <v>790</v>
      </c>
      <c r="O66" s="11" t="s">
        <v>75</v>
      </c>
      <c r="P66" s="11" t="s">
        <v>65</v>
      </c>
      <c r="Q66" s="11" t="s">
        <v>219</v>
      </c>
      <c r="R66" s="20">
        <f>(41944+(3*365))+112</f>
        <v>43151</v>
      </c>
      <c r="S66" s="17">
        <v>15</v>
      </c>
      <c r="T66" s="17">
        <v>4980</v>
      </c>
    </row>
    <row r="67" spans="1:20" x14ac:dyDescent="0.2">
      <c r="A67" s="11" t="s">
        <v>1054</v>
      </c>
      <c r="B67" s="14" t="s">
        <v>51</v>
      </c>
      <c r="C67" s="11" t="s">
        <v>136</v>
      </c>
      <c r="D67" s="15">
        <v>265323292</v>
      </c>
      <c r="E67" s="11" t="s">
        <v>29</v>
      </c>
      <c r="F67" s="20">
        <v>38992</v>
      </c>
      <c r="G67" s="16" t="str">
        <f t="shared" si="2"/>
        <v>October</v>
      </c>
      <c r="H67" s="2">
        <f t="shared" ca="1" si="3"/>
        <v>12</v>
      </c>
      <c r="I67" s="17" t="s">
        <v>30</v>
      </c>
      <c r="J67" s="18">
        <v>60750</v>
      </c>
      <c r="K67" s="19">
        <v>4</v>
      </c>
      <c r="N67" s="11" t="s">
        <v>1159</v>
      </c>
      <c r="O67" s="11" t="s">
        <v>45</v>
      </c>
      <c r="P67" s="11" t="s">
        <v>65</v>
      </c>
      <c r="Q67" s="11" t="s">
        <v>120</v>
      </c>
      <c r="R67" s="20">
        <f>(42063+(3*365))+112</f>
        <v>43270</v>
      </c>
      <c r="S67" s="17">
        <v>6</v>
      </c>
      <c r="T67" s="17">
        <v>2665</v>
      </c>
    </row>
    <row r="68" spans="1:20" x14ac:dyDescent="0.2">
      <c r="A68" s="11" t="s">
        <v>964</v>
      </c>
      <c r="B68" s="14" t="s">
        <v>19</v>
      </c>
      <c r="C68" s="11" t="s">
        <v>254</v>
      </c>
      <c r="D68" s="15">
        <v>960967007</v>
      </c>
      <c r="E68" s="11" t="s">
        <v>21</v>
      </c>
      <c r="F68" s="20">
        <v>39479</v>
      </c>
      <c r="G68" s="16" t="str">
        <f t="shared" si="2"/>
        <v>February</v>
      </c>
      <c r="H68" s="2">
        <f t="shared" ca="1" si="3"/>
        <v>11</v>
      </c>
      <c r="I68" s="17"/>
      <c r="J68" s="18">
        <v>40905</v>
      </c>
      <c r="K68" s="19">
        <v>1</v>
      </c>
      <c r="N68" s="11" t="s">
        <v>1281</v>
      </c>
      <c r="O68" s="11" t="s">
        <v>75</v>
      </c>
      <c r="P68" s="11" t="s">
        <v>24</v>
      </c>
      <c r="Q68" s="11" t="s">
        <v>34</v>
      </c>
      <c r="R68" s="20">
        <f>(42124+(3*365))+112</f>
        <v>43331</v>
      </c>
      <c r="S68" s="17">
        <v>11</v>
      </c>
      <c r="T68" s="17">
        <v>3667</v>
      </c>
    </row>
    <row r="69" spans="1:20" x14ac:dyDescent="0.2">
      <c r="A69" s="11" t="s">
        <v>1210</v>
      </c>
      <c r="B69" s="14" t="s">
        <v>19</v>
      </c>
      <c r="C69" s="11" t="s">
        <v>145</v>
      </c>
      <c r="D69" s="15">
        <v>718930584</v>
      </c>
      <c r="E69" s="11" t="s">
        <v>80</v>
      </c>
      <c r="F69" s="20">
        <v>39052</v>
      </c>
      <c r="G69" s="16" t="str">
        <f t="shared" si="2"/>
        <v>December</v>
      </c>
      <c r="H69" s="2">
        <f t="shared" ca="1" si="3"/>
        <v>12</v>
      </c>
      <c r="I69" s="17" t="s">
        <v>47</v>
      </c>
      <c r="J69" s="18">
        <v>47223</v>
      </c>
      <c r="K69" s="19">
        <v>2</v>
      </c>
      <c r="N69" s="11" t="s">
        <v>977</v>
      </c>
      <c r="O69" s="11" t="s">
        <v>64</v>
      </c>
      <c r="P69" s="11" t="s">
        <v>65</v>
      </c>
      <c r="Q69" s="11" t="s">
        <v>34</v>
      </c>
      <c r="R69" s="20">
        <f>(42004+(3*365))+112</f>
        <v>43211</v>
      </c>
      <c r="S69" s="17">
        <v>9</v>
      </c>
      <c r="T69" s="17">
        <v>3533</v>
      </c>
    </row>
    <row r="70" spans="1:20" x14ac:dyDescent="0.2">
      <c r="A70" s="11" t="s">
        <v>514</v>
      </c>
      <c r="B70" s="14" t="s">
        <v>51</v>
      </c>
      <c r="C70" s="11" t="s">
        <v>214</v>
      </c>
      <c r="D70" s="15">
        <v>317844971</v>
      </c>
      <c r="E70" s="11" t="s">
        <v>21</v>
      </c>
      <c r="F70" s="20">
        <v>38783</v>
      </c>
      <c r="G70" s="16" t="str">
        <f t="shared" si="2"/>
        <v>March</v>
      </c>
      <c r="H70" s="2">
        <f t="shared" ca="1" si="3"/>
        <v>13</v>
      </c>
      <c r="I70" s="17"/>
      <c r="J70" s="18">
        <v>103829</v>
      </c>
      <c r="K70" s="19">
        <v>1</v>
      </c>
      <c r="N70" s="11" t="s">
        <v>774</v>
      </c>
      <c r="O70" s="11" t="s">
        <v>45</v>
      </c>
      <c r="P70" s="11" t="s">
        <v>65</v>
      </c>
      <c r="Q70" s="11" t="s">
        <v>25</v>
      </c>
      <c r="R70" s="20">
        <f>(41938+(3*365))+112</f>
        <v>43145</v>
      </c>
      <c r="S70" s="17">
        <v>8</v>
      </c>
      <c r="T70" s="17">
        <v>3385</v>
      </c>
    </row>
    <row r="71" spans="1:20" x14ac:dyDescent="0.2">
      <c r="A71" s="11" t="s">
        <v>1456</v>
      </c>
      <c r="B71" s="14" t="s">
        <v>27</v>
      </c>
      <c r="C71" s="11" t="s">
        <v>152</v>
      </c>
      <c r="D71" s="15">
        <v>163350417</v>
      </c>
      <c r="E71" s="11" t="s">
        <v>29</v>
      </c>
      <c r="F71" s="20">
        <v>39528</v>
      </c>
      <c r="G71" s="16" t="str">
        <f t="shared" si="2"/>
        <v>March</v>
      </c>
      <c r="H71" s="2">
        <f t="shared" ca="1" si="3"/>
        <v>11</v>
      </c>
      <c r="I71" s="17" t="s">
        <v>87</v>
      </c>
      <c r="J71" s="18">
        <v>88182</v>
      </c>
      <c r="K71" s="19">
        <v>5</v>
      </c>
      <c r="N71" s="11" t="s">
        <v>430</v>
      </c>
      <c r="O71" s="11" t="s">
        <v>78</v>
      </c>
      <c r="P71" s="11" t="s">
        <v>33</v>
      </c>
      <c r="Q71" s="11" t="s">
        <v>34</v>
      </c>
      <c r="R71" s="20">
        <f>(41802+(3*365))+112</f>
        <v>43009</v>
      </c>
      <c r="S71" s="17">
        <v>13</v>
      </c>
      <c r="T71" s="17">
        <v>4201</v>
      </c>
    </row>
    <row r="72" spans="1:20" x14ac:dyDescent="0.2">
      <c r="A72" s="11" t="s">
        <v>1356</v>
      </c>
      <c r="B72" s="14" t="s">
        <v>83</v>
      </c>
      <c r="C72" s="11" t="s">
        <v>152</v>
      </c>
      <c r="D72" s="15">
        <v>651999482</v>
      </c>
      <c r="E72" s="11" t="s">
        <v>29</v>
      </c>
      <c r="F72" s="20">
        <v>42535</v>
      </c>
      <c r="G72" s="16" t="str">
        <f t="shared" si="2"/>
        <v>June</v>
      </c>
      <c r="H72" s="2">
        <f t="shared" ca="1" si="3"/>
        <v>2</v>
      </c>
      <c r="I72" s="17" t="s">
        <v>47</v>
      </c>
      <c r="J72" s="18">
        <v>30807</v>
      </c>
      <c r="K72" s="19">
        <v>5</v>
      </c>
      <c r="N72" s="11" t="s">
        <v>637</v>
      </c>
      <c r="O72" s="11" t="s">
        <v>125</v>
      </c>
      <c r="P72" s="11" t="s">
        <v>65</v>
      </c>
      <c r="Q72" s="11" t="s">
        <v>219</v>
      </c>
      <c r="R72" s="20">
        <f>(41886+(3*365))+112</f>
        <v>43093</v>
      </c>
      <c r="S72" s="17">
        <v>3</v>
      </c>
      <c r="T72" s="17">
        <v>1515</v>
      </c>
    </row>
    <row r="73" spans="1:20" x14ac:dyDescent="0.2">
      <c r="A73" s="11" t="s">
        <v>344</v>
      </c>
      <c r="B73" s="14" t="s">
        <v>27</v>
      </c>
      <c r="C73" s="11" t="s">
        <v>336</v>
      </c>
      <c r="D73" s="15">
        <v>699053064</v>
      </c>
      <c r="E73" s="11" t="s">
        <v>21</v>
      </c>
      <c r="F73" s="20">
        <v>41383</v>
      </c>
      <c r="G73" s="16" t="str">
        <f t="shared" si="2"/>
        <v>April</v>
      </c>
      <c r="H73" s="2">
        <f t="shared" ca="1" si="3"/>
        <v>6</v>
      </c>
      <c r="I73" s="17"/>
      <c r="J73" s="18">
        <v>81081</v>
      </c>
      <c r="K73" s="19">
        <v>2</v>
      </c>
      <c r="N73" s="11" t="s">
        <v>208</v>
      </c>
      <c r="O73" s="11" t="s">
        <v>89</v>
      </c>
      <c r="P73" s="11" t="s">
        <v>24</v>
      </c>
      <c r="Q73" s="11" t="s">
        <v>34</v>
      </c>
      <c r="R73" s="20">
        <f>(41703+(3*365))+112</f>
        <v>42910</v>
      </c>
      <c r="S73" s="17">
        <v>20</v>
      </c>
      <c r="T73" s="17">
        <v>7040</v>
      </c>
    </row>
    <row r="74" spans="1:20" x14ac:dyDescent="0.2">
      <c r="A74" s="11" t="s">
        <v>170</v>
      </c>
      <c r="B74" s="14" t="s">
        <v>43</v>
      </c>
      <c r="C74" s="11" t="s">
        <v>20</v>
      </c>
      <c r="D74" s="15">
        <v>787156286</v>
      </c>
      <c r="E74" s="11" t="s">
        <v>29</v>
      </c>
      <c r="F74" s="20">
        <v>36204</v>
      </c>
      <c r="G74" s="16" t="str">
        <f t="shared" si="2"/>
        <v>February</v>
      </c>
      <c r="H74" s="2">
        <f t="shared" ca="1" si="3"/>
        <v>20</v>
      </c>
      <c r="I74" s="17" t="s">
        <v>71</v>
      </c>
      <c r="J74" s="18">
        <v>67244</v>
      </c>
      <c r="K74" s="19">
        <v>2</v>
      </c>
      <c r="N74" s="11" t="s">
        <v>1193</v>
      </c>
      <c r="O74" s="11" t="s">
        <v>45</v>
      </c>
      <c r="P74" s="11" t="s">
        <v>24</v>
      </c>
      <c r="Q74" s="11" t="s">
        <v>25</v>
      </c>
      <c r="R74" s="20">
        <f>(42082+(3*365))+112</f>
        <v>43289</v>
      </c>
      <c r="S74" s="17">
        <v>9</v>
      </c>
      <c r="T74" s="17">
        <v>3485</v>
      </c>
    </row>
    <row r="75" spans="1:20" x14ac:dyDescent="0.2">
      <c r="A75" s="4" t="s">
        <v>335</v>
      </c>
      <c r="B75" s="14" t="s">
        <v>27</v>
      </c>
      <c r="C75" s="11" t="s">
        <v>336</v>
      </c>
      <c r="D75" s="15">
        <v>850210766</v>
      </c>
      <c r="E75" s="11" t="s">
        <v>29</v>
      </c>
      <c r="F75" s="20">
        <v>41443</v>
      </c>
      <c r="G75" s="16" t="str">
        <f t="shared" si="2"/>
        <v>June</v>
      </c>
      <c r="H75" s="2">
        <f t="shared" ca="1" si="3"/>
        <v>5</v>
      </c>
      <c r="I75" s="17" t="s">
        <v>47</v>
      </c>
      <c r="J75" s="18">
        <v>63923</v>
      </c>
      <c r="K75" s="19">
        <v>5</v>
      </c>
      <c r="N75" s="11" t="s">
        <v>383</v>
      </c>
      <c r="O75" s="11" t="s">
        <v>54</v>
      </c>
      <c r="P75" s="11" t="s">
        <v>24</v>
      </c>
      <c r="Q75" s="11" t="s">
        <v>120</v>
      </c>
      <c r="R75" s="20">
        <f>(41778+(3*365))+112</f>
        <v>42985</v>
      </c>
      <c r="S75" s="17">
        <v>12</v>
      </c>
      <c r="T75" s="17">
        <v>3900</v>
      </c>
    </row>
    <row r="76" spans="1:20" x14ac:dyDescent="0.2">
      <c r="A76" s="11" t="s">
        <v>1088</v>
      </c>
      <c r="B76" s="14" t="s">
        <v>19</v>
      </c>
      <c r="C76" s="11" t="s">
        <v>214</v>
      </c>
      <c r="D76" s="15">
        <v>592631929</v>
      </c>
      <c r="E76" s="11" t="s">
        <v>21</v>
      </c>
      <c r="F76" s="20">
        <v>38205</v>
      </c>
      <c r="G76" s="16" t="str">
        <f t="shared" si="2"/>
        <v>August</v>
      </c>
      <c r="H76" s="2">
        <f t="shared" ca="1" si="3"/>
        <v>14</v>
      </c>
      <c r="I76" s="17"/>
      <c r="J76" s="18">
        <v>71469</v>
      </c>
      <c r="K76" s="19">
        <v>4</v>
      </c>
      <c r="N76" s="11" t="s">
        <v>1083</v>
      </c>
      <c r="O76" s="11" t="s">
        <v>23</v>
      </c>
      <c r="P76" s="11" t="s">
        <v>24</v>
      </c>
      <c r="Q76" s="11" t="s">
        <v>25</v>
      </c>
      <c r="R76" s="20">
        <f>(42033+(3*365))+112</f>
        <v>43240</v>
      </c>
      <c r="S76" s="17">
        <v>11</v>
      </c>
      <c r="T76" s="17">
        <v>5885</v>
      </c>
    </row>
    <row r="77" spans="1:20" x14ac:dyDescent="0.2">
      <c r="A77" s="11" t="s">
        <v>1444</v>
      </c>
      <c r="B77" s="14" t="s">
        <v>36</v>
      </c>
      <c r="C77" s="11" t="s">
        <v>52</v>
      </c>
      <c r="D77" s="15">
        <v>707882019</v>
      </c>
      <c r="E77" s="11" t="s">
        <v>21</v>
      </c>
      <c r="F77" s="20">
        <v>39198</v>
      </c>
      <c r="G77" s="16" t="str">
        <f t="shared" si="2"/>
        <v>April</v>
      </c>
      <c r="H77" s="2">
        <f t="shared" ca="1" si="3"/>
        <v>12</v>
      </c>
      <c r="I77" s="17"/>
      <c r="J77" s="18">
        <v>117410</v>
      </c>
      <c r="K77" s="19">
        <v>4</v>
      </c>
      <c r="N77" s="11" t="s">
        <v>710</v>
      </c>
      <c r="O77" s="11" t="s">
        <v>45</v>
      </c>
      <c r="P77" s="11" t="s">
        <v>33</v>
      </c>
      <c r="Q77" s="11" t="s">
        <v>219</v>
      </c>
      <c r="R77" s="20">
        <f>(41913+(3*365))+112</f>
        <v>43120</v>
      </c>
      <c r="S77" s="17">
        <v>1</v>
      </c>
      <c r="T77" s="17">
        <v>460</v>
      </c>
    </row>
    <row r="78" spans="1:20" x14ac:dyDescent="0.2">
      <c r="A78" s="11" t="s">
        <v>707</v>
      </c>
      <c r="B78" s="14" t="s">
        <v>19</v>
      </c>
      <c r="C78" s="11" t="s">
        <v>214</v>
      </c>
      <c r="D78" s="15">
        <v>257249459</v>
      </c>
      <c r="E78" s="11" t="s">
        <v>21</v>
      </c>
      <c r="F78" s="20">
        <v>39493</v>
      </c>
      <c r="G78" s="16" t="str">
        <f t="shared" si="2"/>
        <v>February</v>
      </c>
      <c r="H78" s="2">
        <f t="shared" ca="1" si="3"/>
        <v>11</v>
      </c>
      <c r="I78" s="17"/>
      <c r="J78" s="18">
        <v>77760</v>
      </c>
      <c r="K78" s="19">
        <v>3</v>
      </c>
      <c r="N78" s="11" t="s">
        <v>206</v>
      </c>
      <c r="O78" s="11" t="s">
        <v>54</v>
      </c>
      <c r="P78" s="11" t="s">
        <v>33</v>
      </c>
      <c r="Q78" s="11" t="s">
        <v>41</v>
      </c>
      <c r="R78" s="20">
        <f>(41703+(3*365))+112</f>
        <v>42910</v>
      </c>
      <c r="S78" s="17">
        <v>4</v>
      </c>
      <c r="T78" s="21">
        <v>1745</v>
      </c>
    </row>
    <row r="79" spans="1:20" x14ac:dyDescent="0.2">
      <c r="A79" s="11" t="s">
        <v>847</v>
      </c>
      <c r="B79" s="14" t="s">
        <v>27</v>
      </c>
      <c r="C79" s="11" t="s">
        <v>86</v>
      </c>
      <c r="D79" s="15">
        <v>424800509</v>
      </c>
      <c r="E79" s="11" t="s">
        <v>29</v>
      </c>
      <c r="F79" s="20">
        <v>39319</v>
      </c>
      <c r="G79" s="16" t="str">
        <f t="shared" si="2"/>
        <v>August</v>
      </c>
      <c r="H79" s="2">
        <f t="shared" ca="1" si="3"/>
        <v>11</v>
      </c>
      <c r="I79" s="17" t="s">
        <v>47</v>
      </c>
      <c r="J79" s="18">
        <v>59697</v>
      </c>
      <c r="K79" s="19">
        <v>3</v>
      </c>
      <c r="N79" s="11" t="s">
        <v>1187</v>
      </c>
      <c r="O79" s="11" t="s">
        <v>54</v>
      </c>
      <c r="P79" s="11" t="s">
        <v>40</v>
      </c>
      <c r="Q79" s="11" t="s">
        <v>219</v>
      </c>
      <c r="R79" s="20">
        <f>(42081+(3*365))+112</f>
        <v>43288</v>
      </c>
      <c r="S79" s="17">
        <v>8</v>
      </c>
      <c r="T79" s="17">
        <v>3370</v>
      </c>
    </row>
    <row r="80" spans="1:20" x14ac:dyDescent="0.2">
      <c r="A80" s="11" t="s">
        <v>299</v>
      </c>
      <c r="B80" s="14" t="s">
        <v>19</v>
      </c>
      <c r="C80" s="11" t="s">
        <v>101</v>
      </c>
      <c r="D80" s="15">
        <v>904790184</v>
      </c>
      <c r="E80" s="11" t="s">
        <v>29</v>
      </c>
      <c r="F80" s="20">
        <v>36316</v>
      </c>
      <c r="G80" s="16" t="str">
        <f t="shared" si="2"/>
        <v>June</v>
      </c>
      <c r="H80" s="2">
        <f t="shared" ca="1" si="3"/>
        <v>20</v>
      </c>
      <c r="I80" s="17" t="s">
        <v>30</v>
      </c>
      <c r="J80" s="18">
        <v>104922</v>
      </c>
      <c r="K80" s="19">
        <v>3</v>
      </c>
      <c r="N80" s="11" t="s">
        <v>1189</v>
      </c>
      <c r="O80" s="11" t="s">
        <v>64</v>
      </c>
      <c r="P80" s="11" t="s">
        <v>40</v>
      </c>
      <c r="Q80" s="11" t="s">
        <v>25</v>
      </c>
      <c r="R80" s="20">
        <f>(42081+(3*365))+112</f>
        <v>43288</v>
      </c>
      <c r="S80" s="17">
        <v>4</v>
      </c>
      <c r="T80" s="17">
        <v>1825</v>
      </c>
    </row>
    <row r="81" spans="1:20" x14ac:dyDescent="0.2">
      <c r="A81" s="11" t="s">
        <v>1294</v>
      </c>
      <c r="B81" s="14" t="s">
        <v>51</v>
      </c>
      <c r="C81" s="11" t="s">
        <v>214</v>
      </c>
      <c r="D81" s="15">
        <v>338977629</v>
      </c>
      <c r="E81" s="11" t="s">
        <v>29</v>
      </c>
      <c r="F81" s="20">
        <v>38657</v>
      </c>
      <c r="G81" s="16" t="str">
        <f t="shared" si="2"/>
        <v>November</v>
      </c>
      <c r="H81" s="2">
        <f t="shared" ca="1" si="3"/>
        <v>13</v>
      </c>
      <c r="I81" s="17" t="s">
        <v>47</v>
      </c>
      <c r="J81" s="18">
        <v>106070</v>
      </c>
      <c r="K81" s="19">
        <v>1</v>
      </c>
      <c r="N81" s="11" t="s">
        <v>255</v>
      </c>
      <c r="O81" s="11" t="s">
        <v>78</v>
      </c>
      <c r="P81" s="11" t="s">
        <v>24</v>
      </c>
      <c r="Q81" s="11" t="s">
        <v>34</v>
      </c>
      <c r="R81" s="20">
        <f>(41722+(3*365))+112</f>
        <v>42929</v>
      </c>
      <c r="S81" s="17">
        <v>16</v>
      </c>
      <c r="T81" s="17">
        <v>8320</v>
      </c>
    </row>
    <row r="82" spans="1:20" x14ac:dyDescent="0.2">
      <c r="A82" s="11" t="s">
        <v>384</v>
      </c>
      <c r="B82" s="14" t="s">
        <v>27</v>
      </c>
      <c r="C82" s="11" t="s">
        <v>145</v>
      </c>
      <c r="D82" s="15">
        <v>784064156</v>
      </c>
      <c r="E82" s="11" t="s">
        <v>29</v>
      </c>
      <c r="F82" s="20">
        <v>36460</v>
      </c>
      <c r="G82" s="16" t="str">
        <f t="shared" si="2"/>
        <v>October</v>
      </c>
      <c r="H82" s="2">
        <f t="shared" ca="1" si="3"/>
        <v>19</v>
      </c>
      <c r="I82" s="17" t="s">
        <v>47</v>
      </c>
      <c r="J82" s="18">
        <v>74021</v>
      </c>
      <c r="K82" s="19">
        <v>1</v>
      </c>
      <c r="N82" s="11" t="s">
        <v>1568</v>
      </c>
      <c r="O82" s="11" t="s">
        <v>64</v>
      </c>
      <c r="P82" s="11" t="s">
        <v>65</v>
      </c>
      <c r="Q82" s="11" t="s">
        <v>25</v>
      </c>
      <c r="R82" s="20">
        <f>(42235+(3*365))+112</f>
        <v>43442</v>
      </c>
      <c r="S82" s="17">
        <v>7</v>
      </c>
      <c r="T82" s="17">
        <v>2585</v>
      </c>
    </row>
    <row r="83" spans="1:20" x14ac:dyDescent="0.2">
      <c r="A83" s="11" t="s">
        <v>594</v>
      </c>
      <c r="B83" s="14" t="s">
        <v>27</v>
      </c>
      <c r="C83" s="11" t="s">
        <v>214</v>
      </c>
      <c r="D83" s="15">
        <v>337943008</v>
      </c>
      <c r="E83" s="11" t="s">
        <v>29</v>
      </c>
      <c r="F83" s="20">
        <v>40250</v>
      </c>
      <c r="G83" s="16" t="str">
        <f t="shared" si="2"/>
        <v>March</v>
      </c>
      <c r="H83" s="2">
        <f t="shared" ca="1" si="3"/>
        <v>9</v>
      </c>
      <c r="I83" s="17" t="s">
        <v>47</v>
      </c>
      <c r="J83" s="18">
        <v>39110</v>
      </c>
      <c r="K83" s="19">
        <v>3</v>
      </c>
      <c r="N83" s="11" t="s">
        <v>1409</v>
      </c>
      <c r="O83" s="11" t="s">
        <v>125</v>
      </c>
      <c r="P83" s="11" t="s">
        <v>33</v>
      </c>
      <c r="Q83" s="11" t="s">
        <v>120</v>
      </c>
      <c r="R83" s="20">
        <f>(42174+(3*365))+112</f>
        <v>43381</v>
      </c>
      <c r="S83" s="17">
        <v>1</v>
      </c>
      <c r="T83" s="17">
        <v>445</v>
      </c>
    </row>
    <row r="84" spans="1:20" x14ac:dyDescent="0.2">
      <c r="A84" s="11" t="s">
        <v>663</v>
      </c>
      <c r="B84" s="14" t="s">
        <v>19</v>
      </c>
      <c r="C84" s="11" t="s">
        <v>20</v>
      </c>
      <c r="D84" s="15">
        <v>148899089</v>
      </c>
      <c r="E84" s="11" t="s">
        <v>80</v>
      </c>
      <c r="F84" s="20">
        <v>37022</v>
      </c>
      <c r="G84" s="16" t="str">
        <f t="shared" si="2"/>
        <v>May</v>
      </c>
      <c r="H84" s="2">
        <f t="shared" ca="1" si="3"/>
        <v>18</v>
      </c>
      <c r="I84" s="17" t="s">
        <v>47</v>
      </c>
      <c r="J84" s="18">
        <v>36302</v>
      </c>
      <c r="K84" s="19">
        <v>3</v>
      </c>
      <c r="N84" s="11" t="s">
        <v>856</v>
      </c>
      <c r="O84" s="11" t="s">
        <v>114</v>
      </c>
      <c r="P84" s="11" t="s">
        <v>24</v>
      </c>
      <c r="Q84" s="11" t="s">
        <v>25</v>
      </c>
      <c r="R84" s="20">
        <f>(41966+(3*365))+112</f>
        <v>43173</v>
      </c>
      <c r="S84" s="17">
        <v>11</v>
      </c>
      <c r="T84" s="17">
        <v>5995</v>
      </c>
    </row>
    <row r="85" spans="1:20" x14ac:dyDescent="0.2">
      <c r="A85" s="11" t="s">
        <v>1196</v>
      </c>
      <c r="B85" s="14" t="s">
        <v>27</v>
      </c>
      <c r="C85" s="11" t="s">
        <v>152</v>
      </c>
      <c r="D85" s="15">
        <v>483483618</v>
      </c>
      <c r="E85" s="11" t="s">
        <v>29</v>
      </c>
      <c r="F85" s="20">
        <v>37993</v>
      </c>
      <c r="G85" s="16" t="str">
        <f t="shared" si="2"/>
        <v>January</v>
      </c>
      <c r="H85" s="2">
        <f t="shared" ca="1" si="3"/>
        <v>15</v>
      </c>
      <c r="I85" s="17" t="s">
        <v>30</v>
      </c>
      <c r="J85" s="18">
        <v>45347</v>
      </c>
      <c r="K85" s="19">
        <v>5</v>
      </c>
      <c r="N85" s="11" t="s">
        <v>822</v>
      </c>
      <c r="O85" s="11" t="s">
        <v>45</v>
      </c>
      <c r="P85" s="11" t="s">
        <v>24</v>
      </c>
      <c r="Q85" s="11" t="s">
        <v>34</v>
      </c>
      <c r="R85" s="20">
        <f>(41956+(3*365))+112</f>
        <v>43163</v>
      </c>
      <c r="S85" s="17">
        <v>16</v>
      </c>
      <c r="T85" s="17">
        <v>8771</v>
      </c>
    </row>
    <row r="86" spans="1:20" x14ac:dyDescent="0.2">
      <c r="A86" s="11" t="s">
        <v>313</v>
      </c>
      <c r="B86" s="14" t="s">
        <v>51</v>
      </c>
      <c r="C86" s="11" t="s">
        <v>101</v>
      </c>
      <c r="D86" s="15">
        <v>264960848</v>
      </c>
      <c r="E86" s="11" t="s">
        <v>21</v>
      </c>
      <c r="F86" s="20">
        <v>36142</v>
      </c>
      <c r="G86" s="16" t="str">
        <f t="shared" si="2"/>
        <v>December</v>
      </c>
      <c r="H86" s="2">
        <f t="shared" ca="1" si="3"/>
        <v>20</v>
      </c>
      <c r="I86" s="17"/>
      <c r="J86" s="18">
        <v>66245</v>
      </c>
      <c r="K86" s="19">
        <v>3</v>
      </c>
      <c r="N86" s="11" t="s">
        <v>792</v>
      </c>
      <c r="O86" s="11" t="s">
        <v>23</v>
      </c>
      <c r="P86" s="11" t="s">
        <v>24</v>
      </c>
      <c r="Q86" s="11" t="s">
        <v>41</v>
      </c>
      <c r="R86" s="20">
        <f>(41944+(3*365))+112</f>
        <v>43151</v>
      </c>
      <c r="S86" s="17">
        <v>4</v>
      </c>
      <c r="T86" s="17">
        <v>1200</v>
      </c>
    </row>
    <row r="87" spans="1:20" x14ac:dyDescent="0.2">
      <c r="A87" s="11" t="s">
        <v>566</v>
      </c>
      <c r="B87" s="14" t="s">
        <v>36</v>
      </c>
      <c r="C87" s="11" t="s">
        <v>214</v>
      </c>
      <c r="D87" s="15">
        <v>858800513</v>
      </c>
      <c r="E87" s="11" t="s">
        <v>29</v>
      </c>
      <c r="F87" s="20">
        <v>42168</v>
      </c>
      <c r="G87" s="16" t="str">
        <f t="shared" si="2"/>
        <v>June</v>
      </c>
      <c r="H87" s="2">
        <f t="shared" ca="1" si="3"/>
        <v>3</v>
      </c>
      <c r="I87" s="17" t="s">
        <v>87</v>
      </c>
      <c r="J87" s="18">
        <v>95891</v>
      </c>
      <c r="K87" s="19">
        <v>3</v>
      </c>
      <c r="N87" s="11" t="s">
        <v>99</v>
      </c>
      <c r="O87" s="11" t="s">
        <v>49</v>
      </c>
      <c r="P87" s="11" t="s">
        <v>33</v>
      </c>
      <c r="Q87" s="11" t="s">
        <v>25</v>
      </c>
      <c r="R87" s="20">
        <f>(41665+(3*365))+112</f>
        <v>42872</v>
      </c>
      <c r="S87" s="17">
        <v>11</v>
      </c>
      <c r="T87" s="21">
        <v>5005</v>
      </c>
    </row>
    <row r="88" spans="1:20" x14ac:dyDescent="0.2">
      <c r="A88" s="11" t="s">
        <v>311</v>
      </c>
      <c r="B88" s="14" t="s">
        <v>19</v>
      </c>
      <c r="C88" s="11" t="s">
        <v>52</v>
      </c>
      <c r="D88" s="15">
        <v>863161920</v>
      </c>
      <c r="E88" s="11" t="s">
        <v>29</v>
      </c>
      <c r="F88" s="20">
        <v>38933</v>
      </c>
      <c r="G88" s="16" t="str">
        <f t="shared" si="2"/>
        <v>August</v>
      </c>
      <c r="H88" s="2">
        <f t="shared" ca="1" si="3"/>
        <v>12</v>
      </c>
      <c r="I88" s="17" t="s">
        <v>30</v>
      </c>
      <c r="J88" s="18">
        <v>67649</v>
      </c>
      <c r="K88" s="19">
        <v>1</v>
      </c>
      <c r="N88" s="11" t="s">
        <v>393</v>
      </c>
      <c r="O88" s="11" t="s">
        <v>75</v>
      </c>
      <c r="P88" s="11" t="s">
        <v>24</v>
      </c>
      <c r="Q88" s="11" t="s">
        <v>34</v>
      </c>
      <c r="R88" s="20">
        <f>(41781+(3*365))+112</f>
        <v>42988</v>
      </c>
      <c r="S88" s="17">
        <v>18</v>
      </c>
      <c r="T88" s="17">
        <v>5615</v>
      </c>
    </row>
    <row r="89" spans="1:20" x14ac:dyDescent="0.2">
      <c r="A89" s="11" t="s">
        <v>236</v>
      </c>
      <c r="B89" s="14" t="s">
        <v>19</v>
      </c>
      <c r="C89" s="11" t="s">
        <v>20</v>
      </c>
      <c r="D89" s="15">
        <v>436693732</v>
      </c>
      <c r="E89" s="11" t="s">
        <v>29</v>
      </c>
      <c r="F89" s="20">
        <v>40032</v>
      </c>
      <c r="G89" s="16" t="str">
        <f t="shared" si="2"/>
        <v>August</v>
      </c>
      <c r="H89" s="2">
        <f t="shared" ca="1" si="3"/>
        <v>9</v>
      </c>
      <c r="I89" s="17" t="s">
        <v>38</v>
      </c>
      <c r="J89" s="18">
        <v>84767</v>
      </c>
      <c r="K89" s="19">
        <v>2</v>
      </c>
      <c r="N89" s="11" t="s">
        <v>371</v>
      </c>
      <c r="O89" s="11" t="s">
        <v>64</v>
      </c>
      <c r="P89" s="11" t="s">
        <v>65</v>
      </c>
      <c r="Q89" s="11" t="s">
        <v>219</v>
      </c>
      <c r="R89" s="20">
        <f>(41774+(3*365))+112</f>
        <v>42981</v>
      </c>
      <c r="S89" s="17">
        <v>11</v>
      </c>
      <c r="T89" s="17">
        <v>6150</v>
      </c>
    </row>
    <row r="90" spans="1:20" x14ac:dyDescent="0.2">
      <c r="A90" s="11" t="s">
        <v>805</v>
      </c>
      <c r="B90" s="14" t="s">
        <v>83</v>
      </c>
      <c r="C90" s="11" t="s">
        <v>152</v>
      </c>
      <c r="D90" s="15">
        <v>426812736</v>
      </c>
      <c r="E90" s="11" t="s">
        <v>21</v>
      </c>
      <c r="F90" s="20">
        <v>37015</v>
      </c>
      <c r="G90" s="16" t="str">
        <f t="shared" si="2"/>
        <v>May</v>
      </c>
      <c r="H90" s="2">
        <f t="shared" ca="1" si="3"/>
        <v>18</v>
      </c>
      <c r="I90" s="17"/>
      <c r="J90" s="18">
        <v>47574</v>
      </c>
      <c r="K90" s="19">
        <v>3</v>
      </c>
      <c r="N90" s="11" t="s">
        <v>597</v>
      </c>
      <c r="O90" s="11" t="s">
        <v>23</v>
      </c>
      <c r="P90" s="11" t="s">
        <v>40</v>
      </c>
      <c r="Q90" s="11" t="s">
        <v>120</v>
      </c>
      <c r="R90" s="20">
        <f>(41869+(3*365))+112</f>
        <v>43076</v>
      </c>
      <c r="S90" s="17">
        <v>15</v>
      </c>
      <c r="T90" s="17">
        <v>6135</v>
      </c>
    </row>
    <row r="91" spans="1:20" x14ac:dyDescent="0.2">
      <c r="A91" s="11" t="s">
        <v>845</v>
      </c>
      <c r="B91" s="14" t="s">
        <v>43</v>
      </c>
      <c r="C91" s="11" t="s">
        <v>86</v>
      </c>
      <c r="D91" s="15">
        <v>372693786</v>
      </c>
      <c r="E91" s="11" t="s">
        <v>80</v>
      </c>
      <c r="F91" s="20">
        <v>39994</v>
      </c>
      <c r="G91" s="16" t="str">
        <f t="shared" si="2"/>
        <v>June</v>
      </c>
      <c r="H91" s="2">
        <f t="shared" ca="1" si="3"/>
        <v>9</v>
      </c>
      <c r="I91" s="17" t="s">
        <v>87</v>
      </c>
      <c r="J91" s="18">
        <v>41999</v>
      </c>
      <c r="K91" s="19">
        <v>1</v>
      </c>
      <c r="N91" s="11" t="s">
        <v>187</v>
      </c>
      <c r="O91" s="11" t="s">
        <v>78</v>
      </c>
      <c r="P91" s="11" t="s">
        <v>65</v>
      </c>
      <c r="Q91" s="11" t="s">
        <v>34</v>
      </c>
      <c r="R91" s="20">
        <f>(41690+(3*365))+112</f>
        <v>42897</v>
      </c>
      <c r="S91" s="17">
        <v>18</v>
      </c>
      <c r="T91" s="17">
        <v>10135</v>
      </c>
    </row>
    <row r="92" spans="1:20" x14ac:dyDescent="0.2">
      <c r="A92" s="4" t="s">
        <v>196</v>
      </c>
      <c r="B92" s="14" t="s">
        <v>83</v>
      </c>
      <c r="C92" s="11" t="s">
        <v>20</v>
      </c>
      <c r="D92" s="15">
        <v>163292583</v>
      </c>
      <c r="E92" s="11" t="s">
        <v>21</v>
      </c>
      <c r="F92" s="20">
        <v>38894</v>
      </c>
      <c r="G92" s="16" t="str">
        <f t="shared" si="2"/>
        <v>June</v>
      </c>
      <c r="H92" s="2">
        <f t="shared" ca="1" si="3"/>
        <v>12</v>
      </c>
      <c r="I92" s="17"/>
      <c r="J92" s="18">
        <v>40959</v>
      </c>
      <c r="K92" s="19">
        <v>3</v>
      </c>
      <c r="N92" s="11" t="s">
        <v>1319</v>
      </c>
      <c r="O92" s="11" t="s">
        <v>64</v>
      </c>
      <c r="P92" s="11" t="s">
        <v>65</v>
      </c>
      <c r="Q92" s="11" t="s">
        <v>120</v>
      </c>
      <c r="R92" s="20">
        <f>(42137+(3*365))+112</f>
        <v>43344</v>
      </c>
      <c r="S92" s="17">
        <v>15</v>
      </c>
      <c r="T92" s="17">
        <v>7095</v>
      </c>
    </row>
    <row r="93" spans="1:20" x14ac:dyDescent="0.2">
      <c r="A93" s="11" t="s">
        <v>90</v>
      </c>
      <c r="B93" s="14" t="s">
        <v>51</v>
      </c>
      <c r="C93" s="11" t="s">
        <v>62</v>
      </c>
      <c r="D93" s="15">
        <v>975603308</v>
      </c>
      <c r="E93" s="11" t="s">
        <v>29</v>
      </c>
      <c r="F93" s="20">
        <v>40260</v>
      </c>
      <c r="G93" s="16" t="str">
        <f t="shared" si="2"/>
        <v>March</v>
      </c>
      <c r="H93" s="2">
        <f t="shared" ca="1" si="3"/>
        <v>9</v>
      </c>
      <c r="I93" s="17" t="s">
        <v>47</v>
      </c>
      <c r="J93" s="18">
        <v>41553</v>
      </c>
      <c r="K93" s="19">
        <v>4</v>
      </c>
      <c r="N93" s="11" t="s">
        <v>1415</v>
      </c>
      <c r="O93" s="11" t="s">
        <v>54</v>
      </c>
      <c r="P93" s="11" t="s">
        <v>33</v>
      </c>
      <c r="Q93" s="11" t="s">
        <v>41</v>
      </c>
      <c r="R93" s="20">
        <f>(42176+(3*365))+112</f>
        <v>43383</v>
      </c>
      <c r="S93" s="17">
        <v>7</v>
      </c>
      <c r="T93" s="17">
        <v>3460</v>
      </c>
    </row>
    <row r="94" spans="1:20" x14ac:dyDescent="0.2">
      <c r="A94" s="11" t="s">
        <v>888</v>
      </c>
      <c r="B94" s="14" t="s">
        <v>51</v>
      </c>
      <c r="C94" s="11" t="s">
        <v>254</v>
      </c>
      <c r="D94" s="15">
        <v>761337848</v>
      </c>
      <c r="E94" s="11" t="s">
        <v>21</v>
      </c>
      <c r="F94" s="20">
        <v>37358</v>
      </c>
      <c r="G94" s="16" t="str">
        <f t="shared" si="2"/>
        <v>April</v>
      </c>
      <c r="H94" s="2">
        <f t="shared" ca="1" si="3"/>
        <v>17</v>
      </c>
      <c r="I94" s="17"/>
      <c r="J94" s="18">
        <v>90059</v>
      </c>
      <c r="K94" s="19">
        <v>2</v>
      </c>
      <c r="N94" s="11" t="s">
        <v>949</v>
      </c>
      <c r="O94" s="11" t="s">
        <v>117</v>
      </c>
      <c r="P94" s="11" t="s">
        <v>40</v>
      </c>
      <c r="Q94" s="11" t="s">
        <v>120</v>
      </c>
      <c r="R94" s="20">
        <f>(41998+(3*365))+112</f>
        <v>43205</v>
      </c>
      <c r="S94" s="17">
        <v>3</v>
      </c>
      <c r="T94" s="17">
        <v>1330</v>
      </c>
    </row>
    <row r="95" spans="1:20" x14ac:dyDescent="0.2">
      <c r="A95" s="11" t="s">
        <v>827</v>
      </c>
      <c r="B95" s="14" t="s">
        <v>27</v>
      </c>
      <c r="C95" s="11" t="s">
        <v>86</v>
      </c>
      <c r="D95" s="15">
        <v>294161481</v>
      </c>
      <c r="E95" s="11" t="s">
        <v>80</v>
      </c>
      <c r="F95" s="20">
        <v>38950</v>
      </c>
      <c r="G95" s="16" t="str">
        <f t="shared" si="2"/>
        <v>August</v>
      </c>
      <c r="H95" s="2">
        <f t="shared" ca="1" si="3"/>
        <v>12</v>
      </c>
      <c r="I95" s="17" t="s">
        <v>47</v>
      </c>
      <c r="J95" s="18">
        <v>64645</v>
      </c>
      <c r="K95" s="19">
        <v>1</v>
      </c>
      <c r="N95" s="11" t="s">
        <v>1217</v>
      </c>
      <c r="O95" s="11" t="s">
        <v>54</v>
      </c>
      <c r="P95" s="11" t="s">
        <v>40</v>
      </c>
      <c r="Q95" s="11" t="s">
        <v>219</v>
      </c>
      <c r="R95" s="20">
        <f>(42095+(3*365))+112</f>
        <v>43302</v>
      </c>
      <c r="S95" s="17">
        <v>10</v>
      </c>
      <c r="T95" s="17">
        <v>3320</v>
      </c>
    </row>
    <row r="96" spans="1:20" x14ac:dyDescent="0.2">
      <c r="A96" s="11" t="s">
        <v>209</v>
      </c>
      <c r="B96" s="14" t="s">
        <v>27</v>
      </c>
      <c r="C96" s="11" t="s">
        <v>20</v>
      </c>
      <c r="D96" s="15">
        <v>129397083</v>
      </c>
      <c r="E96" s="11" t="s">
        <v>29</v>
      </c>
      <c r="F96" s="20">
        <v>43452</v>
      </c>
      <c r="G96" s="16" t="str">
        <f t="shared" si="2"/>
        <v>December</v>
      </c>
      <c r="H96" s="2">
        <f t="shared" ca="1" si="3"/>
        <v>0</v>
      </c>
      <c r="I96" s="17" t="s">
        <v>38</v>
      </c>
      <c r="J96" s="18">
        <v>93029</v>
      </c>
      <c r="K96" s="19">
        <v>5</v>
      </c>
      <c r="N96" s="11" t="s">
        <v>1221</v>
      </c>
      <c r="O96" s="11" t="s">
        <v>89</v>
      </c>
      <c r="P96" s="11" t="s">
        <v>65</v>
      </c>
      <c r="Q96" s="11" t="s">
        <v>34</v>
      </c>
      <c r="R96" s="20">
        <f>(42096+(3*365))+112</f>
        <v>43303</v>
      </c>
      <c r="S96" s="17">
        <v>12</v>
      </c>
      <c r="T96" s="17">
        <v>3986</v>
      </c>
    </row>
    <row r="97" spans="1:20" x14ac:dyDescent="0.2">
      <c r="A97" s="11" t="s">
        <v>1524</v>
      </c>
      <c r="B97" s="14" t="s">
        <v>27</v>
      </c>
      <c r="C97" s="11" t="s">
        <v>214</v>
      </c>
      <c r="D97" s="15">
        <v>876777922</v>
      </c>
      <c r="E97" s="11" t="s">
        <v>21</v>
      </c>
      <c r="F97" s="20">
        <v>43305</v>
      </c>
      <c r="G97" s="16" t="str">
        <f t="shared" si="2"/>
        <v>July</v>
      </c>
      <c r="H97" s="2">
        <f t="shared" ca="1" si="3"/>
        <v>0</v>
      </c>
      <c r="I97" s="17"/>
      <c r="J97" s="18">
        <v>119934</v>
      </c>
      <c r="K97" s="19">
        <v>5</v>
      </c>
      <c r="N97" s="11" t="s">
        <v>227</v>
      </c>
      <c r="O97" s="11" t="s">
        <v>89</v>
      </c>
      <c r="P97" s="11" t="s">
        <v>33</v>
      </c>
      <c r="Q97" s="11" t="s">
        <v>120</v>
      </c>
      <c r="R97" s="20">
        <f>(41712+(3*365))+112</f>
        <v>42919</v>
      </c>
      <c r="S97" s="17">
        <v>8</v>
      </c>
      <c r="T97" s="21">
        <v>2465</v>
      </c>
    </row>
    <row r="98" spans="1:20" x14ac:dyDescent="0.2">
      <c r="A98" s="11" t="s">
        <v>253</v>
      </c>
      <c r="B98" s="14" t="s">
        <v>19</v>
      </c>
      <c r="C98" s="11" t="s">
        <v>254</v>
      </c>
      <c r="D98" s="15">
        <v>290385638</v>
      </c>
      <c r="E98" s="11" t="s">
        <v>80</v>
      </c>
      <c r="F98" s="20">
        <v>36358</v>
      </c>
      <c r="G98" s="16" t="str">
        <f t="shared" si="2"/>
        <v>July</v>
      </c>
      <c r="H98" s="2">
        <f t="shared" ca="1" si="3"/>
        <v>19</v>
      </c>
      <c r="I98" s="17" t="s">
        <v>87</v>
      </c>
      <c r="J98" s="18">
        <v>47311</v>
      </c>
      <c r="K98" s="19">
        <v>4</v>
      </c>
      <c r="N98" s="11" t="s">
        <v>1023</v>
      </c>
      <c r="O98" s="11" t="s">
        <v>78</v>
      </c>
      <c r="P98" s="11" t="s">
        <v>33</v>
      </c>
      <c r="Q98" s="11" t="s">
        <v>41</v>
      </c>
      <c r="R98" s="20">
        <f>(42015+(3*365))+112</f>
        <v>43222</v>
      </c>
      <c r="S98" s="17">
        <v>8</v>
      </c>
      <c r="T98" s="17">
        <v>3790</v>
      </c>
    </row>
    <row r="99" spans="1:20" x14ac:dyDescent="0.2">
      <c r="A99" s="11" t="s">
        <v>1438</v>
      </c>
      <c r="B99" s="14" t="s">
        <v>36</v>
      </c>
      <c r="C99" s="11" t="s">
        <v>152</v>
      </c>
      <c r="D99" s="15">
        <v>929694686</v>
      </c>
      <c r="E99" s="11" t="s">
        <v>29</v>
      </c>
      <c r="F99" s="20">
        <v>43392</v>
      </c>
      <c r="G99" s="16" t="str">
        <f t="shared" si="2"/>
        <v>October</v>
      </c>
      <c r="H99" s="2">
        <f t="shared" ca="1" si="3"/>
        <v>0</v>
      </c>
      <c r="I99" s="17" t="s">
        <v>30</v>
      </c>
      <c r="J99" s="18">
        <v>95486</v>
      </c>
      <c r="K99" s="19">
        <v>1</v>
      </c>
      <c r="N99" s="11" t="s">
        <v>1625</v>
      </c>
      <c r="O99" s="11" t="s">
        <v>75</v>
      </c>
      <c r="P99" s="11" t="s">
        <v>24</v>
      </c>
      <c r="Q99" s="11" t="s">
        <v>34</v>
      </c>
      <c r="R99" s="20">
        <f>(42284+(3*365))+112</f>
        <v>43491</v>
      </c>
      <c r="S99" s="17">
        <v>12</v>
      </c>
      <c r="T99" s="17">
        <v>4011</v>
      </c>
    </row>
    <row r="100" spans="1:20" x14ac:dyDescent="0.2">
      <c r="A100" s="11" t="s">
        <v>1508</v>
      </c>
      <c r="B100" s="14" t="s">
        <v>27</v>
      </c>
      <c r="C100" s="11" t="s">
        <v>152</v>
      </c>
      <c r="D100" s="15">
        <v>879114558</v>
      </c>
      <c r="E100" s="11" t="s">
        <v>80</v>
      </c>
      <c r="F100" s="20">
        <v>39774</v>
      </c>
      <c r="G100" s="16" t="str">
        <f t="shared" si="2"/>
        <v>November</v>
      </c>
      <c r="H100" s="2">
        <f t="shared" ca="1" si="3"/>
        <v>10</v>
      </c>
      <c r="I100" s="17" t="s">
        <v>47</v>
      </c>
      <c r="J100" s="18">
        <v>23227</v>
      </c>
      <c r="K100" s="19">
        <v>5</v>
      </c>
      <c r="N100" s="11" t="s">
        <v>1359</v>
      </c>
      <c r="O100" s="11" t="s">
        <v>117</v>
      </c>
      <c r="P100" s="11" t="s">
        <v>65</v>
      </c>
      <c r="Q100" s="11" t="s">
        <v>120</v>
      </c>
      <c r="R100" s="20">
        <f>(42151+(3*365))+112</f>
        <v>43358</v>
      </c>
      <c r="S100" s="17">
        <v>5</v>
      </c>
      <c r="T100" s="17">
        <v>2955</v>
      </c>
    </row>
    <row r="101" spans="1:20" x14ac:dyDescent="0.2">
      <c r="A101" s="11" t="s">
        <v>1080</v>
      </c>
      <c r="B101" s="14" t="s">
        <v>83</v>
      </c>
      <c r="C101" s="11" t="s">
        <v>136</v>
      </c>
      <c r="D101" s="15">
        <v>369210573</v>
      </c>
      <c r="E101" s="11" t="s">
        <v>80</v>
      </c>
      <c r="F101" s="20">
        <v>39073</v>
      </c>
      <c r="G101" s="16" t="str">
        <f t="shared" si="2"/>
        <v>December</v>
      </c>
      <c r="H101" s="2">
        <f t="shared" ca="1" si="3"/>
        <v>12</v>
      </c>
      <c r="I101" s="17" t="s">
        <v>30</v>
      </c>
      <c r="J101" s="18">
        <v>30341</v>
      </c>
      <c r="K101" s="19">
        <v>4</v>
      </c>
      <c r="N101" s="11" t="s">
        <v>927</v>
      </c>
      <c r="O101" s="11" t="s">
        <v>78</v>
      </c>
      <c r="P101" s="11" t="s">
        <v>65</v>
      </c>
      <c r="Q101" s="11" t="s">
        <v>120</v>
      </c>
      <c r="R101" s="20">
        <f>(41991+(3*365))+112</f>
        <v>43198</v>
      </c>
      <c r="S101" s="17">
        <v>2</v>
      </c>
      <c r="T101" s="17">
        <v>870</v>
      </c>
    </row>
    <row r="102" spans="1:20" x14ac:dyDescent="0.2">
      <c r="A102" s="11" t="s">
        <v>562</v>
      </c>
      <c r="B102" s="14" t="s">
        <v>19</v>
      </c>
      <c r="C102" s="11" t="s">
        <v>214</v>
      </c>
      <c r="D102" s="15">
        <v>930314379</v>
      </c>
      <c r="E102" s="11" t="s">
        <v>29</v>
      </c>
      <c r="F102" s="20">
        <v>42246</v>
      </c>
      <c r="G102" s="16" t="str">
        <f t="shared" si="2"/>
        <v>August</v>
      </c>
      <c r="H102" s="2">
        <f t="shared" ca="1" si="3"/>
        <v>3</v>
      </c>
      <c r="I102" s="17" t="s">
        <v>38</v>
      </c>
      <c r="J102" s="18">
        <v>96512</v>
      </c>
      <c r="K102" s="19">
        <v>5</v>
      </c>
      <c r="N102" s="11" t="s">
        <v>1027</v>
      </c>
      <c r="O102" s="11" t="s">
        <v>64</v>
      </c>
      <c r="P102" s="11" t="s">
        <v>65</v>
      </c>
      <c r="Q102" s="11" t="s">
        <v>41</v>
      </c>
      <c r="R102" s="20">
        <f>(42015+(3*365))+112</f>
        <v>43222</v>
      </c>
      <c r="S102" s="17">
        <v>7</v>
      </c>
      <c r="T102" s="17">
        <v>3740</v>
      </c>
    </row>
    <row r="103" spans="1:20" x14ac:dyDescent="0.2">
      <c r="A103" s="11" t="s">
        <v>374</v>
      </c>
      <c r="B103" s="14" t="s">
        <v>36</v>
      </c>
      <c r="C103" s="11" t="s">
        <v>145</v>
      </c>
      <c r="D103" s="15">
        <v>781472289</v>
      </c>
      <c r="E103" s="11" t="s">
        <v>29</v>
      </c>
      <c r="F103" s="20">
        <v>36404</v>
      </c>
      <c r="G103" s="16" t="str">
        <f t="shared" si="2"/>
        <v>September</v>
      </c>
      <c r="H103" s="2">
        <f t="shared" ca="1" si="3"/>
        <v>19</v>
      </c>
      <c r="I103" s="17" t="s">
        <v>30</v>
      </c>
      <c r="J103" s="18">
        <v>85118</v>
      </c>
      <c r="K103" s="19">
        <v>3</v>
      </c>
      <c r="N103" s="11" t="s">
        <v>1636</v>
      </c>
      <c r="O103" s="11" t="s">
        <v>45</v>
      </c>
      <c r="P103" s="11" t="s">
        <v>24</v>
      </c>
      <c r="Q103" s="11" t="s">
        <v>120</v>
      </c>
      <c r="R103" s="20">
        <f>(42295+(3*365))+112</f>
        <v>43502</v>
      </c>
      <c r="S103" s="17">
        <v>8</v>
      </c>
      <c r="T103" s="17">
        <v>4785</v>
      </c>
    </row>
    <row r="104" spans="1:20" x14ac:dyDescent="0.2">
      <c r="A104" s="11" t="s">
        <v>182</v>
      </c>
      <c r="B104" s="14" t="s">
        <v>27</v>
      </c>
      <c r="C104" s="11" t="s">
        <v>20</v>
      </c>
      <c r="D104" s="15">
        <v>768215237</v>
      </c>
      <c r="E104" s="11" t="s">
        <v>80</v>
      </c>
      <c r="F104" s="20">
        <v>36328</v>
      </c>
      <c r="G104" s="16" t="str">
        <f t="shared" si="2"/>
        <v>June</v>
      </c>
      <c r="H104" s="2">
        <f t="shared" ca="1" si="3"/>
        <v>19</v>
      </c>
      <c r="I104" s="17" t="s">
        <v>87</v>
      </c>
      <c r="J104" s="18">
        <v>18630</v>
      </c>
      <c r="K104" s="19">
        <v>3</v>
      </c>
      <c r="N104" s="11" t="s">
        <v>1031</v>
      </c>
      <c r="O104" s="11" t="s">
        <v>54</v>
      </c>
      <c r="P104" s="11" t="s">
        <v>65</v>
      </c>
      <c r="Q104" s="11" t="s">
        <v>219</v>
      </c>
      <c r="R104" s="20">
        <f>(42016+(3*365))+112</f>
        <v>43223</v>
      </c>
      <c r="S104" s="17">
        <v>7</v>
      </c>
      <c r="T104" s="17">
        <v>3900</v>
      </c>
    </row>
    <row r="105" spans="1:20" x14ac:dyDescent="0.2">
      <c r="A105" s="11" t="s">
        <v>262</v>
      </c>
      <c r="B105" s="14" t="s">
        <v>27</v>
      </c>
      <c r="C105" s="11" t="s">
        <v>254</v>
      </c>
      <c r="D105" s="15">
        <v>959568761</v>
      </c>
      <c r="E105" s="11" t="s">
        <v>29</v>
      </c>
      <c r="F105" s="20">
        <v>36313</v>
      </c>
      <c r="G105" s="16" t="str">
        <f t="shared" si="2"/>
        <v>June</v>
      </c>
      <c r="H105" s="2">
        <f t="shared" ca="1" si="3"/>
        <v>20</v>
      </c>
      <c r="I105" s="17" t="s">
        <v>38</v>
      </c>
      <c r="J105" s="18">
        <v>82985</v>
      </c>
      <c r="K105" s="19">
        <v>5</v>
      </c>
      <c r="N105" s="11" t="s">
        <v>261</v>
      </c>
      <c r="O105" s="11" t="s">
        <v>78</v>
      </c>
      <c r="P105" s="11" t="s">
        <v>65</v>
      </c>
      <c r="Q105" s="11" t="s">
        <v>34</v>
      </c>
      <c r="R105" s="20">
        <f>(41726+(3*365))+112</f>
        <v>42933</v>
      </c>
      <c r="S105" s="17">
        <v>20</v>
      </c>
      <c r="T105" s="17">
        <v>6060</v>
      </c>
    </row>
    <row r="106" spans="1:20" x14ac:dyDescent="0.2">
      <c r="A106" s="11" t="s">
        <v>799</v>
      </c>
      <c r="B106" s="14" t="s">
        <v>83</v>
      </c>
      <c r="C106" s="11" t="s">
        <v>152</v>
      </c>
      <c r="D106" s="15">
        <v>641962645</v>
      </c>
      <c r="E106" s="11" t="s">
        <v>21</v>
      </c>
      <c r="F106" s="20">
        <v>36991</v>
      </c>
      <c r="G106" s="16" t="str">
        <f t="shared" si="2"/>
        <v>April</v>
      </c>
      <c r="H106" s="2">
        <f t="shared" ca="1" si="3"/>
        <v>18</v>
      </c>
      <c r="I106" s="17"/>
      <c r="J106" s="18">
        <v>106097</v>
      </c>
      <c r="K106" s="19">
        <v>1</v>
      </c>
      <c r="N106" s="11" t="s">
        <v>581</v>
      </c>
      <c r="O106" s="11" t="s">
        <v>64</v>
      </c>
      <c r="P106" s="11" t="s">
        <v>65</v>
      </c>
      <c r="Q106" s="11" t="s">
        <v>41</v>
      </c>
      <c r="R106" s="20">
        <f>(41859+(3*365))+112</f>
        <v>43066</v>
      </c>
      <c r="S106" s="17">
        <v>8</v>
      </c>
      <c r="T106" s="17">
        <v>3080</v>
      </c>
    </row>
    <row r="107" spans="1:20" x14ac:dyDescent="0.2">
      <c r="A107" s="11" t="s">
        <v>1184</v>
      </c>
      <c r="B107" s="14" t="s">
        <v>27</v>
      </c>
      <c r="C107" s="11" t="s">
        <v>136</v>
      </c>
      <c r="D107" s="15">
        <v>349174221</v>
      </c>
      <c r="E107" s="11" t="s">
        <v>80</v>
      </c>
      <c r="F107" s="20">
        <v>38940</v>
      </c>
      <c r="G107" s="16" t="str">
        <f t="shared" si="2"/>
        <v>August</v>
      </c>
      <c r="H107" s="2">
        <f t="shared" ca="1" si="3"/>
        <v>12</v>
      </c>
      <c r="I107" s="17" t="s">
        <v>87</v>
      </c>
      <c r="J107" s="18">
        <v>61763</v>
      </c>
      <c r="K107" s="19">
        <v>5</v>
      </c>
      <c r="N107" s="11" t="s">
        <v>1047</v>
      </c>
      <c r="O107" s="11" t="s">
        <v>89</v>
      </c>
      <c r="P107" s="11" t="s">
        <v>65</v>
      </c>
      <c r="Q107" s="11" t="s">
        <v>34</v>
      </c>
      <c r="R107" s="20">
        <f>(42021+(3*365))+112</f>
        <v>43228</v>
      </c>
      <c r="S107" s="17">
        <v>6</v>
      </c>
      <c r="T107" s="17">
        <v>2250</v>
      </c>
    </row>
    <row r="108" spans="1:20" x14ac:dyDescent="0.2">
      <c r="A108" s="11" t="s">
        <v>1024</v>
      </c>
      <c r="B108" s="14" t="s">
        <v>43</v>
      </c>
      <c r="C108" s="11" t="s">
        <v>20</v>
      </c>
      <c r="D108" s="15">
        <v>841913875</v>
      </c>
      <c r="E108" s="11" t="s">
        <v>21</v>
      </c>
      <c r="F108" s="20">
        <v>38016</v>
      </c>
      <c r="G108" s="16" t="str">
        <f t="shared" si="2"/>
        <v>January</v>
      </c>
      <c r="H108" s="2">
        <f t="shared" ca="1" si="3"/>
        <v>15</v>
      </c>
      <c r="I108" s="17"/>
      <c r="J108" s="18">
        <v>68243</v>
      </c>
      <c r="K108" s="19">
        <v>2</v>
      </c>
      <c r="N108" s="11" t="s">
        <v>840</v>
      </c>
      <c r="O108" s="11" t="s">
        <v>54</v>
      </c>
      <c r="P108" s="11" t="s">
        <v>24</v>
      </c>
      <c r="Q108" s="11" t="s">
        <v>34</v>
      </c>
      <c r="R108" s="20">
        <f>(41963+(3*365))+112</f>
        <v>43170</v>
      </c>
      <c r="S108" s="17">
        <v>13</v>
      </c>
      <c r="T108" s="17">
        <v>5509</v>
      </c>
    </row>
    <row r="109" spans="1:20" x14ac:dyDescent="0.2">
      <c r="A109" s="11" t="s">
        <v>518</v>
      </c>
      <c r="B109" s="14" t="s">
        <v>27</v>
      </c>
      <c r="C109" s="11" t="s">
        <v>214</v>
      </c>
      <c r="D109" s="15">
        <v>589649495</v>
      </c>
      <c r="E109" s="11" t="s">
        <v>29</v>
      </c>
      <c r="F109" s="20">
        <v>39563</v>
      </c>
      <c r="G109" s="16" t="str">
        <f t="shared" si="2"/>
        <v>April</v>
      </c>
      <c r="H109" s="2">
        <f t="shared" ca="1" si="3"/>
        <v>11</v>
      </c>
      <c r="I109" s="17" t="s">
        <v>71</v>
      </c>
      <c r="J109" s="18">
        <v>52475</v>
      </c>
      <c r="K109" s="19">
        <v>2</v>
      </c>
      <c r="N109" s="11" t="s">
        <v>1701</v>
      </c>
      <c r="O109" s="11" t="s">
        <v>49</v>
      </c>
      <c r="P109" s="11" t="s">
        <v>40</v>
      </c>
      <c r="Q109" s="11" t="s">
        <v>120</v>
      </c>
      <c r="R109" s="20">
        <f>(42349+(3*365))+112</f>
        <v>43556</v>
      </c>
      <c r="S109" s="17">
        <v>11</v>
      </c>
      <c r="T109" s="17">
        <v>5260</v>
      </c>
    </row>
    <row r="110" spans="1:20" x14ac:dyDescent="0.2">
      <c r="A110" s="11" t="s">
        <v>1208</v>
      </c>
      <c r="B110" s="14" t="s">
        <v>27</v>
      </c>
      <c r="C110" s="11" t="s">
        <v>152</v>
      </c>
      <c r="D110" s="15">
        <v>894855096</v>
      </c>
      <c r="E110" s="11" t="s">
        <v>80</v>
      </c>
      <c r="F110" s="20">
        <v>38322</v>
      </c>
      <c r="G110" s="16" t="str">
        <f t="shared" si="2"/>
        <v>December</v>
      </c>
      <c r="H110" s="2">
        <f t="shared" ca="1" si="3"/>
        <v>14</v>
      </c>
      <c r="I110" s="17" t="s">
        <v>87</v>
      </c>
      <c r="J110" s="18">
        <v>50841</v>
      </c>
      <c r="K110" s="19">
        <v>4</v>
      </c>
      <c r="N110" s="11" t="s">
        <v>1503</v>
      </c>
      <c r="O110" s="11" t="s">
        <v>64</v>
      </c>
      <c r="P110" s="11" t="s">
        <v>33</v>
      </c>
      <c r="Q110" s="11" t="s">
        <v>120</v>
      </c>
      <c r="R110" s="20">
        <f>(42204+(3*365))+112</f>
        <v>43411</v>
      </c>
      <c r="S110" s="17">
        <v>3</v>
      </c>
      <c r="T110" s="17">
        <v>1360</v>
      </c>
    </row>
    <row r="111" spans="1:20" x14ac:dyDescent="0.2">
      <c r="A111" s="11" t="s">
        <v>421</v>
      </c>
      <c r="B111" s="14" t="s">
        <v>19</v>
      </c>
      <c r="C111" s="11" t="s">
        <v>59</v>
      </c>
      <c r="D111" s="15">
        <v>407299017</v>
      </c>
      <c r="E111" s="11" t="s">
        <v>56</v>
      </c>
      <c r="F111" s="20">
        <v>42749</v>
      </c>
      <c r="G111" s="16" t="str">
        <f t="shared" si="2"/>
        <v>January</v>
      </c>
      <c r="H111" s="2">
        <f t="shared" ca="1" si="3"/>
        <v>2</v>
      </c>
      <c r="I111" s="17"/>
      <c r="J111" s="18">
        <v>21254</v>
      </c>
      <c r="K111" s="19">
        <v>3</v>
      </c>
      <c r="N111" s="11" t="s">
        <v>270</v>
      </c>
      <c r="O111" s="11" t="s">
        <v>114</v>
      </c>
      <c r="P111" s="11" t="s">
        <v>24</v>
      </c>
      <c r="Q111" s="11" t="s">
        <v>219</v>
      </c>
      <c r="R111" s="20">
        <f>(41732+(3*365))+112</f>
        <v>42939</v>
      </c>
      <c r="S111" s="17">
        <v>9</v>
      </c>
      <c r="T111" s="17">
        <v>5380</v>
      </c>
    </row>
    <row r="112" spans="1:20" x14ac:dyDescent="0.2">
      <c r="A112" s="11" t="s">
        <v>612</v>
      </c>
      <c r="B112" s="14" t="s">
        <v>19</v>
      </c>
      <c r="C112" s="11" t="s">
        <v>214</v>
      </c>
      <c r="D112" s="15">
        <v>387517948</v>
      </c>
      <c r="E112" s="11" t="s">
        <v>29</v>
      </c>
      <c r="F112" s="20">
        <v>43490</v>
      </c>
      <c r="G112" s="16" t="str">
        <f t="shared" si="2"/>
        <v>January</v>
      </c>
      <c r="H112" s="2">
        <f t="shared" ca="1" si="3"/>
        <v>0</v>
      </c>
      <c r="I112" s="17" t="s">
        <v>47</v>
      </c>
      <c r="J112" s="18">
        <v>64044</v>
      </c>
      <c r="K112" s="19">
        <v>3</v>
      </c>
      <c r="N112" s="11" t="s">
        <v>535</v>
      </c>
      <c r="O112" s="11" t="s">
        <v>114</v>
      </c>
      <c r="P112" s="11" t="s">
        <v>33</v>
      </c>
      <c r="Q112" s="11" t="s">
        <v>120</v>
      </c>
      <c r="R112" s="20">
        <f>(41844+(3*365))+112</f>
        <v>43051</v>
      </c>
      <c r="S112" s="17">
        <v>13</v>
      </c>
      <c r="T112" s="17">
        <v>6890</v>
      </c>
    </row>
    <row r="113" spans="1:20" x14ac:dyDescent="0.2">
      <c r="A113" s="11" t="s">
        <v>1422</v>
      </c>
      <c r="B113" s="14" t="s">
        <v>36</v>
      </c>
      <c r="C113" s="11" t="s">
        <v>20</v>
      </c>
      <c r="D113" s="15">
        <v>267218084</v>
      </c>
      <c r="E113" s="11" t="s">
        <v>21</v>
      </c>
      <c r="F113" s="20">
        <v>38796</v>
      </c>
      <c r="G113" s="16" t="str">
        <f t="shared" si="2"/>
        <v>March</v>
      </c>
      <c r="H113" s="2">
        <f t="shared" ca="1" si="3"/>
        <v>13</v>
      </c>
      <c r="I113" s="17"/>
      <c r="J113" s="18">
        <v>118800</v>
      </c>
      <c r="K113" s="19">
        <v>5</v>
      </c>
      <c r="N113" s="11" t="s">
        <v>531</v>
      </c>
      <c r="O113" s="11" t="s">
        <v>78</v>
      </c>
      <c r="P113" s="11" t="s">
        <v>24</v>
      </c>
      <c r="Q113" s="11" t="s">
        <v>25</v>
      </c>
      <c r="R113" s="20">
        <f>(41841+(3*365))+112</f>
        <v>43048</v>
      </c>
      <c r="S113" s="17">
        <v>13</v>
      </c>
      <c r="T113" s="17">
        <v>5850</v>
      </c>
    </row>
    <row r="114" spans="1:20" x14ac:dyDescent="0.2">
      <c r="A114" s="11" t="s">
        <v>482</v>
      </c>
      <c r="B114" s="14" t="s">
        <v>43</v>
      </c>
      <c r="C114" s="11" t="s">
        <v>86</v>
      </c>
      <c r="D114" s="15">
        <v>948189231</v>
      </c>
      <c r="E114" s="11" t="s">
        <v>29</v>
      </c>
      <c r="F114" s="20">
        <v>36558</v>
      </c>
      <c r="G114" s="16" t="str">
        <f t="shared" si="2"/>
        <v>February</v>
      </c>
      <c r="H114" s="2">
        <f t="shared" ca="1" si="3"/>
        <v>19</v>
      </c>
      <c r="I114" s="17" t="s">
        <v>47</v>
      </c>
      <c r="J114" s="18">
        <v>49977</v>
      </c>
      <c r="K114" s="19">
        <v>2</v>
      </c>
      <c r="N114" s="11" t="s">
        <v>1317</v>
      </c>
      <c r="O114" s="11" t="s">
        <v>64</v>
      </c>
      <c r="P114" s="11" t="s">
        <v>24</v>
      </c>
      <c r="Q114" s="11" t="s">
        <v>120</v>
      </c>
      <c r="R114" s="20">
        <f>(42136+(3*365))+112</f>
        <v>43343</v>
      </c>
      <c r="S114" s="17">
        <v>10</v>
      </c>
      <c r="T114" s="17">
        <v>5210</v>
      </c>
    </row>
    <row r="115" spans="1:20" x14ac:dyDescent="0.2">
      <c r="A115" s="11" t="s">
        <v>1250</v>
      </c>
      <c r="B115" s="14" t="s">
        <v>19</v>
      </c>
      <c r="C115" s="11" t="s">
        <v>145</v>
      </c>
      <c r="D115" s="15">
        <v>975857784</v>
      </c>
      <c r="E115" s="11" t="s">
        <v>21</v>
      </c>
      <c r="F115" s="20">
        <v>39498</v>
      </c>
      <c r="G115" s="16" t="str">
        <f t="shared" si="2"/>
        <v>February</v>
      </c>
      <c r="H115" s="2">
        <f t="shared" ca="1" si="3"/>
        <v>11</v>
      </c>
      <c r="I115" s="17"/>
      <c r="J115" s="18">
        <v>104976</v>
      </c>
      <c r="K115" s="19">
        <v>3</v>
      </c>
      <c r="N115" s="11" t="s">
        <v>746</v>
      </c>
      <c r="O115" s="11" t="s">
        <v>54</v>
      </c>
      <c r="P115" s="11" t="s">
        <v>33</v>
      </c>
      <c r="Q115" s="11" t="s">
        <v>25</v>
      </c>
      <c r="R115" s="20">
        <f>(41929+(3*365))+112</f>
        <v>43136</v>
      </c>
      <c r="S115" s="17">
        <v>1</v>
      </c>
      <c r="T115" s="17">
        <v>485</v>
      </c>
    </row>
    <row r="116" spans="1:20" x14ac:dyDescent="0.2">
      <c r="A116" s="11" t="s">
        <v>655</v>
      </c>
      <c r="B116" s="14" t="s">
        <v>19</v>
      </c>
      <c r="C116" s="11" t="s">
        <v>214</v>
      </c>
      <c r="D116" s="15">
        <v>931105030</v>
      </c>
      <c r="E116" s="11" t="s">
        <v>29</v>
      </c>
      <c r="F116" s="20">
        <v>39129</v>
      </c>
      <c r="G116" s="16" t="str">
        <f t="shared" si="2"/>
        <v>February</v>
      </c>
      <c r="H116" s="2">
        <f t="shared" ca="1" si="3"/>
        <v>12</v>
      </c>
      <c r="I116" s="17" t="s">
        <v>30</v>
      </c>
      <c r="J116" s="18">
        <v>82796</v>
      </c>
      <c r="K116" s="19">
        <v>4</v>
      </c>
      <c r="N116" s="11" t="s">
        <v>758</v>
      </c>
      <c r="O116" s="11" t="s">
        <v>114</v>
      </c>
      <c r="P116" s="11" t="s">
        <v>33</v>
      </c>
      <c r="Q116" s="11" t="s">
        <v>219</v>
      </c>
      <c r="R116" s="20">
        <f>(41935+(3*365))+112</f>
        <v>43142</v>
      </c>
      <c r="S116" s="17">
        <v>2</v>
      </c>
      <c r="T116" s="17">
        <v>1020</v>
      </c>
    </row>
    <row r="117" spans="1:20" x14ac:dyDescent="0.2">
      <c r="A117" s="11" t="s">
        <v>480</v>
      </c>
      <c r="B117" s="14" t="s">
        <v>51</v>
      </c>
      <c r="C117" s="11" t="s">
        <v>86</v>
      </c>
      <c r="D117" s="15">
        <v>159415552</v>
      </c>
      <c r="E117" s="11" t="s">
        <v>29</v>
      </c>
      <c r="F117" s="20">
        <v>36621</v>
      </c>
      <c r="G117" s="16" t="str">
        <f t="shared" si="2"/>
        <v>April</v>
      </c>
      <c r="H117" s="2">
        <f t="shared" ca="1" si="3"/>
        <v>19</v>
      </c>
      <c r="I117" s="17" t="s">
        <v>87</v>
      </c>
      <c r="J117" s="18">
        <v>99806</v>
      </c>
      <c r="K117" s="19">
        <v>1</v>
      </c>
      <c r="N117" s="11" t="s">
        <v>161</v>
      </c>
      <c r="O117" s="11" t="s">
        <v>117</v>
      </c>
      <c r="P117" s="11" t="s">
        <v>40</v>
      </c>
      <c r="Q117" s="11" t="s">
        <v>34</v>
      </c>
      <c r="R117" s="20">
        <f>(41682+(3*365))+112</f>
        <v>42889</v>
      </c>
      <c r="S117" s="17">
        <v>8</v>
      </c>
      <c r="T117" s="17">
        <v>2453</v>
      </c>
    </row>
    <row r="118" spans="1:20" x14ac:dyDescent="0.2">
      <c r="A118" s="11" t="s">
        <v>220</v>
      </c>
      <c r="B118" s="14" t="s">
        <v>27</v>
      </c>
      <c r="C118" s="11" t="s">
        <v>20</v>
      </c>
      <c r="D118" s="15">
        <v>856215418</v>
      </c>
      <c r="E118" s="11" t="s">
        <v>56</v>
      </c>
      <c r="F118" s="20">
        <v>39458</v>
      </c>
      <c r="G118" s="16" t="str">
        <f t="shared" si="2"/>
        <v>January</v>
      </c>
      <c r="H118" s="2">
        <f t="shared" ca="1" si="3"/>
        <v>11</v>
      </c>
      <c r="I118" s="17"/>
      <c r="J118" s="18">
        <v>40608</v>
      </c>
      <c r="K118" s="19">
        <v>3</v>
      </c>
      <c r="N118" s="11" t="s">
        <v>63</v>
      </c>
      <c r="O118" s="11" t="s">
        <v>64</v>
      </c>
      <c r="P118" s="11" t="s">
        <v>65</v>
      </c>
      <c r="Q118" s="11" t="s">
        <v>25</v>
      </c>
      <c r="R118" s="20">
        <f>(41650+(3*365))+112</f>
        <v>42857</v>
      </c>
      <c r="S118" s="17">
        <v>10</v>
      </c>
      <c r="T118" s="21">
        <v>4250</v>
      </c>
    </row>
    <row r="119" spans="1:20" x14ac:dyDescent="0.2">
      <c r="A119" s="11" t="s">
        <v>398</v>
      </c>
      <c r="B119" s="14" t="s">
        <v>36</v>
      </c>
      <c r="C119" s="11" t="s">
        <v>59</v>
      </c>
      <c r="D119" s="15">
        <v>956291859</v>
      </c>
      <c r="E119" s="11" t="s">
        <v>21</v>
      </c>
      <c r="F119" s="20">
        <v>43115</v>
      </c>
      <c r="G119" s="16" t="str">
        <f t="shared" si="2"/>
        <v>January</v>
      </c>
      <c r="H119" s="2">
        <f t="shared" ca="1" si="3"/>
        <v>1</v>
      </c>
      <c r="I119" s="17"/>
      <c r="J119" s="18">
        <v>61709</v>
      </c>
      <c r="K119" s="19">
        <v>3</v>
      </c>
      <c r="N119" s="11" t="s">
        <v>337</v>
      </c>
      <c r="O119" s="11" t="s">
        <v>78</v>
      </c>
      <c r="P119" s="11" t="s">
        <v>65</v>
      </c>
      <c r="Q119" s="11" t="s">
        <v>25</v>
      </c>
      <c r="R119" s="20">
        <f>(41755+(3*365))+112</f>
        <v>42962</v>
      </c>
      <c r="S119" s="17">
        <v>7</v>
      </c>
      <c r="T119" s="17">
        <v>3800</v>
      </c>
    </row>
    <row r="120" spans="1:20" x14ac:dyDescent="0.2">
      <c r="A120" s="11" t="s">
        <v>465</v>
      </c>
      <c r="B120" s="14" t="s">
        <v>19</v>
      </c>
      <c r="C120" s="11" t="s">
        <v>214</v>
      </c>
      <c r="D120" s="15">
        <v>820244290</v>
      </c>
      <c r="E120" s="11" t="s">
        <v>21</v>
      </c>
      <c r="F120" s="20">
        <v>36835</v>
      </c>
      <c r="G120" s="16" t="str">
        <f t="shared" si="2"/>
        <v>November</v>
      </c>
      <c r="H120" s="2">
        <f t="shared" ca="1" si="3"/>
        <v>18</v>
      </c>
      <c r="I120" s="17"/>
      <c r="J120" s="18">
        <v>99887</v>
      </c>
      <c r="K120" s="19">
        <v>3</v>
      </c>
      <c r="N120" s="11" t="s">
        <v>1649</v>
      </c>
      <c r="O120" s="11" t="s">
        <v>32</v>
      </c>
      <c r="P120" s="11" t="s">
        <v>24</v>
      </c>
      <c r="Q120" s="11" t="s">
        <v>34</v>
      </c>
      <c r="R120" s="20">
        <f>(42311+(3*365))+112</f>
        <v>43518</v>
      </c>
      <c r="S120" s="17">
        <v>8</v>
      </c>
      <c r="T120" s="17">
        <v>4680</v>
      </c>
    </row>
    <row r="121" spans="1:20" x14ac:dyDescent="0.2">
      <c r="A121" s="4" t="s">
        <v>1278</v>
      </c>
      <c r="B121" s="14" t="s">
        <v>27</v>
      </c>
      <c r="C121" s="11" t="s">
        <v>59</v>
      </c>
      <c r="D121" s="15">
        <v>659766304</v>
      </c>
      <c r="E121" s="11" t="s">
        <v>29</v>
      </c>
      <c r="F121" s="20">
        <v>38357</v>
      </c>
      <c r="G121" s="16" t="str">
        <f t="shared" si="2"/>
        <v>January</v>
      </c>
      <c r="H121" s="2">
        <f t="shared" ca="1" si="3"/>
        <v>14</v>
      </c>
      <c r="I121" s="17" t="s">
        <v>30</v>
      </c>
      <c r="J121" s="18">
        <v>50963</v>
      </c>
      <c r="K121" s="19">
        <v>5</v>
      </c>
      <c r="N121" s="11" t="s">
        <v>1662</v>
      </c>
      <c r="O121" s="11" t="s">
        <v>49</v>
      </c>
      <c r="P121" s="11" t="s">
        <v>33</v>
      </c>
      <c r="Q121" s="11" t="s">
        <v>120</v>
      </c>
      <c r="R121" s="20">
        <f>(42319+(3*365))+112</f>
        <v>43526</v>
      </c>
      <c r="S121" s="17">
        <v>1</v>
      </c>
      <c r="T121" s="17">
        <v>575</v>
      </c>
    </row>
    <row r="122" spans="1:20" x14ac:dyDescent="0.2">
      <c r="A122" s="11" t="s">
        <v>213</v>
      </c>
      <c r="B122" s="14" t="s">
        <v>27</v>
      </c>
      <c r="C122" s="11" t="s">
        <v>214</v>
      </c>
      <c r="D122" s="15">
        <v>291715078</v>
      </c>
      <c r="E122" s="11" t="s">
        <v>29</v>
      </c>
      <c r="F122" s="20">
        <v>36469</v>
      </c>
      <c r="G122" s="16" t="str">
        <f t="shared" si="2"/>
        <v>November</v>
      </c>
      <c r="H122" s="2">
        <f t="shared" ca="1" si="3"/>
        <v>19</v>
      </c>
      <c r="I122" s="17" t="s">
        <v>215</v>
      </c>
      <c r="J122" s="18">
        <v>76815</v>
      </c>
      <c r="K122" s="19">
        <v>5</v>
      </c>
      <c r="N122" s="11" t="s">
        <v>341</v>
      </c>
      <c r="O122" s="11" t="s">
        <v>23</v>
      </c>
      <c r="P122" s="11" t="s">
        <v>24</v>
      </c>
      <c r="Q122" s="11" t="s">
        <v>41</v>
      </c>
      <c r="R122" s="20">
        <f>(41755+(3*365))+112</f>
        <v>42962</v>
      </c>
      <c r="S122" s="17">
        <v>8</v>
      </c>
      <c r="T122" s="17">
        <v>3370</v>
      </c>
    </row>
    <row r="123" spans="1:20" x14ac:dyDescent="0.2">
      <c r="A123" s="11" t="s">
        <v>1396</v>
      </c>
      <c r="B123" s="14" t="s">
        <v>83</v>
      </c>
      <c r="C123" s="11" t="s">
        <v>145</v>
      </c>
      <c r="D123" s="15">
        <v>269873478</v>
      </c>
      <c r="E123" s="11" t="s">
        <v>29</v>
      </c>
      <c r="F123" s="20">
        <v>38571</v>
      </c>
      <c r="G123" s="16" t="str">
        <f t="shared" si="2"/>
        <v>August</v>
      </c>
      <c r="H123" s="2">
        <f t="shared" ca="1" si="3"/>
        <v>13</v>
      </c>
      <c r="I123" s="17" t="s">
        <v>30</v>
      </c>
      <c r="J123" s="18">
        <v>43362</v>
      </c>
      <c r="K123" s="19">
        <v>1</v>
      </c>
      <c r="N123" s="11" t="s">
        <v>961</v>
      </c>
      <c r="O123" s="11" t="s">
        <v>64</v>
      </c>
      <c r="P123" s="11" t="s">
        <v>24</v>
      </c>
      <c r="Q123" s="11" t="s">
        <v>34</v>
      </c>
      <c r="R123" s="20">
        <f>(42001+(3*365))+112</f>
        <v>43208</v>
      </c>
      <c r="S123" s="17">
        <v>16</v>
      </c>
      <c r="T123" s="17">
        <v>6255</v>
      </c>
    </row>
    <row r="124" spans="1:20" x14ac:dyDescent="0.2">
      <c r="A124" s="11" t="s">
        <v>1132</v>
      </c>
      <c r="B124" s="14" t="s">
        <v>27</v>
      </c>
      <c r="C124" s="11" t="s">
        <v>254</v>
      </c>
      <c r="D124" s="15">
        <v>824046378</v>
      </c>
      <c r="E124" s="11" t="s">
        <v>29</v>
      </c>
      <c r="F124" s="20">
        <v>38235</v>
      </c>
      <c r="G124" s="16" t="str">
        <f t="shared" si="2"/>
        <v>September</v>
      </c>
      <c r="H124" s="2">
        <f t="shared" ca="1" si="3"/>
        <v>14</v>
      </c>
      <c r="I124" s="17" t="s">
        <v>71</v>
      </c>
      <c r="J124" s="18">
        <v>90761</v>
      </c>
      <c r="K124" s="19">
        <v>4</v>
      </c>
      <c r="N124" s="11" t="s">
        <v>682</v>
      </c>
      <c r="O124" s="11" t="s">
        <v>89</v>
      </c>
      <c r="P124" s="11" t="s">
        <v>33</v>
      </c>
      <c r="Q124" s="11" t="s">
        <v>25</v>
      </c>
      <c r="R124" s="20">
        <f>(41900+(3*365))+112</f>
        <v>43107</v>
      </c>
      <c r="S124" s="17">
        <v>8</v>
      </c>
      <c r="T124" s="17">
        <v>2975</v>
      </c>
    </row>
    <row r="125" spans="1:20" x14ac:dyDescent="0.2">
      <c r="A125" s="11" t="s">
        <v>956</v>
      </c>
      <c r="B125" s="14" t="s">
        <v>27</v>
      </c>
      <c r="C125" s="11" t="s">
        <v>214</v>
      </c>
      <c r="D125" s="15">
        <v>682500261</v>
      </c>
      <c r="E125" s="11" t="s">
        <v>29</v>
      </c>
      <c r="F125" s="20">
        <v>37737</v>
      </c>
      <c r="G125" s="16" t="str">
        <f t="shared" si="2"/>
        <v>April</v>
      </c>
      <c r="H125" s="2">
        <f t="shared" ca="1" si="3"/>
        <v>16</v>
      </c>
      <c r="I125" s="17" t="s">
        <v>87</v>
      </c>
      <c r="J125" s="18">
        <v>85145</v>
      </c>
      <c r="K125" s="19">
        <v>1</v>
      </c>
      <c r="N125" s="11" t="s">
        <v>143</v>
      </c>
      <c r="O125" s="11" t="s">
        <v>32</v>
      </c>
      <c r="P125" s="11" t="s">
        <v>40</v>
      </c>
      <c r="Q125" s="11" t="s">
        <v>34</v>
      </c>
      <c r="R125" s="20">
        <f>(41676+(3*365))+112</f>
        <v>42883</v>
      </c>
      <c r="S125" s="17">
        <v>11</v>
      </c>
      <c r="T125" s="17">
        <v>5152</v>
      </c>
    </row>
    <row r="126" spans="1:20" x14ac:dyDescent="0.2">
      <c r="A126" s="11" t="s">
        <v>164</v>
      </c>
      <c r="B126" s="14" t="s">
        <v>19</v>
      </c>
      <c r="C126" s="11" t="s">
        <v>20</v>
      </c>
      <c r="D126" s="15">
        <v>631405285</v>
      </c>
      <c r="E126" s="11" t="s">
        <v>29</v>
      </c>
      <c r="F126" s="20">
        <v>36383</v>
      </c>
      <c r="G126" s="16" t="str">
        <f t="shared" si="2"/>
        <v>August</v>
      </c>
      <c r="H126" s="2">
        <f t="shared" ca="1" si="3"/>
        <v>19</v>
      </c>
      <c r="I126" s="17" t="s">
        <v>30</v>
      </c>
      <c r="J126" s="18">
        <v>115992</v>
      </c>
      <c r="K126" s="19">
        <v>4</v>
      </c>
      <c r="N126" s="11" t="s">
        <v>1203</v>
      </c>
      <c r="O126" s="11" t="s">
        <v>49</v>
      </c>
      <c r="P126" s="11" t="s">
        <v>65</v>
      </c>
      <c r="Q126" s="11" t="s">
        <v>25</v>
      </c>
      <c r="R126" s="20">
        <f>(42090+(3*365))+112</f>
        <v>43297</v>
      </c>
      <c r="S126" s="17">
        <v>9</v>
      </c>
      <c r="T126" s="17">
        <v>3310</v>
      </c>
    </row>
    <row r="127" spans="1:20" x14ac:dyDescent="0.2">
      <c r="A127" s="11" t="s">
        <v>98</v>
      </c>
      <c r="B127" s="14" t="s">
        <v>51</v>
      </c>
      <c r="C127" s="4" t="s">
        <v>62</v>
      </c>
      <c r="D127" s="22">
        <v>356110882</v>
      </c>
      <c r="E127" s="4" t="s">
        <v>80</v>
      </c>
      <c r="F127" s="20">
        <v>39073</v>
      </c>
      <c r="G127" s="16" t="str">
        <f t="shared" si="2"/>
        <v>December</v>
      </c>
      <c r="H127" s="2">
        <f t="shared" ca="1" si="3"/>
        <v>12</v>
      </c>
      <c r="I127" s="17" t="s">
        <v>47</v>
      </c>
      <c r="J127" s="18">
        <v>20574</v>
      </c>
      <c r="K127" s="19">
        <v>1</v>
      </c>
      <c r="N127" s="11" t="s">
        <v>1161</v>
      </c>
      <c r="O127" s="11" t="s">
        <v>32</v>
      </c>
      <c r="P127" s="11" t="s">
        <v>33</v>
      </c>
      <c r="Q127" s="11" t="s">
        <v>25</v>
      </c>
      <c r="R127" s="20">
        <f>(42064+(3*365))+112</f>
        <v>43271</v>
      </c>
      <c r="S127" s="17">
        <v>11</v>
      </c>
      <c r="T127" s="17">
        <v>4420</v>
      </c>
    </row>
    <row r="128" spans="1:20" x14ac:dyDescent="0.2">
      <c r="A128" s="11" t="s">
        <v>473</v>
      </c>
      <c r="B128" s="14" t="s">
        <v>36</v>
      </c>
      <c r="C128" s="11" t="s">
        <v>214</v>
      </c>
      <c r="D128" s="15">
        <v>425634540</v>
      </c>
      <c r="E128" s="11" t="s">
        <v>29</v>
      </c>
      <c r="F128" s="20">
        <v>43031</v>
      </c>
      <c r="G128" s="16" t="str">
        <f t="shared" si="2"/>
        <v>October</v>
      </c>
      <c r="H128" s="2">
        <f t="shared" ca="1" si="3"/>
        <v>1</v>
      </c>
      <c r="I128" s="17" t="s">
        <v>38</v>
      </c>
      <c r="J128" s="18">
        <v>46832</v>
      </c>
      <c r="K128" s="19">
        <v>2</v>
      </c>
      <c r="N128" s="11" t="s">
        <v>625</v>
      </c>
      <c r="O128" s="11" t="s">
        <v>54</v>
      </c>
      <c r="P128" s="11" t="s">
        <v>24</v>
      </c>
      <c r="Q128" s="11" t="s">
        <v>219</v>
      </c>
      <c r="R128" s="20">
        <f>(41879+(3*365))+112</f>
        <v>43086</v>
      </c>
      <c r="S128" s="17">
        <v>3</v>
      </c>
      <c r="T128" s="17">
        <v>1085</v>
      </c>
    </row>
    <row r="129" spans="1:20" x14ac:dyDescent="0.2">
      <c r="A129" s="11" t="s">
        <v>689</v>
      </c>
      <c r="B129" s="14" t="s">
        <v>51</v>
      </c>
      <c r="C129" s="11" t="s">
        <v>214</v>
      </c>
      <c r="D129" s="15">
        <v>884025623</v>
      </c>
      <c r="E129" s="11" t="s">
        <v>21</v>
      </c>
      <c r="F129" s="20">
        <v>36887</v>
      </c>
      <c r="G129" s="16" t="str">
        <f t="shared" si="2"/>
        <v>December</v>
      </c>
      <c r="H129" s="2">
        <f t="shared" ca="1" si="3"/>
        <v>18</v>
      </c>
      <c r="I129" s="17"/>
      <c r="J129" s="18">
        <v>86981</v>
      </c>
      <c r="K129" s="19">
        <v>4</v>
      </c>
      <c r="N129" s="11" t="s">
        <v>509</v>
      </c>
      <c r="O129" s="11" t="s">
        <v>117</v>
      </c>
      <c r="P129" s="11" t="s">
        <v>24</v>
      </c>
      <c r="Q129" s="11" t="s">
        <v>34</v>
      </c>
      <c r="R129" s="20">
        <f>(41833+(3*365))+112</f>
        <v>43040</v>
      </c>
      <c r="S129" s="17">
        <v>9</v>
      </c>
      <c r="T129" s="17">
        <v>4331</v>
      </c>
    </row>
    <row r="130" spans="1:20" x14ac:dyDescent="0.2">
      <c r="A130" s="11" t="s">
        <v>1158</v>
      </c>
      <c r="B130" s="14" t="s">
        <v>27</v>
      </c>
      <c r="C130" s="11" t="s">
        <v>136</v>
      </c>
      <c r="D130" s="15">
        <v>556327593</v>
      </c>
      <c r="E130" s="11" t="s">
        <v>21</v>
      </c>
      <c r="F130" s="20">
        <v>38157</v>
      </c>
      <c r="G130" s="16" t="str">
        <f t="shared" ref="G130:G193" si="4">CHOOSE(MONTH(F130),"January","February","March","April","May","June","July","August","September","October","November","December")</f>
        <v>June</v>
      </c>
      <c r="H130" s="2">
        <f t="shared" ref="H130:H193" ca="1" si="5">DATEDIF(F130,TODAY(),"Y")</f>
        <v>14</v>
      </c>
      <c r="I130" s="17"/>
      <c r="J130" s="18">
        <v>81095</v>
      </c>
      <c r="K130" s="19">
        <v>2</v>
      </c>
      <c r="N130" s="11" t="s">
        <v>995</v>
      </c>
      <c r="O130" s="11" t="s">
        <v>89</v>
      </c>
      <c r="P130" s="11" t="s">
        <v>40</v>
      </c>
      <c r="Q130" s="11" t="s">
        <v>34</v>
      </c>
      <c r="R130" s="20">
        <f>(42007+(3*365))+112</f>
        <v>43214</v>
      </c>
      <c r="S130" s="17">
        <v>12</v>
      </c>
      <c r="T130" s="17">
        <v>5434</v>
      </c>
    </row>
    <row r="131" spans="1:20" x14ac:dyDescent="0.2">
      <c r="A131" s="11" t="s">
        <v>1148</v>
      </c>
      <c r="B131" s="14" t="s">
        <v>27</v>
      </c>
      <c r="C131" s="11" t="s">
        <v>136</v>
      </c>
      <c r="D131" s="15">
        <v>160662505</v>
      </c>
      <c r="E131" s="11" t="s">
        <v>21</v>
      </c>
      <c r="F131" s="20">
        <v>40382</v>
      </c>
      <c r="G131" s="16" t="str">
        <f t="shared" si="4"/>
        <v>July</v>
      </c>
      <c r="H131" s="2">
        <f t="shared" ca="1" si="5"/>
        <v>8</v>
      </c>
      <c r="I131" s="17"/>
      <c r="J131" s="18">
        <v>83133</v>
      </c>
      <c r="K131" s="19">
        <v>3</v>
      </c>
      <c r="N131" s="11" t="s">
        <v>1661</v>
      </c>
      <c r="O131" s="11" t="s">
        <v>45</v>
      </c>
      <c r="P131" s="11" t="s">
        <v>65</v>
      </c>
      <c r="Q131" s="11" t="s">
        <v>34</v>
      </c>
      <c r="R131" s="20">
        <f>(42316+(3*365))+112</f>
        <v>43523</v>
      </c>
      <c r="S131" s="17">
        <v>9</v>
      </c>
      <c r="T131" s="17">
        <v>3128</v>
      </c>
    </row>
    <row r="132" spans="1:20" x14ac:dyDescent="0.2">
      <c r="A132" s="11" t="s">
        <v>1304</v>
      </c>
      <c r="B132" s="14" t="s">
        <v>27</v>
      </c>
      <c r="C132" s="11" t="s">
        <v>214</v>
      </c>
      <c r="D132" s="15">
        <v>482927373</v>
      </c>
      <c r="E132" s="11" t="s">
        <v>29</v>
      </c>
      <c r="F132" s="20">
        <v>38382</v>
      </c>
      <c r="G132" s="16" t="str">
        <f t="shared" si="4"/>
        <v>January</v>
      </c>
      <c r="H132" s="2">
        <f t="shared" ca="1" si="5"/>
        <v>14</v>
      </c>
      <c r="I132" s="17" t="s">
        <v>30</v>
      </c>
      <c r="J132" s="18">
        <v>43727</v>
      </c>
      <c r="K132" s="19">
        <v>2</v>
      </c>
      <c r="N132" s="11" t="s">
        <v>563</v>
      </c>
      <c r="O132" s="11" t="s">
        <v>23</v>
      </c>
      <c r="P132" s="11" t="s">
        <v>33</v>
      </c>
      <c r="Q132" s="11" t="s">
        <v>25</v>
      </c>
      <c r="R132" s="20">
        <f>(41852+(3*365))+112</f>
        <v>43059</v>
      </c>
      <c r="S132" s="17">
        <v>10</v>
      </c>
      <c r="T132" s="17">
        <v>4050</v>
      </c>
    </row>
    <row r="133" spans="1:20" x14ac:dyDescent="0.2">
      <c r="A133" s="11" t="s">
        <v>238</v>
      </c>
      <c r="B133" s="14" t="s">
        <v>43</v>
      </c>
      <c r="C133" s="11" t="s">
        <v>20</v>
      </c>
      <c r="D133" s="15">
        <v>580960042</v>
      </c>
      <c r="E133" s="11" t="s">
        <v>21</v>
      </c>
      <c r="F133" s="20">
        <v>41896</v>
      </c>
      <c r="G133" s="16" t="str">
        <f t="shared" si="4"/>
        <v>September</v>
      </c>
      <c r="H133" s="2">
        <f t="shared" ca="1" si="5"/>
        <v>4</v>
      </c>
      <c r="I133" s="17"/>
      <c r="J133" s="18">
        <v>83903</v>
      </c>
      <c r="K133" s="19">
        <v>4</v>
      </c>
      <c r="N133" s="11" t="s">
        <v>1303</v>
      </c>
      <c r="O133" s="11" t="s">
        <v>117</v>
      </c>
      <c r="P133" s="11" t="s">
        <v>40</v>
      </c>
      <c r="Q133" s="11" t="s">
        <v>120</v>
      </c>
      <c r="R133" s="20">
        <f>(42131+(3*365))+112</f>
        <v>43338</v>
      </c>
      <c r="S133" s="17">
        <v>3</v>
      </c>
      <c r="T133" s="17">
        <v>1280</v>
      </c>
    </row>
    <row r="134" spans="1:20" x14ac:dyDescent="0.2">
      <c r="A134" s="11" t="s">
        <v>795</v>
      </c>
      <c r="B134" s="14" t="s">
        <v>19</v>
      </c>
      <c r="C134" s="11" t="s">
        <v>86</v>
      </c>
      <c r="D134" s="15">
        <v>400260342</v>
      </c>
      <c r="E134" s="11" t="s">
        <v>21</v>
      </c>
      <c r="F134" s="20">
        <v>42139</v>
      </c>
      <c r="G134" s="16" t="str">
        <f t="shared" si="4"/>
        <v>May</v>
      </c>
      <c r="H134" s="2">
        <f t="shared" ca="1" si="5"/>
        <v>4</v>
      </c>
      <c r="I134" s="17"/>
      <c r="J134" s="18">
        <v>100535</v>
      </c>
      <c r="K134" s="19">
        <v>3</v>
      </c>
      <c r="N134" s="11" t="s">
        <v>1700</v>
      </c>
      <c r="O134" s="11" t="s">
        <v>64</v>
      </c>
      <c r="P134" s="11" t="s">
        <v>65</v>
      </c>
      <c r="Q134" s="11" t="s">
        <v>41</v>
      </c>
      <c r="R134" s="20">
        <f>(42349+(3*365))+112</f>
        <v>43556</v>
      </c>
      <c r="S134" s="17">
        <v>14</v>
      </c>
      <c r="T134" s="17">
        <v>4380</v>
      </c>
    </row>
    <row r="135" spans="1:20" x14ac:dyDescent="0.2">
      <c r="A135" s="11" t="s">
        <v>204</v>
      </c>
      <c r="B135" s="14" t="s">
        <v>19</v>
      </c>
      <c r="C135" s="11" t="s">
        <v>205</v>
      </c>
      <c r="D135" s="15">
        <v>861884260</v>
      </c>
      <c r="E135" s="11" t="s">
        <v>29</v>
      </c>
      <c r="F135" s="20">
        <v>36241</v>
      </c>
      <c r="G135" s="16" t="str">
        <f t="shared" si="4"/>
        <v>March</v>
      </c>
      <c r="H135" s="2">
        <f t="shared" ca="1" si="5"/>
        <v>20</v>
      </c>
      <c r="I135" s="17" t="s">
        <v>47</v>
      </c>
      <c r="J135" s="18">
        <v>120339</v>
      </c>
      <c r="K135" s="19">
        <v>1</v>
      </c>
      <c r="N135" s="11" t="s">
        <v>1687</v>
      </c>
      <c r="O135" s="11" t="s">
        <v>54</v>
      </c>
      <c r="P135" s="11" t="s">
        <v>65</v>
      </c>
      <c r="Q135" s="11" t="s">
        <v>34</v>
      </c>
      <c r="R135" s="20">
        <f>(42335+(3*365))+112</f>
        <v>43542</v>
      </c>
      <c r="S135" s="17">
        <v>18</v>
      </c>
      <c r="T135" s="17">
        <v>9339</v>
      </c>
    </row>
    <row r="136" spans="1:20" x14ac:dyDescent="0.2">
      <c r="A136" s="11" t="s">
        <v>317</v>
      </c>
      <c r="B136" s="14" t="s">
        <v>36</v>
      </c>
      <c r="C136" s="11" t="s">
        <v>52</v>
      </c>
      <c r="D136" s="15">
        <v>434927073</v>
      </c>
      <c r="E136" s="11" t="s">
        <v>29</v>
      </c>
      <c r="F136" s="20">
        <v>40468</v>
      </c>
      <c r="G136" s="16" t="str">
        <f t="shared" si="4"/>
        <v>October</v>
      </c>
      <c r="H136" s="2">
        <f t="shared" ca="1" si="5"/>
        <v>8</v>
      </c>
      <c r="I136" s="17" t="s">
        <v>38</v>
      </c>
      <c r="J136" s="18">
        <v>53649</v>
      </c>
      <c r="K136" s="19">
        <v>1</v>
      </c>
      <c r="N136" s="11" t="s">
        <v>1237</v>
      </c>
      <c r="O136" s="11" t="s">
        <v>64</v>
      </c>
      <c r="P136" s="11" t="s">
        <v>40</v>
      </c>
      <c r="Q136" s="11" t="s">
        <v>25</v>
      </c>
      <c r="R136" s="20">
        <f>(42103+(3*365))+112</f>
        <v>43310</v>
      </c>
      <c r="S136" s="17">
        <v>4</v>
      </c>
      <c r="T136" s="17">
        <v>1200</v>
      </c>
    </row>
    <row r="137" spans="1:20" x14ac:dyDescent="0.2">
      <c r="A137" s="11" t="s">
        <v>1232</v>
      </c>
      <c r="B137" s="14" t="s">
        <v>27</v>
      </c>
      <c r="C137" s="11" t="s">
        <v>20</v>
      </c>
      <c r="D137" s="15">
        <v>164904130</v>
      </c>
      <c r="E137" s="11" t="s">
        <v>21</v>
      </c>
      <c r="F137" s="20">
        <v>38425</v>
      </c>
      <c r="G137" s="16" t="str">
        <f t="shared" si="4"/>
        <v>March</v>
      </c>
      <c r="H137" s="2">
        <f t="shared" ca="1" si="5"/>
        <v>14</v>
      </c>
      <c r="I137" s="17"/>
      <c r="J137" s="18">
        <v>113670</v>
      </c>
      <c r="K137" s="19">
        <v>2</v>
      </c>
      <c r="N137" s="11" t="s">
        <v>1653</v>
      </c>
      <c r="O137" s="11" t="s">
        <v>75</v>
      </c>
      <c r="P137" s="11" t="s">
        <v>65</v>
      </c>
      <c r="Q137" s="11" t="s">
        <v>41</v>
      </c>
      <c r="R137" s="20">
        <f>(42313+(3*365))+112</f>
        <v>43520</v>
      </c>
      <c r="S137" s="17">
        <v>1</v>
      </c>
      <c r="T137" s="17">
        <v>355</v>
      </c>
    </row>
    <row r="138" spans="1:20" x14ac:dyDescent="0.2">
      <c r="A138" s="11" t="s">
        <v>1102</v>
      </c>
      <c r="B138" s="14" t="s">
        <v>36</v>
      </c>
      <c r="C138" s="11" t="s">
        <v>136</v>
      </c>
      <c r="D138" s="15">
        <v>239847790</v>
      </c>
      <c r="E138" s="11" t="s">
        <v>21</v>
      </c>
      <c r="F138" s="20">
        <v>39231</v>
      </c>
      <c r="G138" s="16" t="str">
        <f t="shared" si="4"/>
        <v>May</v>
      </c>
      <c r="H138" s="2">
        <f t="shared" ca="1" si="5"/>
        <v>12</v>
      </c>
      <c r="I138" s="17"/>
      <c r="J138" s="18">
        <v>96255</v>
      </c>
      <c r="K138" s="19">
        <v>5</v>
      </c>
      <c r="N138" s="11" t="s">
        <v>1614</v>
      </c>
      <c r="O138" s="11" t="s">
        <v>75</v>
      </c>
      <c r="P138" s="11" t="s">
        <v>24</v>
      </c>
      <c r="Q138" s="11" t="s">
        <v>219</v>
      </c>
      <c r="R138" s="20">
        <f>(42277+(3*365))+112</f>
        <v>43484</v>
      </c>
      <c r="S138" s="17">
        <v>10</v>
      </c>
      <c r="T138" s="17">
        <v>5920</v>
      </c>
    </row>
    <row r="139" spans="1:20" x14ac:dyDescent="0.2">
      <c r="A139" s="11" t="s">
        <v>202</v>
      </c>
      <c r="B139" s="14" t="s">
        <v>19</v>
      </c>
      <c r="C139" s="11" t="s">
        <v>59</v>
      </c>
      <c r="D139" s="15">
        <v>503349830</v>
      </c>
      <c r="E139" s="11" t="s">
        <v>29</v>
      </c>
      <c r="F139" s="20">
        <v>36261</v>
      </c>
      <c r="G139" s="16" t="str">
        <f t="shared" si="4"/>
        <v>April</v>
      </c>
      <c r="H139" s="2">
        <f t="shared" ca="1" si="5"/>
        <v>20</v>
      </c>
      <c r="I139" s="17" t="s">
        <v>30</v>
      </c>
      <c r="J139" s="18">
        <v>43389</v>
      </c>
      <c r="K139" s="19">
        <v>2</v>
      </c>
      <c r="N139" s="11" t="s">
        <v>369</v>
      </c>
      <c r="O139" s="11" t="s">
        <v>45</v>
      </c>
      <c r="P139" s="11" t="s">
        <v>40</v>
      </c>
      <c r="Q139" s="11" t="s">
        <v>25</v>
      </c>
      <c r="R139" s="20">
        <f>(41774+(3*365))+112</f>
        <v>42981</v>
      </c>
      <c r="S139" s="17">
        <v>10</v>
      </c>
      <c r="T139" s="17">
        <v>5870</v>
      </c>
    </row>
    <row r="140" spans="1:20" x14ac:dyDescent="0.2">
      <c r="A140" s="11" t="s">
        <v>1308</v>
      </c>
      <c r="B140" s="14" t="s">
        <v>51</v>
      </c>
      <c r="C140" s="11" t="s">
        <v>145</v>
      </c>
      <c r="D140" s="15">
        <v>626501093</v>
      </c>
      <c r="E140" s="11" t="s">
        <v>21</v>
      </c>
      <c r="F140" s="20">
        <v>40883</v>
      </c>
      <c r="G140" s="16" t="str">
        <f t="shared" si="4"/>
        <v>December</v>
      </c>
      <c r="H140" s="2">
        <f t="shared" ca="1" si="5"/>
        <v>7</v>
      </c>
      <c r="I140" s="17"/>
      <c r="J140" s="18">
        <v>87197</v>
      </c>
      <c r="K140" s="19">
        <v>1</v>
      </c>
      <c r="N140" s="11" t="s">
        <v>408</v>
      </c>
      <c r="O140" s="11" t="s">
        <v>125</v>
      </c>
      <c r="P140" s="11" t="s">
        <v>65</v>
      </c>
      <c r="Q140" s="11" t="s">
        <v>41</v>
      </c>
      <c r="R140" s="20">
        <f>(41788+(3*365))+112</f>
        <v>42995</v>
      </c>
      <c r="S140" s="17">
        <v>1</v>
      </c>
      <c r="T140" s="17">
        <v>460</v>
      </c>
    </row>
    <row r="141" spans="1:20" x14ac:dyDescent="0.2">
      <c r="A141" s="11" t="s">
        <v>142</v>
      </c>
      <c r="B141" s="14" t="s">
        <v>19</v>
      </c>
      <c r="C141" s="11" t="s">
        <v>136</v>
      </c>
      <c r="D141" s="15">
        <v>554029540</v>
      </c>
      <c r="E141" s="11" t="s">
        <v>21</v>
      </c>
      <c r="F141" s="20">
        <v>36090</v>
      </c>
      <c r="G141" s="16" t="str">
        <f t="shared" si="4"/>
        <v>October</v>
      </c>
      <c r="H141" s="2">
        <f t="shared" ca="1" si="5"/>
        <v>20</v>
      </c>
      <c r="I141" s="17"/>
      <c r="J141" s="18">
        <v>79178</v>
      </c>
      <c r="K141" s="19">
        <v>4</v>
      </c>
      <c r="N141" s="11" t="s">
        <v>744</v>
      </c>
      <c r="O141" s="11" t="s">
        <v>64</v>
      </c>
      <c r="P141" s="11" t="s">
        <v>40</v>
      </c>
      <c r="Q141" s="11" t="s">
        <v>34</v>
      </c>
      <c r="R141" s="20">
        <f>(41928+(3*365))+112</f>
        <v>43135</v>
      </c>
      <c r="S141" s="17">
        <v>13</v>
      </c>
      <c r="T141" s="17">
        <v>4030</v>
      </c>
    </row>
    <row r="142" spans="1:20" x14ac:dyDescent="0.2">
      <c r="A142" s="11" t="s">
        <v>572</v>
      </c>
      <c r="B142" s="14" t="s">
        <v>36</v>
      </c>
      <c r="C142" s="11" t="s">
        <v>145</v>
      </c>
      <c r="D142" s="15">
        <v>878902154</v>
      </c>
      <c r="E142" s="11" t="s">
        <v>80</v>
      </c>
      <c r="F142" s="20">
        <v>36746</v>
      </c>
      <c r="G142" s="16" t="str">
        <f t="shared" si="4"/>
        <v>August</v>
      </c>
      <c r="H142" s="2">
        <f t="shared" ca="1" si="5"/>
        <v>18</v>
      </c>
      <c r="I142" s="17" t="s">
        <v>30</v>
      </c>
      <c r="J142" s="18">
        <v>34945</v>
      </c>
      <c r="K142" s="19">
        <v>5</v>
      </c>
      <c r="N142" s="11" t="s">
        <v>1586</v>
      </c>
      <c r="O142" s="11" t="s">
        <v>78</v>
      </c>
      <c r="P142" s="11" t="s">
        <v>24</v>
      </c>
      <c r="Q142" s="11" t="s">
        <v>219</v>
      </c>
      <c r="R142" s="20">
        <f>(42253+(3*365))+112</f>
        <v>43460</v>
      </c>
      <c r="S142" s="17">
        <v>7</v>
      </c>
      <c r="T142" s="17">
        <v>2710</v>
      </c>
    </row>
    <row r="143" spans="1:20" x14ac:dyDescent="0.2">
      <c r="A143" s="11" t="s">
        <v>305</v>
      </c>
      <c r="B143" s="14" t="s">
        <v>19</v>
      </c>
      <c r="C143" s="11" t="s">
        <v>101</v>
      </c>
      <c r="D143" s="15">
        <v>763518183</v>
      </c>
      <c r="E143" s="11" t="s">
        <v>29</v>
      </c>
      <c r="F143" s="20">
        <v>36296</v>
      </c>
      <c r="G143" s="16" t="str">
        <f t="shared" si="4"/>
        <v>May</v>
      </c>
      <c r="H143" s="2">
        <f t="shared" ca="1" si="5"/>
        <v>20</v>
      </c>
      <c r="I143" s="17" t="s">
        <v>47</v>
      </c>
      <c r="J143" s="18">
        <v>93690</v>
      </c>
      <c r="K143" s="19">
        <v>5</v>
      </c>
      <c r="N143" s="11" t="s">
        <v>1403</v>
      </c>
      <c r="O143" s="11" t="s">
        <v>23</v>
      </c>
      <c r="P143" s="11" t="s">
        <v>33</v>
      </c>
      <c r="Q143" s="11" t="s">
        <v>219</v>
      </c>
      <c r="R143" s="20">
        <f>(42172+(3*365))+112</f>
        <v>43379</v>
      </c>
      <c r="S143" s="17">
        <v>11</v>
      </c>
      <c r="T143" s="17">
        <v>6290</v>
      </c>
    </row>
    <row r="144" spans="1:20" x14ac:dyDescent="0.2">
      <c r="A144" s="11" t="s">
        <v>166</v>
      </c>
      <c r="B144" s="14" t="s">
        <v>27</v>
      </c>
      <c r="C144" s="11" t="s">
        <v>20</v>
      </c>
      <c r="D144" s="15">
        <v>653843221</v>
      </c>
      <c r="E144" s="11" t="s">
        <v>21</v>
      </c>
      <c r="F144" s="20">
        <v>42815</v>
      </c>
      <c r="G144" s="16" t="str">
        <f t="shared" si="4"/>
        <v>March</v>
      </c>
      <c r="H144" s="2">
        <f t="shared" ca="1" si="5"/>
        <v>2</v>
      </c>
      <c r="I144" s="17"/>
      <c r="J144" s="18">
        <v>107271</v>
      </c>
      <c r="K144" s="19">
        <v>5</v>
      </c>
      <c r="N144" s="11" t="s">
        <v>1255</v>
      </c>
      <c r="O144" s="11" t="s">
        <v>54</v>
      </c>
      <c r="P144" s="11" t="s">
        <v>65</v>
      </c>
      <c r="Q144" s="11" t="s">
        <v>25</v>
      </c>
      <c r="R144" s="20">
        <f>(42112+(3*365))+112</f>
        <v>43319</v>
      </c>
      <c r="S144" s="17">
        <v>7</v>
      </c>
      <c r="T144" s="17">
        <v>3095</v>
      </c>
    </row>
    <row r="145" spans="1:20" x14ac:dyDescent="0.2">
      <c r="A145" s="11" t="s">
        <v>1002</v>
      </c>
      <c r="B145" s="14" t="s">
        <v>27</v>
      </c>
      <c r="C145" s="11" t="s">
        <v>145</v>
      </c>
      <c r="D145" s="15">
        <v>744830329</v>
      </c>
      <c r="E145" s="11" t="s">
        <v>29</v>
      </c>
      <c r="F145" s="20">
        <v>37656</v>
      </c>
      <c r="G145" s="16" t="str">
        <f t="shared" si="4"/>
        <v>February</v>
      </c>
      <c r="H145" s="2">
        <f t="shared" ca="1" si="5"/>
        <v>16</v>
      </c>
      <c r="I145" s="17" t="s">
        <v>87</v>
      </c>
      <c r="J145" s="18">
        <v>111645</v>
      </c>
      <c r="K145" s="19">
        <v>3</v>
      </c>
      <c r="N145" s="11" t="s">
        <v>1219</v>
      </c>
      <c r="O145" s="11" t="s">
        <v>64</v>
      </c>
      <c r="P145" s="11" t="s">
        <v>33</v>
      </c>
      <c r="Q145" s="11" t="s">
        <v>120</v>
      </c>
      <c r="R145" s="20">
        <f>(42096+(3*365))+112</f>
        <v>43303</v>
      </c>
      <c r="S145" s="17">
        <v>4</v>
      </c>
      <c r="T145" s="17">
        <v>1370</v>
      </c>
    </row>
    <row r="146" spans="1:20" x14ac:dyDescent="0.2">
      <c r="A146" s="11" t="s">
        <v>1366</v>
      </c>
      <c r="B146" s="14" t="s">
        <v>43</v>
      </c>
      <c r="C146" s="11" t="s">
        <v>136</v>
      </c>
      <c r="D146" s="15">
        <v>217968415</v>
      </c>
      <c r="E146" s="11" t="s">
        <v>29</v>
      </c>
      <c r="F146" s="20">
        <v>38677</v>
      </c>
      <c r="G146" s="16" t="str">
        <f t="shared" si="4"/>
        <v>November</v>
      </c>
      <c r="H146" s="2">
        <f t="shared" ca="1" si="5"/>
        <v>13</v>
      </c>
      <c r="I146" s="17" t="s">
        <v>38</v>
      </c>
      <c r="J146" s="18">
        <v>30875</v>
      </c>
      <c r="K146" s="19">
        <v>3</v>
      </c>
      <c r="N146" s="11" t="s">
        <v>351</v>
      </c>
      <c r="O146" s="11" t="s">
        <v>49</v>
      </c>
      <c r="P146" s="11" t="s">
        <v>33</v>
      </c>
      <c r="Q146" s="11" t="s">
        <v>219</v>
      </c>
      <c r="R146" s="20">
        <f>(41761+(3*365))+112</f>
        <v>42968</v>
      </c>
      <c r="S146" s="17">
        <v>12</v>
      </c>
      <c r="T146" s="17">
        <v>6635</v>
      </c>
    </row>
    <row r="147" spans="1:20" x14ac:dyDescent="0.2">
      <c r="A147" s="11" t="s">
        <v>910</v>
      </c>
      <c r="B147" s="14" t="s">
        <v>19</v>
      </c>
      <c r="C147" s="11" t="s">
        <v>152</v>
      </c>
      <c r="D147" s="15">
        <v>855663308</v>
      </c>
      <c r="E147" s="11" t="s">
        <v>29</v>
      </c>
      <c r="F147" s="20">
        <v>37526</v>
      </c>
      <c r="G147" s="16" t="str">
        <f t="shared" si="4"/>
        <v>September</v>
      </c>
      <c r="H147" s="2">
        <f t="shared" ca="1" si="5"/>
        <v>16</v>
      </c>
      <c r="I147" s="17" t="s">
        <v>47</v>
      </c>
      <c r="J147" s="18">
        <v>93839</v>
      </c>
      <c r="K147" s="19">
        <v>5</v>
      </c>
      <c r="N147" s="11" t="s">
        <v>776</v>
      </c>
      <c r="O147" s="11" t="s">
        <v>78</v>
      </c>
      <c r="P147" s="11" t="s">
        <v>24</v>
      </c>
      <c r="Q147" s="11" t="s">
        <v>41</v>
      </c>
      <c r="R147" s="20">
        <f>(41939+(3*365))+112</f>
        <v>43146</v>
      </c>
      <c r="S147" s="17">
        <v>4</v>
      </c>
      <c r="T147" s="17">
        <v>2290</v>
      </c>
    </row>
    <row r="148" spans="1:20" x14ac:dyDescent="0.2">
      <c r="A148" s="11" t="s">
        <v>1490</v>
      </c>
      <c r="B148" s="14" t="s">
        <v>19</v>
      </c>
      <c r="C148" s="11" t="s">
        <v>152</v>
      </c>
      <c r="D148" s="15">
        <v>159594851</v>
      </c>
      <c r="E148" s="11" t="s">
        <v>29</v>
      </c>
      <c r="F148" s="20">
        <v>43536</v>
      </c>
      <c r="G148" s="16" t="str">
        <f t="shared" si="4"/>
        <v>March</v>
      </c>
      <c r="H148" s="2">
        <f t="shared" ca="1" si="5"/>
        <v>0</v>
      </c>
      <c r="I148" s="17" t="s">
        <v>71</v>
      </c>
      <c r="J148" s="18">
        <v>54351</v>
      </c>
      <c r="K148" s="19">
        <v>5</v>
      </c>
      <c r="N148" s="11" t="s">
        <v>905</v>
      </c>
      <c r="O148" s="11" t="s">
        <v>64</v>
      </c>
      <c r="P148" s="11" t="s">
        <v>40</v>
      </c>
      <c r="Q148" s="11" t="s">
        <v>34</v>
      </c>
      <c r="R148" s="20">
        <f>(41983+(3*365))+112</f>
        <v>43190</v>
      </c>
      <c r="S148" s="17">
        <v>13</v>
      </c>
      <c r="T148" s="17">
        <v>7670</v>
      </c>
    </row>
    <row r="149" spans="1:20" x14ac:dyDescent="0.2">
      <c r="A149" s="11" t="s">
        <v>1386</v>
      </c>
      <c r="B149" s="14" t="s">
        <v>83</v>
      </c>
      <c r="C149" s="11" t="s">
        <v>136</v>
      </c>
      <c r="D149" s="15">
        <v>451159170</v>
      </c>
      <c r="E149" s="11" t="s">
        <v>80</v>
      </c>
      <c r="F149" s="20">
        <v>38682</v>
      </c>
      <c r="G149" s="16" t="str">
        <f t="shared" si="4"/>
        <v>November</v>
      </c>
      <c r="H149" s="2">
        <f t="shared" ca="1" si="5"/>
        <v>13</v>
      </c>
      <c r="I149" s="17" t="s">
        <v>47</v>
      </c>
      <c r="J149" s="18">
        <v>42127</v>
      </c>
      <c r="K149" s="19">
        <v>2</v>
      </c>
      <c r="N149" s="11" t="s">
        <v>1640</v>
      </c>
      <c r="O149" s="11" t="s">
        <v>32</v>
      </c>
      <c r="P149" s="11" t="s">
        <v>33</v>
      </c>
      <c r="Q149" s="11" t="s">
        <v>25</v>
      </c>
      <c r="R149" s="20">
        <f>(42302+(3*365))+112</f>
        <v>43509</v>
      </c>
      <c r="S149" s="17">
        <v>1</v>
      </c>
      <c r="T149" s="17">
        <v>500</v>
      </c>
    </row>
    <row r="150" spans="1:20" x14ac:dyDescent="0.2">
      <c r="A150" s="11" t="s">
        <v>1258</v>
      </c>
      <c r="B150" s="14" t="s">
        <v>27</v>
      </c>
      <c r="C150" s="11" t="s">
        <v>145</v>
      </c>
      <c r="D150" s="15">
        <v>826508763</v>
      </c>
      <c r="E150" s="11" t="s">
        <v>29</v>
      </c>
      <c r="F150" s="20">
        <v>42601</v>
      </c>
      <c r="G150" s="16" t="str">
        <f t="shared" si="4"/>
        <v>August</v>
      </c>
      <c r="H150" s="2">
        <f t="shared" ca="1" si="5"/>
        <v>2</v>
      </c>
      <c r="I150" s="17" t="s">
        <v>30</v>
      </c>
      <c r="J150" s="18">
        <v>39596</v>
      </c>
      <c r="K150" s="19">
        <v>5</v>
      </c>
      <c r="N150" s="11" t="s">
        <v>218</v>
      </c>
      <c r="O150" s="11" t="s">
        <v>78</v>
      </c>
      <c r="P150" s="11" t="s">
        <v>24</v>
      </c>
      <c r="Q150" s="11" t="s">
        <v>219</v>
      </c>
      <c r="R150" s="20">
        <f>(41708+(3*365))+112</f>
        <v>42915</v>
      </c>
      <c r="S150" s="17">
        <v>1</v>
      </c>
      <c r="T150" s="21">
        <v>440</v>
      </c>
    </row>
    <row r="151" spans="1:20" x14ac:dyDescent="0.2">
      <c r="A151" s="11" t="s">
        <v>938</v>
      </c>
      <c r="B151" s="14" t="s">
        <v>19</v>
      </c>
      <c r="C151" s="11" t="s">
        <v>59</v>
      </c>
      <c r="D151" s="15">
        <v>707553376</v>
      </c>
      <c r="E151" s="11" t="s">
        <v>29</v>
      </c>
      <c r="F151" s="20">
        <v>37940</v>
      </c>
      <c r="G151" s="16" t="str">
        <f t="shared" si="4"/>
        <v>November</v>
      </c>
      <c r="H151" s="2">
        <f t="shared" ca="1" si="5"/>
        <v>15</v>
      </c>
      <c r="I151" s="17" t="s">
        <v>71</v>
      </c>
      <c r="J151" s="18">
        <v>66501</v>
      </c>
      <c r="K151" s="19">
        <v>3</v>
      </c>
      <c r="N151" s="11" t="s">
        <v>193</v>
      </c>
      <c r="O151" s="11" t="s">
        <v>54</v>
      </c>
      <c r="P151" s="11" t="s">
        <v>33</v>
      </c>
      <c r="Q151" s="11" t="s">
        <v>25</v>
      </c>
      <c r="R151" s="20">
        <f>(41692+(3*365))+112</f>
        <v>42899</v>
      </c>
      <c r="S151" s="17">
        <v>2</v>
      </c>
      <c r="T151" s="21">
        <v>615</v>
      </c>
    </row>
    <row r="152" spans="1:20" x14ac:dyDescent="0.2">
      <c r="A152" s="11" t="s">
        <v>1182</v>
      </c>
      <c r="B152" s="14" t="s">
        <v>43</v>
      </c>
      <c r="C152" s="11" t="s">
        <v>136</v>
      </c>
      <c r="D152" s="15">
        <v>502200672</v>
      </c>
      <c r="E152" s="11" t="s">
        <v>21</v>
      </c>
      <c r="F152" s="20">
        <v>43266</v>
      </c>
      <c r="G152" s="16" t="str">
        <f t="shared" si="4"/>
        <v>June</v>
      </c>
      <c r="H152" s="2">
        <f t="shared" ca="1" si="5"/>
        <v>0</v>
      </c>
      <c r="I152" s="17"/>
      <c r="J152" s="18">
        <v>77868</v>
      </c>
      <c r="K152" s="19">
        <v>4</v>
      </c>
      <c r="N152" s="11" t="s">
        <v>278</v>
      </c>
      <c r="O152" s="11" t="s">
        <v>75</v>
      </c>
      <c r="P152" s="11" t="s">
        <v>33</v>
      </c>
      <c r="Q152" s="11" t="s">
        <v>219</v>
      </c>
      <c r="R152" s="20">
        <f>(41736+(3*365))+112</f>
        <v>42943</v>
      </c>
      <c r="S152" s="17">
        <v>5</v>
      </c>
      <c r="T152" s="17">
        <v>2615</v>
      </c>
    </row>
    <row r="153" spans="1:20" x14ac:dyDescent="0.2">
      <c r="A153" s="11" t="s">
        <v>380</v>
      </c>
      <c r="B153" s="14" t="s">
        <v>19</v>
      </c>
      <c r="C153" s="11" t="s">
        <v>59</v>
      </c>
      <c r="D153" s="15">
        <v>625531462</v>
      </c>
      <c r="E153" s="11" t="s">
        <v>29</v>
      </c>
      <c r="F153" s="20">
        <v>40144</v>
      </c>
      <c r="G153" s="16" t="str">
        <f t="shared" si="4"/>
        <v>November</v>
      </c>
      <c r="H153" s="2">
        <f t="shared" ca="1" si="5"/>
        <v>9</v>
      </c>
      <c r="I153" s="17" t="s">
        <v>47</v>
      </c>
      <c r="J153" s="18">
        <v>57348</v>
      </c>
      <c r="K153" s="19">
        <v>3</v>
      </c>
      <c r="N153" s="11" t="s">
        <v>505</v>
      </c>
      <c r="O153" s="11" t="s">
        <v>64</v>
      </c>
      <c r="P153" s="11" t="s">
        <v>24</v>
      </c>
      <c r="Q153" s="11" t="s">
        <v>25</v>
      </c>
      <c r="R153" s="20">
        <f>(41830+(3*365))+112</f>
        <v>43037</v>
      </c>
      <c r="S153" s="17">
        <v>12</v>
      </c>
      <c r="T153" s="17">
        <v>6370</v>
      </c>
    </row>
    <row r="154" spans="1:20" x14ac:dyDescent="0.2">
      <c r="A154" s="11" t="s">
        <v>1262</v>
      </c>
      <c r="B154" s="14" t="s">
        <v>27</v>
      </c>
      <c r="C154" s="11" t="s">
        <v>145</v>
      </c>
      <c r="D154" s="15">
        <v>647131956</v>
      </c>
      <c r="E154" s="11" t="s">
        <v>29</v>
      </c>
      <c r="F154" s="20">
        <v>41758</v>
      </c>
      <c r="G154" s="16" t="str">
        <f t="shared" si="4"/>
        <v>April</v>
      </c>
      <c r="H154" s="2">
        <f t="shared" ca="1" si="5"/>
        <v>5</v>
      </c>
      <c r="I154" s="17" t="s">
        <v>47</v>
      </c>
      <c r="J154" s="18">
        <v>99306</v>
      </c>
      <c r="K154" s="19">
        <v>3</v>
      </c>
      <c r="N154" s="11" t="s">
        <v>913</v>
      </c>
      <c r="O154" s="11" t="s">
        <v>32</v>
      </c>
      <c r="P154" s="11" t="s">
        <v>40</v>
      </c>
      <c r="Q154" s="11" t="s">
        <v>219</v>
      </c>
      <c r="R154" s="20">
        <f>(41985+(3*365))+112</f>
        <v>43192</v>
      </c>
      <c r="S154" s="17">
        <v>7</v>
      </c>
      <c r="T154" s="17">
        <v>3610</v>
      </c>
    </row>
    <row r="155" spans="1:20" x14ac:dyDescent="0.2">
      <c r="A155" s="11" t="s">
        <v>1008</v>
      </c>
      <c r="B155" s="14" t="s">
        <v>27</v>
      </c>
      <c r="C155" s="11" t="s">
        <v>152</v>
      </c>
      <c r="D155" s="15">
        <v>471064761</v>
      </c>
      <c r="E155" s="11" t="s">
        <v>56</v>
      </c>
      <c r="F155" s="20">
        <v>37681</v>
      </c>
      <c r="G155" s="16" t="str">
        <f t="shared" si="4"/>
        <v>March</v>
      </c>
      <c r="H155" s="2">
        <f t="shared" ca="1" si="5"/>
        <v>16</v>
      </c>
      <c r="I155" s="17"/>
      <c r="J155" s="18">
        <v>36374</v>
      </c>
      <c r="K155" s="19">
        <v>4</v>
      </c>
      <c r="N155" s="11" t="s">
        <v>1711</v>
      </c>
      <c r="O155" s="11" t="s">
        <v>114</v>
      </c>
      <c r="P155" s="11" t="s">
        <v>65</v>
      </c>
      <c r="Q155" s="11" t="s">
        <v>120</v>
      </c>
      <c r="R155" s="20">
        <f>(42354+(3*365))+112</f>
        <v>43561</v>
      </c>
      <c r="S155" s="17">
        <v>7</v>
      </c>
      <c r="T155" s="17">
        <v>3800</v>
      </c>
    </row>
    <row r="156" spans="1:20" x14ac:dyDescent="0.2">
      <c r="A156" s="11" t="s">
        <v>1334</v>
      </c>
      <c r="B156" s="14" t="s">
        <v>43</v>
      </c>
      <c r="C156" s="11" t="s">
        <v>214</v>
      </c>
      <c r="D156" s="15">
        <v>313128501</v>
      </c>
      <c r="E156" s="11" t="s">
        <v>56</v>
      </c>
      <c r="F156" s="20">
        <v>38346</v>
      </c>
      <c r="G156" s="16" t="str">
        <f t="shared" si="4"/>
        <v>December</v>
      </c>
      <c r="H156" s="2">
        <f t="shared" ca="1" si="5"/>
        <v>14</v>
      </c>
      <c r="I156" s="17"/>
      <c r="J156" s="18">
        <v>30337</v>
      </c>
      <c r="K156" s="19">
        <v>1</v>
      </c>
      <c r="N156" s="11" t="s">
        <v>1013</v>
      </c>
      <c r="O156" s="11" t="s">
        <v>117</v>
      </c>
      <c r="P156" s="11" t="s">
        <v>33</v>
      </c>
      <c r="Q156" s="11" t="s">
        <v>120</v>
      </c>
      <c r="R156" s="20">
        <f>(42012+(3*365))+112</f>
        <v>43219</v>
      </c>
      <c r="S156" s="17">
        <v>7</v>
      </c>
      <c r="T156" s="17">
        <v>3815</v>
      </c>
    </row>
    <row r="157" spans="1:20" x14ac:dyDescent="0.2">
      <c r="A157" s="11" t="s">
        <v>1376</v>
      </c>
      <c r="B157" s="14" t="s">
        <v>43</v>
      </c>
      <c r="C157" s="11" t="s">
        <v>136</v>
      </c>
      <c r="D157" s="15">
        <v>643979374</v>
      </c>
      <c r="E157" s="11" t="s">
        <v>21</v>
      </c>
      <c r="F157" s="20">
        <v>38397</v>
      </c>
      <c r="G157" s="16" t="str">
        <f t="shared" si="4"/>
        <v>February</v>
      </c>
      <c r="H157" s="2">
        <f t="shared" ca="1" si="5"/>
        <v>14</v>
      </c>
      <c r="I157" s="17"/>
      <c r="J157" s="18">
        <v>66866</v>
      </c>
      <c r="K157" s="19">
        <v>4</v>
      </c>
      <c r="N157" s="11" t="s">
        <v>690</v>
      </c>
      <c r="O157" s="11" t="s">
        <v>32</v>
      </c>
      <c r="P157" s="11" t="s">
        <v>33</v>
      </c>
      <c r="Q157" s="11" t="s">
        <v>25</v>
      </c>
      <c r="R157" s="20">
        <f>(41903+(3*365))+112</f>
        <v>43110</v>
      </c>
      <c r="S157" s="17">
        <v>11</v>
      </c>
      <c r="T157" s="17">
        <v>6555</v>
      </c>
    </row>
    <row r="158" spans="1:20" x14ac:dyDescent="0.2">
      <c r="A158" s="11" t="s">
        <v>429</v>
      </c>
      <c r="B158" s="14" t="s">
        <v>51</v>
      </c>
      <c r="C158" s="11" t="s">
        <v>205</v>
      </c>
      <c r="D158" s="15">
        <v>117896630</v>
      </c>
      <c r="E158" s="11" t="s">
        <v>21</v>
      </c>
      <c r="F158" s="20">
        <v>43119</v>
      </c>
      <c r="G158" s="16" t="str">
        <f t="shared" si="4"/>
        <v>January</v>
      </c>
      <c r="H158" s="2">
        <f t="shared" ca="1" si="5"/>
        <v>1</v>
      </c>
      <c r="I158" s="17" t="s">
        <v>38</v>
      </c>
      <c r="J158" s="18">
        <v>96107</v>
      </c>
      <c r="K158" s="19">
        <v>4</v>
      </c>
      <c r="N158" s="11" t="s">
        <v>601</v>
      </c>
      <c r="O158" s="11" t="s">
        <v>64</v>
      </c>
      <c r="P158" s="11" t="s">
        <v>33</v>
      </c>
      <c r="Q158" s="11" t="s">
        <v>41</v>
      </c>
      <c r="R158" s="20">
        <f>(41871+(3*365))+112</f>
        <v>43078</v>
      </c>
      <c r="S158" s="17">
        <v>1</v>
      </c>
      <c r="T158" s="17">
        <v>595</v>
      </c>
    </row>
    <row r="159" spans="1:20" x14ac:dyDescent="0.2">
      <c r="A159" s="11" t="s">
        <v>1256</v>
      </c>
      <c r="B159" s="14" t="s">
        <v>27</v>
      </c>
      <c r="C159" s="11" t="s">
        <v>145</v>
      </c>
      <c r="D159" s="15">
        <v>337411408</v>
      </c>
      <c r="E159" s="11" t="s">
        <v>29</v>
      </c>
      <c r="F159" s="20">
        <v>39382</v>
      </c>
      <c r="G159" s="16" t="str">
        <f t="shared" si="4"/>
        <v>October</v>
      </c>
      <c r="H159" s="2">
        <f t="shared" ca="1" si="5"/>
        <v>11</v>
      </c>
      <c r="I159" s="17" t="s">
        <v>47</v>
      </c>
      <c r="J159" s="18">
        <v>39501</v>
      </c>
      <c r="K159" s="19">
        <v>4</v>
      </c>
      <c r="N159" s="11" t="s">
        <v>589</v>
      </c>
      <c r="O159" s="11" t="s">
        <v>89</v>
      </c>
      <c r="P159" s="11" t="s">
        <v>40</v>
      </c>
      <c r="Q159" s="11" t="s">
        <v>25</v>
      </c>
      <c r="R159" s="20">
        <f>(41864+(3*365))+112</f>
        <v>43071</v>
      </c>
      <c r="S159" s="17">
        <v>13</v>
      </c>
      <c r="T159" s="17">
        <v>5565</v>
      </c>
    </row>
    <row r="160" spans="1:20" x14ac:dyDescent="0.2">
      <c r="A160" s="11" t="s">
        <v>1218</v>
      </c>
      <c r="B160" s="14" t="s">
        <v>83</v>
      </c>
      <c r="C160" s="4" t="s">
        <v>62</v>
      </c>
      <c r="D160" s="22">
        <v>475256935</v>
      </c>
      <c r="E160" s="4" t="s">
        <v>29</v>
      </c>
      <c r="F160" s="20">
        <v>38598</v>
      </c>
      <c r="G160" s="16" t="str">
        <f t="shared" si="4"/>
        <v>September</v>
      </c>
      <c r="H160" s="2">
        <f t="shared" ca="1" si="5"/>
        <v>13</v>
      </c>
      <c r="I160" s="17" t="s">
        <v>30</v>
      </c>
      <c r="J160" s="18">
        <v>115155</v>
      </c>
      <c r="K160" s="19">
        <v>2</v>
      </c>
      <c r="N160" s="11" t="s">
        <v>1077</v>
      </c>
      <c r="O160" s="11" t="s">
        <v>45</v>
      </c>
      <c r="P160" s="11" t="s">
        <v>40</v>
      </c>
      <c r="Q160" s="11" t="s">
        <v>120</v>
      </c>
      <c r="R160" s="20">
        <f>(42032+(3*365))+112</f>
        <v>43239</v>
      </c>
      <c r="S160" s="17">
        <v>11</v>
      </c>
      <c r="T160" s="17">
        <v>3650</v>
      </c>
    </row>
    <row r="161" spans="1:20" x14ac:dyDescent="0.2">
      <c r="A161" s="11" t="s">
        <v>596</v>
      </c>
      <c r="B161" s="14" t="s">
        <v>19</v>
      </c>
      <c r="C161" s="11" t="s">
        <v>214</v>
      </c>
      <c r="D161" s="15">
        <v>332289257</v>
      </c>
      <c r="E161" s="11" t="s">
        <v>21</v>
      </c>
      <c r="F161" s="20">
        <v>38848</v>
      </c>
      <c r="G161" s="16" t="str">
        <f t="shared" si="4"/>
        <v>May</v>
      </c>
      <c r="H161" s="2">
        <f t="shared" ca="1" si="5"/>
        <v>13</v>
      </c>
      <c r="I161" s="17"/>
      <c r="J161" s="18">
        <v>92151</v>
      </c>
      <c r="K161" s="19">
        <v>5</v>
      </c>
      <c r="N161" s="11" t="s">
        <v>69</v>
      </c>
      <c r="O161" s="11" t="s">
        <v>45</v>
      </c>
      <c r="P161" s="11" t="s">
        <v>24</v>
      </c>
      <c r="Q161" s="11" t="s">
        <v>34</v>
      </c>
      <c r="R161" s="20">
        <f>(41653+(3*365))+112</f>
        <v>42860</v>
      </c>
      <c r="S161" s="17">
        <v>13</v>
      </c>
      <c r="T161" s="17">
        <v>5159</v>
      </c>
    </row>
    <row r="162" spans="1:20" x14ac:dyDescent="0.2">
      <c r="A162" s="11" t="s">
        <v>928</v>
      </c>
      <c r="B162" s="14" t="s">
        <v>19</v>
      </c>
      <c r="C162" s="11" t="s">
        <v>254</v>
      </c>
      <c r="D162" s="15">
        <v>272714784</v>
      </c>
      <c r="E162" s="11" t="s">
        <v>56</v>
      </c>
      <c r="F162" s="20">
        <v>40567</v>
      </c>
      <c r="G162" s="16" t="str">
        <f t="shared" si="4"/>
        <v>January</v>
      </c>
      <c r="H162" s="2">
        <f t="shared" ca="1" si="5"/>
        <v>8</v>
      </c>
      <c r="I162" s="17"/>
      <c r="J162" s="18">
        <v>29225</v>
      </c>
      <c r="K162" s="19">
        <v>2</v>
      </c>
      <c r="N162" s="11" t="s">
        <v>359</v>
      </c>
      <c r="O162" s="11" t="s">
        <v>54</v>
      </c>
      <c r="P162" s="11" t="s">
        <v>33</v>
      </c>
      <c r="Q162" s="11" t="s">
        <v>219</v>
      </c>
      <c r="R162" s="20">
        <f>(41768+(3*365))+112</f>
        <v>42975</v>
      </c>
      <c r="S162" s="17">
        <v>6</v>
      </c>
      <c r="T162" s="17">
        <v>2850</v>
      </c>
    </row>
    <row r="163" spans="1:20" x14ac:dyDescent="0.2">
      <c r="A163" s="4" t="s">
        <v>55</v>
      </c>
      <c r="B163" s="14" t="s">
        <v>27</v>
      </c>
      <c r="C163" s="11" t="s">
        <v>52</v>
      </c>
      <c r="D163" s="15">
        <v>828996583</v>
      </c>
      <c r="E163" s="11" t="s">
        <v>56</v>
      </c>
      <c r="F163" s="20">
        <v>36039</v>
      </c>
      <c r="G163" s="16" t="str">
        <f t="shared" si="4"/>
        <v>September</v>
      </c>
      <c r="H163" s="2">
        <f t="shared" ca="1" si="5"/>
        <v>20</v>
      </c>
      <c r="I163" s="17"/>
      <c r="J163" s="18">
        <v>19861</v>
      </c>
      <c r="K163" s="19">
        <v>5</v>
      </c>
      <c r="N163" s="11" t="s">
        <v>324</v>
      </c>
      <c r="O163" s="11" t="s">
        <v>125</v>
      </c>
      <c r="P163" s="11" t="s">
        <v>33</v>
      </c>
      <c r="Q163" s="11" t="s">
        <v>120</v>
      </c>
      <c r="R163" s="20">
        <f>(41753+(3*365))+112</f>
        <v>42960</v>
      </c>
      <c r="S163" s="17">
        <v>1</v>
      </c>
      <c r="T163" s="17">
        <v>590</v>
      </c>
    </row>
    <row r="164" spans="1:20" x14ac:dyDescent="0.2">
      <c r="A164" s="11" t="s">
        <v>823</v>
      </c>
      <c r="B164" s="14" t="s">
        <v>43</v>
      </c>
      <c r="C164" s="11" t="s">
        <v>86</v>
      </c>
      <c r="D164" s="15">
        <v>980960186</v>
      </c>
      <c r="E164" s="11" t="s">
        <v>80</v>
      </c>
      <c r="F164" s="20">
        <v>41954</v>
      </c>
      <c r="G164" s="16" t="str">
        <f t="shared" si="4"/>
        <v>November</v>
      </c>
      <c r="H164" s="2">
        <f t="shared" ca="1" si="5"/>
        <v>4</v>
      </c>
      <c r="I164" s="17" t="s">
        <v>30</v>
      </c>
      <c r="J164" s="18">
        <v>64402</v>
      </c>
      <c r="K164" s="19">
        <v>5</v>
      </c>
      <c r="N164" s="11" t="s">
        <v>124</v>
      </c>
      <c r="O164" s="11" t="s">
        <v>125</v>
      </c>
      <c r="P164" s="11" t="s">
        <v>65</v>
      </c>
      <c r="Q164" s="11" t="s">
        <v>25</v>
      </c>
      <c r="R164" s="20">
        <f>(41671+(3*365))+112</f>
        <v>42878</v>
      </c>
      <c r="S164" s="17">
        <v>7</v>
      </c>
      <c r="T164" s="21">
        <v>2785</v>
      </c>
    </row>
    <row r="165" spans="1:20" x14ac:dyDescent="0.2">
      <c r="A165" s="11" t="s">
        <v>1266</v>
      </c>
      <c r="B165" s="14" t="s">
        <v>43</v>
      </c>
      <c r="C165" s="11" t="s">
        <v>145</v>
      </c>
      <c r="D165" s="15">
        <v>357568979</v>
      </c>
      <c r="E165" s="11" t="s">
        <v>80</v>
      </c>
      <c r="F165" s="20">
        <v>40631</v>
      </c>
      <c r="G165" s="16" t="str">
        <f t="shared" si="4"/>
        <v>March</v>
      </c>
      <c r="H165" s="2">
        <f t="shared" ca="1" si="5"/>
        <v>8</v>
      </c>
      <c r="I165" s="17" t="s">
        <v>87</v>
      </c>
      <c r="J165" s="18">
        <v>38509</v>
      </c>
      <c r="K165" s="19">
        <v>4</v>
      </c>
      <c r="N165" s="11" t="s">
        <v>298</v>
      </c>
      <c r="O165" s="11" t="s">
        <v>54</v>
      </c>
      <c r="P165" s="11" t="s">
        <v>33</v>
      </c>
      <c r="Q165" s="11" t="s">
        <v>120</v>
      </c>
      <c r="R165" s="20">
        <f>(41743+(3*365))+112</f>
        <v>42950</v>
      </c>
      <c r="S165" s="17">
        <v>10</v>
      </c>
      <c r="T165" s="17">
        <v>5750</v>
      </c>
    </row>
    <row r="166" spans="1:20" x14ac:dyDescent="0.2">
      <c r="A166" s="11" t="s">
        <v>281</v>
      </c>
      <c r="B166" s="14" t="s">
        <v>19</v>
      </c>
      <c r="C166" s="11" t="s">
        <v>28</v>
      </c>
      <c r="D166" s="15">
        <v>925049144</v>
      </c>
      <c r="E166" s="11" t="s">
        <v>29</v>
      </c>
      <c r="F166" s="20">
        <v>39105</v>
      </c>
      <c r="G166" s="16" t="str">
        <f t="shared" si="4"/>
        <v>January</v>
      </c>
      <c r="H166" s="2">
        <f t="shared" ca="1" si="5"/>
        <v>12</v>
      </c>
      <c r="I166" s="17" t="s">
        <v>47</v>
      </c>
      <c r="J166" s="18">
        <v>67311</v>
      </c>
      <c r="K166" s="19">
        <v>2</v>
      </c>
      <c r="N166" s="11" t="s">
        <v>937</v>
      </c>
      <c r="O166" s="11" t="s">
        <v>78</v>
      </c>
      <c r="P166" s="11" t="s">
        <v>40</v>
      </c>
      <c r="Q166" s="11" t="s">
        <v>120</v>
      </c>
      <c r="R166" s="20">
        <f>(41994+(3*365))+112</f>
        <v>43201</v>
      </c>
      <c r="S166" s="17">
        <v>11</v>
      </c>
      <c r="T166" s="17">
        <v>4070</v>
      </c>
    </row>
    <row r="167" spans="1:20" x14ac:dyDescent="0.2">
      <c r="A167" s="11" t="s">
        <v>819</v>
      </c>
      <c r="B167" s="14" t="s">
        <v>27</v>
      </c>
      <c r="C167" s="11" t="s">
        <v>20</v>
      </c>
      <c r="D167" s="15">
        <v>644862142</v>
      </c>
      <c r="E167" s="11" t="s">
        <v>21</v>
      </c>
      <c r="F167" s="20">
        <v>37507</v>
      </c>
      <c r="G167" s="16" t="str">
        <f t="shared" si="4"/>
        <v>September</v>
      </c>
      <c r="H167" s="2">
        <f t="shared" ca="1" si="5"/>
        <v>16</v>
      </c>
      <c r="I167" s="17"/>
      <c r="J167" s="18">
        <v>63005</v>
      </c>
      <c r="K167" s="19">
        <v>3</v>
      </c>
      <c r="N167" s="11" t="s">
        <v>280</v>
      </c>
      <c r="O167" s="11" t="s">
        <v>78</v>
      </c>
      <c r="P167" s="11" t="s">
        <v>40</v>
      </c>
      <c r="Q167" s="11" t="s">
        <v>25</v>
      </c>
      <c r="R167" s="20">
        <f>(41738+(3*365))+112</f>
        <v>42945</v>
      </c>
      <c r="S167" s="17">
        <v>3</v>
      </c>
      <c r="T167" s="17">
        <v>1325</v>
      </c>
    </row>
    <row r="168" spans="1:20" x14ac:dyDescent="0.2">
      <c r="A168" s="11" t="s">
        <v>1286</v>
      </c>
      <c r="B168" s="14" t="s">
        <v>43</v>
      </c>
      <c r="C168" s="11" t="s">
        <v>145</v>
      </c>
      <c r="D168" s="15">
        <v>765836666</v>
      </c>
      <c r="E168" s="11" t="s">
        <v>29</v>
      </c>
      <c r="F168" s="20">
        <v>42009</v>
      </c>
      <c r="G168" s="16" t="str">
        <f t="shared" si="4"/>
        <v>January</v>
      </c>
      <c r="H168" s="2">
        <f t="shared" ca="1" si="5"/>
        <v>4</v>
      </c>
      <c r="I168" s="17" t="s">
        <v>30</v>
      </c>
      <c r="J168" s="18">
        <v>58860</v>
      </c>
      <c r="K168" s="19">
        <v>5</v>
      </c>
      <c r="N168" s="11" t="s">
        <v>1677</v>
      </c>
      <c r="O168" s="11" t="s">
        <v>23</v>
      </c>
      <c r="P168" s="11" t="s">
        <v>40</v>
      </c>
      <c r="Q168" s="11" t="s">
        <v>219</v>
      </c>
      <c r="R168" s="20">
        <f>(42329+(3*365))+112</f>
        <v>43536</v>
      </c>
      <c r="S168" s="17">
        <v>3</v>
      </c>
      <c r="T168" s="17">
        <v>955</v>
      </c>
    </row>
    <row r="169" spans="1:20" x14ac:dyDescent="0.2">
      <c r="A169" s="11" t="s">
        <v>920</v>
      </c>
      <c r="B169" s="14" t="s">
        <v>51</v>
      </c>
      <c r="C169" s="11" t="s">
        <v>254</v>
      </c>
      <c r="D169" s="15">
        <v>120479503</v>
      </c>
      <c r="E169" s="11" t="s">
        <v>80</v>
      </c>
      <c r="F169" s="20">
        <v>42155</v>
      </c>
      <c r="G169" s="16" t="str">
        <f t="shared" si="4"/>
        <v>May</v>
      </c>
      <c r="H169" s="2">
        <f t="shared" ca="1" si="5"/>
        <v>4</v>
      </c>
      <c r="I169" s="17" t="s">
        <v>71</v>
      </c>
      <c r="J169" s="18">
        <v>64476</v>
      </c>
      <c r="K169" s="19">
        <v>3</v>
      </c>
      <c r="N169" s="11" t="s">
        <v>1643</v>
      </c>
      <c r="O169" s="11" t="s">
        <v>54</v>
      </c>
      <c r="P169" s="11" t="s">
        <v>33</v>
      </c>
      <c r="Q169" s="11" t="s">
        <v>34</v>
      </c>
      <c r="R169" s="20">
        <f>(42305+(3*365))+112</f>
        <v>43512</v>
      </c>
      <c r="S169" s="17">
        <v>18</v>
      </c>
      <c r="T169" s="17">
        <v>9865</v>
      </c>
    </row>
    <row r="170" spans="1:20" x14ac:dyDescent="0.2">
      <c r="A170" s="11" t="s">
        <v>755</v>
      </c>
      <c r="B170" s="14" t="s">
        <v>36</v>
      </c>
      <c r="C170" s="11" t="s">
        <v>478</v>
      </c>
      <c r="D170" s="15">
        <v>723930767</v>
      </c>
      <c r="E170" s="11" t="s">
        <v>29</v>
      </c>
      <c r="F170" s="20">
        <v>43169</v>
      </c>
      <c r="G170" s="16" t="str">
        <f t="shared" si="4"/>
        <v>March</v>
      </c>
      <c r="H170" s="2">
        <f t="shared" ca="1" si="5"/>
        <v>1</v>
      </c>
      <c r="I170" s="17" t="s">
        <v>30</v>
      </c>
      <c r="J170" s="18">
        <v>36788</v>
      </c>
      <c r="K170" s="19">
        <v>5</v>
      </c>
      <c r="N170" s="11" t="s">
        <v>119</v>
      </c>
      <c r="O170" s="11" t="s">
        <v>64</v>
      </c>
      <c r="P170" s="11" t="s">
        <v>24</v>
      </c>
      <c r="Q170" s="11" t="s">
        <v>120</v>
      </c>
      <c r="R170" s="20">
        <f>(41671+(3*365))+112</f>
        <v>42878</v>
      </c>
      <c r="S170" s="17">
        <v>5</v>
      </c>
      <c r="T170" s="21">
        <v>2315</v>
      </c>
    </row>
    <row r="171" spans="1:20" x14ac:dyDescent="0.2">
      <c r="A171" s="11" t="s">
        <v>415</v>
      </c>
      <c r="B171" s="14" t="s">
        <v>27</v>
      </c>
      <c r="C171" s="11" t="s">
        <v>59</v>
      </c>
      <c r="D171" s="15">
        <v>536516131</v>
      </c>
      <c r="E171" s="11" t="s">
        <v>29</v>
      </c>
      <c r="F171" s="20">
        <v>43326</v>
      </c>
      <c r="G171" s="16" t="str">
        <f t="shared" si="4"/>
        <v>August</v>
      </c>
      <c r="H171" s="2">
        <f t="shared" ca="1" si="5"/>
        <v>0</v>
      </c>
      <c r="I171" s="17" t="s">
        <v>30</v>
      </c>
      <c r="J171" s="18">
        <v>57537</v>
      </c>
      <c r="K171" s="19">
        <v>3</v>
      </c>
      <c r="N171" s="11" t="s">
        <v>1257</v>
      </c>
      <c r="O171" s="11" t="s">
        <v>78</v>
      </c>
      <c r="P171" s="11" t="s">
        <v>24</v>
      </c>
      <c r="Q171" s="11" t="s">
        <v>25</v>
      </c>
      <c r="R171" s="20">
        <f>(42112+(3*365))+112</f>
        <v>43319</v>
      </c>
      <c r="S171" s="17">
        <v>12</v>
      </c>
      <c r="T171" s="17">
        <v>6010</v>
      </c>
    </row>
    <row r="172" spans="1:20" x14ac:dyDescent="0.2">
      <c r="A172" s="11" t="s">
        <v>522</v>
      </c>
      <c r="B172" s="14" t="s">
        <v>43</v>
      </c>
      <c r="C172" s="11" t="s">
        <v>214</v>
      </c>
      <c r="D172" s="15">
        <v>561968668</v>
      </c>
      <c r="E172" s="11" t="s">
        <v>29</v>
      </c>
      <c r="F172" s="20">
        <v>41665</v>
      </c>
      <c r="G172" s="16" t="str">
        <f t="shared" si="4"/>
        <v>January</v>
      </c>
      <c r="H172" s="2">
        <f t="shared" ca="1" si="5"/>
        <v>5</v>
      </c>
      <c r="I172" s="17" t="s">
        <v>87</v>
      </c>
      <c r="J172" s="18">
        <v>103388</v>
      </c>
      <c r="K172" s="19">
        <v>1</v>
      </c>
      <c r="N172" s="11" t="s">
        <v>1722</v>
      </c>
      <c r="O172" s="11" t="s">
        <v>78</v>
      </c>
      <c r="P172" s="11" t="s">
        <v>24</v>
      </c>
      <c r="Q172" s="11" t="s">
        <v>34</v>
      </c>
      <c r="R172" s="20">
        <f>(42362+(3*365))+112</f>
        <v>43569</v>
      </c>
      <c r="S172" s="17">
        <v>18</v>
      </c>
      <c r="T172" s="17">
        <v>6245</v>
      </c>
    </row>
    <row r="173" spans="1:20" x14ac:dyDescent="0.2">
      <c r="A173" s="11" t="s">
        <v>618</v>
      </c>
      <c r="B173" s="14" t="s">
        <v>27</v>
      </c>
      <c r="C173" s="11" t="s">
        <v>152</v>
      </c>
      <c r="D173" s="15">
        <v>287476507</v>
      </c>
      <c r="E173" s="11" t="s">
        <v>80</v>
      </c>
      <c r="F173" s="20">
        <v>36861</v>
      </c>
      <c r="G173" s="16" t="str">
        <f t="shared" si="4"/>
        <v>December</v>
      </c>
      <c r="H173" s="2">
        <f t="shared" ca="1" si="5"/>
        <v>18</v>
      </c>
      <c r="I173" s="17" t="s">
        <v>47</v>
      </c>
      <c r="J173" s="18">
        <v>26912</v>
      </c>
      <c r="K173" s="19">
        <v>1</v>
      </c>
      <c r="N173" s="11" t="s">
        <v>607</v>
      </c>
      <c r="O173" s="11" t="s">
        <v>125</v>
      </c>
      <c r="P173" s="11" t="s">
        <v>24</v>
      </c>
      <c r="Q173" s="11" t="s">
        <v>219</v>
      </c>
      <c r="R173" s="20">
        <f>(41872+(3*365))+112</f>
        <v>43079</v>
      </c>
      <c r="S173" s="17">
        <v>8</v>
      </c>
      <c r="T173" s="17">
        <v>4680</v>
      </c>
    </row>
    <row r="174" spans="1:20" x14ac:dyDescent="0.2">
      <c r="A174" s="11" t="s">
        <v>1358</v>
      </c>
      <c r="B174" s="14" t="s">
        <v>19</v>
      </c>
      <c r="C174" s="11" t="s">
        <v>152</v>
      </c>
      <c r="D174" s="15">
        <v>916944119</v>
      </c>
      <c r="E174" s="11" t="s">
        <v>21</v>
      </c>
      <c r="F174" s="20">
        <v>39955</v>
      </c>
      <c r="G174" s="16" t="str">
        <f t="shared" si="4"/>
        <v>May</v>
      </c>
      <c r="H174" s="2">
        <f t="shared" ca="1" si="5"/>
        <v>10</v>
      </c>
      <c r="I174" s="17"/>
      <c r="J174" s="18">
        <v>38165</v>
      </c>
      <c r="K174" s="19">
        <v>5</v>
      </c>
      <c r="N174" s="11" t="s">
        <v>159</v>
      </c>
      <c r="O174" s="11" t="s">
        <v>117</v>
      </c>
      <c r="P174" s="11" t="s">
        <v>40</v>
      </c>
      <c r="Q174" s="11" t="s">
        <v>34</v>
      </c>
      <c r="R174" s="20">
        <f>(41682+(3*365))+112</f>
        <v>42889</v>
      </c>
      <c r="S174" s="17">
        <v>14</v>
      </c>
      <c r="T174" s="17">
        <v>4729</v>
      </c>
    </row>
    <row r="175" spans="1:20" x14ac:dyDescent="0.2">
      <c r="A175" s="11" t="s">
        <v>1474</v>
      </c>
      <c r="B175" s="14" t="s">
        <v>27</v>
      </c>
      <c r="C175" s="11" t="s">
        <v>214</v>
      </c>
      <c r="D175" s="15">
        <v>564908088</v>
      </c>
      <c r="E175" s="11" t="s">
        <v>29</v>
      </c>
      <c r="F175" s="20">
        <v>41233</v>
      </c>
      <c r="G175" s="16" t="str">
        <f t="shared" si="4"/>
        <v>November</v>
      </c>
      <c r="H175" s="2">
        <f t="shared" ca="1" si="5"/>
        <v>6</v>
      </c>
      <c r="I175" s="17" t="s">
        <v>47</v>
      </c>
      <c r="J175" s="18">
        <v>118476</v>
      </c>
      <c r="K175" s="19">
        <v>1</v>
      </c>
      <c r="N175" s="11" t="s">
        <v>672</v>
      </c>
      <c r="O175" s="11" t="s">
        <v>32</v>
      </c>
      <c r="P175" s="11" t="s">
        <v>40</v>
      </c>
      <c r="Q175" s="11" t="s">
        <v>41</v>
      </c>
      <c r="R175" s="20">
        <f>(41897+(3*365))+112</f>
        <v>43104</v>
      </c>
      <c r="S175" s="17">
        <v>8</v>
      </c>
      <c r="T175" s="17">
        <v>3985</v>
      </c>
    </row>
    <row r="176" spans="1:20" x14ac:dyDescent="0.2">
      <c r="A176" s="11" t="s">
        <v>1260</v>
      </c>
      <c r="B176" s="14" t="s">
        <v>27</v>
      </c>
      <c r="C176" s="11" t="s">
        <v>52</v>
      </c>
      <c r="D176" s="15">
        <v>195245117</v>
      </c>
      <c r="E176" s="11" t="s">
        <v>56</v>
      </c>
      <c r="F176" s="20">
        <v>38529</v>
      </c>
      <c r="G176" s="16" t="str">
        <f t="shared" si="4"/>
        <v>June</v>
      </c>
      <c r="H176" s="2">
        <f t="shared" ca="1" si="5"/>
        <v>13</v>
      </c>
      <c r="I176" s="17"/>
      <c r="J176" s="18">
        <v>17113</v>
      </c>
      <c r="K176" s="19">
        <v>2</v>
      </c>
      <c r="N176" s="11" t="s">
        <v>567</v>
      </c>
      <c r="O176" s="11" t="s">
        <v>114</v>
      </c>
      <c r="P176" s="11" t="s">
        <v>40</v>
      </c>
      <c r="Q176" s="11" t="s">
        <v>34</v>
      </c>
      <c r="R176" s="20">
        <f>(41853+(3*365))+112</f>
        <v>43060</v>
      </c>
      <c r="S176" s="17">
        <v>11</v>
      </c>
      <c r="T176" s="17">
        <v>4996</v>
      </c>
    </row>
    <row r="177" spans="1:20" x14ac:dyDescent="0.2">
      <c r="A177" s="11" t="s">
        <v>542</v>
      </c>
      <c r="B177" s="14" t="s">
        <v>19</v>
      </c>
      <c r="C177" s="11" t="s">
        <v>214</v>
      </c>
      <c r="D177" s="15">
        <v>506577536</v>
      </c>
      <c r="E177" s="11" t="s">
        <v>56</v>
      </c>
      <c r="F177" s="20">
        <v>39161</v>
      </c>
      <c r="G177" s="16" t="str">
        <f t="shared" si="4"/>
        <v>March</v>
      </c>
      <c r="H177" s="2">
        <f t="shared" ca="1" si="5"/>
        <v>12</v>
      </c>
      <c r="I177" s="17"/>
      <c r="J177" s="18">
        <v>12722</v>
      </c>
      <c r="K177" s="19">
        <v>4</v>
      </c>
      <c r="N177" s="11" t="s">
        <v>191</v>
      </c>
      <c r="O177" s="11" t="s">
        <v>89</v>
      </c>
      <c r="P177" s="11" t="s">
        <v>33</v>
      </c>
      <c r="Q177" s="11" t="s">
        <v>120</v>
      </c>
      <c r="R177" s="20">
        <f>(41691+(3*365))+112</f>
        <v>42898</v>
      </c>
      <c r="S177" s="17">
        <v>14</v>
      </c>
      <c r="T177" s="21">
        <v>4495</v>
      </c>
    </row>
    <row r="178" spans="1:20" x14ac:dyDescent="0.2">
      <c r="A178" s="11" t="s">
        <v>616</v>
      </c>
      <c r="B178" s="14" t="s">
        <v>19</v>
      </c>
      <c r="C178" s="11" t="s">
        <v>152</v>
      </c>
      <c r="D178" s="15">
        <v>693214759</v>
      </c>
      <c r="E178" s="11" t="s">
        <v>29</v>
      </c>
      <c r="F178" s="20">
        <v>36662</v>
      </c>
      <c r="G178" s="16" t="str">
        <f t="shared" si="4"/>
        <v>May</v>
      </c>
      <c r="H178" s="2">
        <f t="shared" ca="1" si="5"/>
        <v>19</v>
      </c>
      <c r="I178" s="17" t="s">
        <v>87</v>
      </c>
      <c r="J178" s="18">
        <v>84753</v>
      </c>
      <c r="K178" s="19">
        <v>3</v>
      </c>
      <c r="N178" s="11" t="s">
        <v>57</v>
      </c>
      <c r="O178" s="11" t="s">
        <v>49</v>
      </c>
      <c r="P178" s="11" t="s">
        <v>33</v>
      </c>
      <c r="Q178" s="11" t="s">
        <v>25</v>
      </c>
      <c r="R178" s="20">
        <f>(41650+(3*365))+112</f>
        <v>42857</v>
      </c>
      <c r="S178" s="17">
        <v>6</v>
      </c>
      <c r="T178" s="21">
        <v>3470</v>
      </c>
    </row>
    <row r="179" spans="1:20" x14ac:dyDescent="0.2">
      <c r="A179" s="11" t="s">
        <v>675</v>
      </c>
      <c r="B179" s="14" t="s">
        <v>36</v>
      </c>
      <c r="C179" s="11" t="s">
        <v>214</v>
      </c>
      <c r="D179" s="15">
        <v>596641549</v>
      </c>
      <c r="E179" s="11" t="s">
        <v>21</v>
      </c>
      <c r="F179" s="20">
        <v>39206</v>
      </c>
      <c r="G179" s="16" t="str">
        <f t="shared" si="4"/>
        <v>May</v>
      </c>
      <c r="H179" s="2">
        <f t="shared" ca="1" si="5"/>
        <v>12</v>
      </c>
      <c r="I179" s="17"/>
      <c r="J179" s="18">
        <v>36963</v>
      </c>
      <c r="K179" s="19">
        <v>3</v>
      </c>
      <c r="N179" s="11" t="s">
        <v>1291</v>
      </c>
      <c r="O179" s="11" t="s">
        <v>78</v>
      </c>
      <c r="P179" s="11" t="s">
        <v>33</v>
      </c>
      <c r="Q179" s="11" t="s">
        <v>41</v>
      </c>
      <c r="R179" s="20">
        <f>(42129+(3*365))+112</f>
        <v>43336</v>
      </c>
      <c r="S179" s="17">
        <v>10</v>
      </c>
      <c r="T179" s="17">
        <v>4530</v>
      </c>
    </row>
    <row r="180" spans="1:20" x14ac:dyDescent="0.2">
      <c r="A180" s="11" t="s">
        <v>986</v>
      </c>
      <c r="B180" s="14" t="s">
        <v>43</v>
      </c>
      <c r="C180" s="11" t="s">
        <v>136</v>
      </c>
      <c r="D180" s="15">
        <v>476243591</v>
      </c>
      <c r="E180" s="11" t="s">
        <v>29</v>
      </c>
      <c r="F180" s="20">
        <v>37845</v>
      </c>
      <c r="G180" s="16" t="str">
        <f t="shared" si="4"/>
        <v>August</v>
      </c>
      <c r="H180" s="2">
        <f t="shared" ca="1" si="5"/>
        <v>15</v>
      </c>
      <c r="I180" s="17" t="s">
        <v>47</v>
      </c>
      <c r="J180" s="18">
        <v>68270</v>
      </c>
      <c r="K180" s="19">
        <v>4</v>
      </c>
      <c r="N180" s="11" t="s">
        <v>1361</v>
      </c>
      <c r="O180" s="11" t="s">
        <v>45</v>
      </c>
      <c r="P180" s="11" t="s">
        <v>65</v>
      </c>
      <c r="Q180" s="11" t="s">
        <v>25</v>
      </c>
      <c r="R180" s="20">
        <f>(42151+(3*365))+112</f>
        <v>43358</v>
      </c>
      <c r="S180" s="17">
        <v>4</v>
      </c>
      <c r="T180" s="17">
        <v>1575</v>
      </c>
    </row>
    <row r="181" spans="1:20" x14ac:dyDescent="0.2">
      <c r="A181" s="11" t="s">
        <v>1534</v>
      </c>
      <c r="B181" s="14" t="s">
        <v>27</v>
      </c>
      <c r="C181" s="11" t="s">
        <v>152</v>
      </c>
      <c r="D181" s="15">
        <v>794814501</v>
      </c>
      <c r="E181" s="11" t="s">
        <v>21</v>
      </c>
      <c r="F181" s="20">
        <v>43091</v>
      </c>
      <c r="G181" s="16" t="str">
        <f t="shared" si="4"/>
        <v>December</v>
      </c>
      <c r="H181" s="2">
        <f t="shared" ca="1" si="5"/>
        <v>1</v>
      </c>
      <c r="I181" s="17"/>
      <c r="J181" s="18">
        <v>108984</v>
      </c>
      <c r="K181" s="19">
        <v>3</v>
      </c>
      <c r="N181" s="11" t="s">
        <v>401</v>
      </c>
      <c r="O181" s="11" t="s">
        <v>49</v>
      </c>
      <c r="P181" s="11" t="s">
        <v>40</v>
      </c>
      <c r="Q181" s="11" t="s">
        <v>120</v>
      </c>
      <c r="R181" s="20">
        <f>(41787+(3*365))+112</f>
        <v>42994</v>
      </c>
      <c r="S181" s="17">
        <v>3</v>
      </c>
      <c r="T181" s="17">
        <v>1640</v>
      </c>
    </row>
    <row r="182" spans="1:20" x14ac:dyDescent="0.2">
      <c r="A182" s="4" t="s">
        <v>1384</v>
      </c>
      <c r="B182" s="14" t="s">
        <v>27</v>
      </c>
      <c r="C182" s="11" t="s">
        <v>136</v>
      </c>
      <c r="D182" s="15">
        <v>394876677</v>
      </c>
      <c r="E182" s="11" t="s">
        <v>29</v>
      </c>
      <c r="F182" s="20">
        <v>38472</v>
      </c>
      <c r="G182" s="16" t="str">
        <f t="shared" si="4"/>
        <v>April</v>
      </c>
      <c r="H182" s="2">
        <f t="shared" ca="1" si="5"/>
        <v>14</v>
      </c>
      <c r="I182" s="17" t="s">
        <v>30</v>
      </c>
      <c r="J182" s="18">
        <v>45981</v>
      </c>
      <c r="K182" s="19">
        <v>2</v>
      </c>
      <c r="N182" s="11" t="s">
        <v>615</v>
      </c>
      <c r="O182" s="11" t="s">
        <v>125</v>
      </c>
      <c r="P182" s="11" t="s">
        <v>24</v>
      </c>
      <c r="Q182" s="11" t="s">
        <v>120</v>
      </c>
      <c r="R182" s="20">
        <f>(41875+(3*365))+112</f>
        <v>43082</v>
      </c>
      <c r="S182" s="17">
        <v>9</v>
      </c>
      <c r="T182" s="17">
        <v>4780</v>
      </c>
    </row>
    <row r="183" spans="1:20" x14ac:dyDescent="0.2">
      <c r="A183" s="11" t="s">
        <v>1032</v>
      </c>
      <c r="B183" s="14" t="s">
        <v>19</v>
      </c>
      <c r="C183" s="11" t="s">
        <v>336</v>
      </c>
      <c r="D183" s="15">
        <v>999789446</v>
      </c>
      <c r="E183" s="11" t="s">
        <v>29</v>
      </c>
      <c r="F183" s="20">
        <v>38185</v>
      </c>
      <c r="G183" s="16" t="str">
        <f t="shared" si="4"/>
        <v>July</v>
      </c>
      <c r="H183" s="2">
        <f t="shared" ca="1" si="5"/>
        <v>14</v>
      </c>
      <c r="I183" s="17" t="s">
        <v>47</v>
      </c>
      <c r="J183" s="18">
        <v>90099</v>
      </c>
      <c r="K183" s="19">
        <v>2</v>
      </c>
      <c r="N183" s="11" t="s">
        <v>1663</v>
      </c>
      <c r="O183" s="11" t="s">
        <v>114</v>
      </c>
      <c r="P183" s="11" t="s">
        <v>65</v>
      </c>
      <c r="Q183" s="11" t="s">
        <v>120</v>
      </c>
      <c r="R183" s="20">
        <f>(42319+(3*365))+112</f>
        <v>43526</v>
      </c>
      <c r="S183" s="17">
        <v>10</v>
      </c>
      <c r="T183" s="17">
        <v>4610</v>
      </c>
    </row>
    <row r="184" spans="1:20" x14ac:dyDescent="0.2">
      <c r="A184" s="11" t="s">
        <v>962</v>
      </c>
      <c r="B184" s="14" t="s">
        <v>51</v>
      </c>
      <c r="C184" s="11" t="s">
        <v>214</v>
      </c>
      <c r="D184" s="15">
        <v>944793994</v>
      </c>
      <c r="E184" s="11" t="s">
        <v>29</v>
      </c>
      <c r="F184" s="20">
        <v>37641</v>
      </c>
      <c r="G184" s="16" t="str">
        <f t="shared" si="4"/>
        <v>January</v>
      </c>
      <c r="H184" s="2">
        <f t="shared" ca="1" si="5"/>
        <v>16</v>
      </c>
      <c r="I184" s="17" t="s">
        <v>47</v>
      </c>
      <c r="J184" s="18">
        <v>32805</v>
      </c>
      <c r="K184" s="19">
        <v>3</v>
      </c>
      <c r="N184" s="11" t="s">
        <v>1333</v>
      </c>
      <c r="O184" s="11" t="s">
        <v>114</v>
      </c>
      <c r="P184" s="11" t="s">
        <v>65</v>
      </c>
      <c r="Q184" s="11" t="s">
        <v>219</v>
      </c>
      <c r="R184" s="20">
        <f>(42144+(3*365))+112</f>
        <v>43351</v>
      </c>
      <c r="S184" s="17">
        <v>13</v>
      </c>
      <c r="T184" s="17">
        <v>7190</v>
      </c>
    </row>
    <row r="185" spans="1:20" x14ac:dyDescent="0.2">
      <c r="A185" s="11" t="s">
        <v>568</v>
      </c>
      <c r="B185" s="14" t="s">
        <v>36</v>
      </c>
      <c r="C185" s="11" t="s">
        <v>214</v>
      </c>
      <c r="D185" s="15">
        <v>590896401</v>
      </c>
      <c r="E185" s="11" t="s">
        <v>29</v>
      </c>
      <c r="F185" s="20">
        <v>41177</v>
      </c>
      <c r="G185" s="16" t="str">
        <f t="shared" si="4"/>
        <v>September</v>
      </c>
      <c r="H185" s="2">
        <f t="shared" ca="1" si="5"/>
        <v>6</v>
      </c>
      <c r="I185" s="17" t="s">
        <v>87</v>
      </c>
      <c r="J185" s="18">
        <v>95526</v>
      </c>
      <c r="K185" s="19">
        <v>1</v>
      </c>
      <c r="N185" s="11" t="s">
        <v>1051</v>
      </c>
      <c r="O185" s="11" t="s">
        <v>32</v>
      </c>
      <c r="P185" s="11" t="s">
        <v>33</v>
      </c>
      <c r="Q185" s="11" t="s">
        <v>41</v>
      </c>
      <c r="R185" s="20">
        <f>(42022+(3*365))+112</f>
        <v>43229</v>
      </c>
      <c r="S185" s="17">
        <v>15</v>
      </c>
      <c r="T185" s="17">
        <v>6975</v>
      </c>
    </row>
    <row r="186" spans="1:20" x14ac:dyDescent="0.2">
      <c r="A186" s="11" t="s">
        <v>42</v>
      </c>
      <c r="B186" s="14" t="s">
        <v>43</v>
      </c>
      <c r="C186" s="4" t="s">
        <v>37</v>
      </c>
      <c r="D186" s="22">
        <v>948195711</v>
      </c>
      <c r="E186" s="4" t="s">
        <v>21</v>
      </c>
      <c r="F186" s="20">
        <v>42003</v>
      </c>
      <c r="G186" s="16" t="str">
        <f t="shared" si="4"/>
        <v>December</v>
      </c>
      <c r="H186" s="2">
        <f t="shared" ca="1" si="5"/>
        <v>4</v>
      </c>
      <c r="I186" s="17"/>
      <c r="J186" s="18">
        <v>57429</v>
      </c>
      <c r="K186" s="19">
        <v>5</v>
      </c>
      <c r="N186" s="11" t="s">
        <v>1713</v>
      </c>
      <c r="O186" s="11" t="s">
        <v>64</v>
      </c>
      <c r="P186" s="11" t="s">
        <v>24</v>
      </c>
      <c r="Q186" s="11" t="s">
        <v>34</v>
      </c>
      <c r="R186" s="20">
        <f>(42355+(3*365))+112</f>
        <v>43562</v>
      </c>
      <c r="S186" s="17">
        <v>8</v>
      </c>
      <c r="T186" s="17">
        <v>3147</v>
      </c>
    </row>
    <row r="187" spans="1:20" x14ac:dyDescent="0.2">
      <c r="A187" s="11" t="s">
        <v>435</v>
      </c>
      <c r="B187" s="14" t="s">
        <v>19</v>
      </c>
      <c r="C187" s="11" t="s">
        <v>205</v>
      </c>
      <c r="D187" s="15">
        <v>351268538</v>
      </c>
      <c r="E187" s="11" t="s">
        <v>56</v>
      </c>
      <c r="F187" s="20">
        <v>39375</v>
      </c>
      <c r="G187" s="16" t="str">
        <f t="shared" si="4"/>
        <v>October</v>
      </c>
      <c r="H187" s="2">
        <f t="shared" ca="1" si="5"/>
        <v>11</v>
      </c>
      <c r="I187" s="17" t="s">
        <v>30</v>
      </c>
      <c r="J187" s="18">
        <v>83511</v>
      </c>
      <c r="K187" s="19">
        <v>5</v>
      </c>
      <c r="N187" s="11" t="s">
        <v>1686</v>
      </c>
      <c r="O187" s="11" t="s">
        <v>125</v>
      </c>
      <c r="P187" s="11" t="s">
        <v>24</v>
      </c>
      <c r="Q187" s="11" t="s">
        <v>120</v>
      </c>
      <c r="R187" s="20">
        <f>(42334+(3*365))+112</f>
        <v>43541</v>
      </c>
      <c r="S187" s="17">
        <v>1</v>
      </c>
      <c r="T187" s="17">
        <v>500</v>
      </c>
    </row>
    <row r="188" spans="1:20" x14ac:dyDescent="0.2">
      <c r="A188" s="11" t="s">
        <v>1150</v>
      </c>
      <c r="B188" s="14" t="s">
        <v>43</v>
      </c>
      <c r="C188" s="11" t="s">
        <v>136</v>
      </c>
      <c r="D188" s="15">
        <v>174159111</v>
      </c>
      <c r="E188" s="11" t="s">
        <v>29</v>
      </c>
      <c r="F188" s="20">
        <v>38142</v>
      </c>
      <c r="G188" s="16" t="str">
        <f t="shared" si="4"/>
        <v>June</v>
      </c>
      <c r="H188" s="2">
        <f t="shared" ca="1" si="5"/>
        <v>15</v>
      </c>
      <c r="I188" s="17" t="s">
        <v>87</v>
      </c>
      <c r="J188" s="18">
        <v>98145</v>
      </c>
      <c r="K188" s="19">
        <v>5</v>
      </c>
      <c r="N188" s="11" t="s">
        <v>353</v>
      </c>
      <c r="O188" s="11" t="s">
        <v>32</v>
      </c>
      <c r="P188" s="11" t="s">
        <v>40</v>
      </c>
      <c r="Q188" s="11" t="s">
        <v>41</v>
      </c>
      <c r="R188" s="20">
        <f>(41761+(3*365))+112</f>
        <v>42968</v>
      </c>
      <c r="S188" s="17">
        <v>8</v>
      </c>
      <c r="T188" s="17">
        <v>4465</v>
      </c>
    </row>
    <row r="189" spans="1:20" x14ac:dyDescent="0.2">
      <c r="A189" s="11" t="s">
        <v>323</v>
      </c>
      <c r="B189" s="14" t="s">
        <v>19</v>
      </c>
      <c r="C189" s="11" t="s">
        <v>136</v>
      </c>
      <c r="D189" s="15">
        <v>880747384</v>
      </c>
      <c r="E189" s="11" t="s">
        <v>29</v>
      </c>
      <c r="F189" s="20">
        <v>36382</v>
      </c>
      <c r="G189" s="16" t="str">
        <f t="shared" si="4"/>
        <v>August</v>
      </c>
      <c r="H189" s="2">
        <f t="shared" ca="1" si="5"/>
        <v>19</v>
      </c>
      <c r="I189" s="17" t="s">
        <v>38</v>
      </c>
      <c r="J189" s="18">
        <v>107190</v>
      </c>
      <c r="K189" s="19">
        <v>4</v>
      </c>
      <c r="N189" s="11" t="s">
        <v>1457</v>
      </c>
      <c r="O189" s="11" t="s">
        <v>64</v>
      </c>
      <c r="P189" s="11" t="s">
        <v>33</v>
      </c>
      <c r="Q189" s="11" t="s">
        <v>25</v>
      </c>
      <c r="R189" s="20">
        <f>(42192+(3*365))+112</f>
        <v>43399</v>
      </c>
      <c r="S189" s="17">
        <v>10</v>
      </c>
      <c r="T189" s="17">
        <v>4910</v>
      </c>
    </row>
    <row r="190" spans="1:20" x14ac:dyDescent="0.2">
      <c r="A190" s="11" t="s">
        <v>1254</v>
      </c>
      <c r="B190" s="14" t="s">
        <v>27</v>
      </c>
      <c r="C190" s="11" t="s">
        <v>145</v>
      </c>
      <c r="D190" s="15">
        <v>489667166</v>
      </c>
      <c r="E190" s="11" t="s">
        <v>29</v>
      </c>
      <c r="F190" s="20">
        <v>39263</v>
      </c>
      <c r="G190" s="16" t="str">
        <f t="shared" si="4"/>
        <v>June</v>
      </c>
      <c r="H190" s="2">
        <f t="shared" ca="1" si="5"/>
        <v>11</v>
      </c>
      <c r="I190" s="17" t="s">
        <v>87</v>
      </c>
      <c r="J190" s="18">
        <v>61938</v>
      </c>
      <c r="K190" s="19">
        <v>5</v>
      </c>
      <c r="N190" s="11" t="s">
        <v>1562</v>
      </c>
      <c r="O190" s="11" t="s">
        <v>54</v>
      </c>
      <c r="P190" s="11" t="s">
        <v>24</v>
      </c>
      <c r="Q190" s="11" t="s">
        <v>34</v>
      </c>
      <c r="R190" s="20">
        <f>(42231+(3*365))+112</f>
        <v>43438</v>
      </c>
      <c r="S190" s="17">
        <v>16</v>
      </c>
      <c r="T190" s="17">
        <v>5549</v>
      </c>
    </row>
    <row r="191" spans="1:20" x14ac:dyDescent="0.2">
      <c r="A191" s="11" t="s">
        <v>1178</v>
      </c>
      <c r="B191" s="14" t="s">
        <v>19</v>
      </c>
      <c r="C191" s="11" t="s">
        <v>145</v>
      </c>
      <c r="D191" s="15">
        <v>562497973</v>
      </c>
      <c r="E191" s="11" t="s">
        <v>29</v>
      </c>
      <c r="F191" s="20">
        <v>38212</v>
      </c>
      <c r="G191" s="16" t="str">
        <f t="shared" si="4"/>
        <v>August</v>
      </c>
      <c r="H191" s="2">
        <f t="shared" ca="1" si="5"/>
        <v>14</v>
      </c>
      <c r="I191" s="17" t="s">
        <v>87</v>
      </c>
      <c r="J191" s="18">
        <v>85091</v>
      </c>
      <c r="K191" s="19">
        <v>1</v>
      </c>
      <c r="N191" s="11" t="s">
        <v>652</v>
      </c>
      <c r="O191" s="11" t="s">
        <v>75</v>
      </c>
      <c r="P191" s="11" t="s">
        <v>40</v>
      </c>
      <c r="Q191" s="11" t="s">
        <v>219</v>
      </c>
      <c r="R191" s="20">
        <f>(41892+(3*365))+112</f>
        <v>43099</v>
      </c>
      <c r="S191" s="17">
        <v>1</v>
      </c>
      <c r="T191" s="17">
        <v>395</v>
      </c>
    </row>
    <row r="192" spans="1:20" x14ac:dyDescent="0.2">
      <c r="A192" s="11" t="s">
        <v>258</v>
      </c>
      <c r="B192" s="14" t="s">
        <v>43</v>
      </c>
      <c r="C192" s="11" t="s">
        <v>254</v>
      </c>
      <c r="D192" s="15">
        <v>294130565</v>
      </c>
      <c r="E192" s="11" t="s">
        <v>29</v>
      </c>
      <c r="F192" s="20">
        <v>36492</v>
      </c>
      <c r="G192" s="16" t="str">
        <f t="shared" si="4"/>
        <v>November</v>
      </c>
      <c r="H192" s="2">
        <f t="shared" ca="1" si="5"/>
        <v>19</v>
      </c>
      <c r="I192" s="17" t="s">
        <v>47</v>
      </c>
      <c r="J192" s="18">
        <v>35586</v>
      </c>
      <c r="K192" s="19">
        <v>1</v>
      </c>
      <c r="N192" s="11" t="s">
        <v>381</v>
      </c>
      <c r="O192" s="11" t="s">
        <v>114</v>
      </c>
      <c r="P192" s="11" t="s">
        <v>24</v>
      </c>
      <c r="Q192" s="11" t="s">
        <v>34</v>
      </c>
      <c r="R192" s="20">
        <f>(41778+(3*365))+112</f>
        <v>42985</v>
      </c>
      <c r="S192" s="17">
        <v>7</v>
      </c>
      <c r="T192" s="17">
        <v>3150</v>
      </c>
    </row>
    <row r="193" spans="1:20" x14ac:dyDescent="0.2">
      <c r="A193" s="11" t="s">
        <v>1434</v>
      </c>
      <c r="B193" s="14" t="s">
        <v>19</v>
      </c>
      <c r="C193" s="11" t="s">
        <v>214</v>
      </c>
      <c r="D193" s="15">
        <v>462995574</v>
      </c>
      <c r="E193" s="11" t="s">
        <v>29</v>
      </c>
      <c r="F193" s="20">
        <v>38957</v>
      </c>
      <c r="G193" s="16" t="str">
        <f t="shared" si="4"/>
        <v>August</v>
      </c>
      <c r="H193" s="2">
        <f t="shared" ca="1" si="5"/>
        <v>12</v>
      </c>
      <c r="I193" s="17" t="s">
        <v>47</v>
      </c>
      <c r="J193" s="18">
        <v>119124</v>
      </c>
      <c r="K193" s="19">
        <v>5</v>
      </c>
      <c r="N193" s="11" t="s">
        <v>1397</v>
      </c>
      <c r="O193" s="11" t="s">
        <v>45</v>
      </c>
      <c r="P193" s="11" t="s">
        <v>65</v>
      </c>
      <c r="Q193" s="11" t="s">
        <v>219</v>
      </c>
      <c r="R193" s="20">
        <f>(42167+(3*365))+112</f>
        <v>43374</v>
      </c>
      <c r="S193" s="17">
        <v>9</v>
      </c>
      <c r="T193" s="17">
        <v>5005</v>
      </c>
    </row>
    <row r="194" spans="1:20" x14ac:dyDescent="0.2">
      <c r="A194" s="11" t="s">
        <v>894</v>
      </c>
      <c r="B194" s="14" t="s">
        <v>83</v>
      </c>
      <c r="C194" s="11" t="s">
        <v>136</v>
      </c>
      <c r="D194" s="15">
        <v>422463024</v>
      </c>
      <c r="E194" s="11" t="s">
        <v>29</v>
      </c>
      <c r="F194" s="20">
        <v>37549</v>
      </c>
      <c r="G194" s="16" t="str">
        <f t="shared" ref="G194:G257" si="6">CHOOSE(MONTH(F194),"January","February","March","April","May","June","July","August","September","October","November","December")</f>
        <v>October</v>
      </c>
      <c r="H194" s="2">
        <f t="shared" ref="H194:H257" ca="1" si="7">DATEDIF(F194,TODAY(),"Y")</f>
        <v>16</v>
      </c>
      <c r="I194" s="17" t="s">
        <v>87</v>
      </c>
      <c r="J194" s="18">
        <v>119907</v>
      </c>
      <c r="K194" s="19">
        <v>2</v>
      </c>
      <c r="N194" s="11" t="s">
        <v>714</v>
      </c>
      <c r="O194" s="11" t="s">
        <v>54</v>
      </c>
      <c r="P194" s="11" t="s">
        <v>33</v>
      </c>
      <c r="Q194" s="11" t="s">
        <v>25</v>
      </c>
      <c r="R194" s="20">
        <f>(41915+(3*365))+112</f>
        <v>43122</v>
      </c>
      <c r="S194" s="17">
        <v>1</v>
      </c>
      <c r="T194" s="17">
        <v>425</v>
      </c>
    </row>
    <row r="195" spans="1:20" x14ac:dyDescent="0.2">
      <c r="A195" s="11" t="s">
        <v>283</v>
      </c>
      <c r="B195" s="14" t="s">
        <v>19</v>
      </c>
      <c r="C195" s="11" t="s">
        <v>254</v>
      </c>
      <c r="D195" s="15">
        <v>617795992</v>
      </c>
      <c r="E195" s="11" t="s">
        <v>29</v>
      </c>
      <c r="F195" s="20">
        <v>36434</v>
      </c>
      <c r="G195" s="16" t="str">
        <f t="shared" si="6"/>
        <v>October</v>
      </c>
      <c r="H195" s="2">
        <f t="shared" ca="1" si="7"/>
        <v>19</v>
      </c>
      <c r="I195" s="17" t="s">
        <v>47</v>
      </c>
      <c r="J195" s="18">
        <v>58833</v>
      </c>
      <c r="K195" s="19">
        <v>5</v>
      </c>
      <c r="N195" s="11" t="s">
        <v>1289</v>
      </c>
      <c r="O195" s="11" t="s">
        <v>78</v>
      </c>
      <c r="P195" s="11" t="s">
        <v>24</v>
      </c>
      <c r="Q195" s="11" t="s">
        <v>219</v>
      </c>
      <c r="R195" s="20">
        <f>(42127+(3*365))+112</f>
        <v>43334</v>
      </c>
      <c r="S195" s="17">
        <v>1</v>
      </c>
      <c r="T195" s="17">
        <v>350</v>
      </c>
    </row>
    <row r="196" spans="1:20" x14ac:dyDescent="0.2">
      <c r="A196" s="11" t="s">
        <v>427</v>
      </c>
      <c r="B196" s="14" t="s">
        <v>27</v>
      </c>
      <c r="C196" s="11" t="s">
        <v>20</v>
      </c>
      <c r="D196" s="15">
        <v>667812117</v>
      </c>
      <c r="E196" s="11" t="s">
        <v>29</v>
      </c>
      <c r="F196" s="20">
        <v>36602</v>
      </c>
      <c r="G196" s="16" t="str">
        <f t="shared" si="6"/>
        <v>March</v>
      </c>
      <c r="H196" s="2">
        <f t="shared" ca="1" si="7"/>
        <v>19</v>
      </c>
      <c r="I196" s="17" t="s">
        <v>87</v>
      </c>
      <c r="J196" s="18">
        <v>42971</v>
      </c>
      <c r="K196" s="19">
        <v>3</v>
      </c>
      <c r="N196" s="11" t="s">
        <v>979</v>
      </c>
      <c r="O196" s="11" t="s">
        <v>49</v>
      </c>
      <c r="P196" s="11" t="s">
        <v>65</v>
      </c>
      <c r="Q196" s="11" t="s">
        <v>34</v>
      </c>
      <c r="R196" s="20">
        <f>(42004+(3*365))+112</f>
        <v>43211</v>
      </c>
      <c r="S196" s="17">
        <v>20</v>
      </c>
      <c r="T196" s="17">
        <v>6660</v>
      </c>
    </row>
    <row r="197" spans="1:20" x14ac:dyDescent="0.2">
      <c r="A197" s="11" t="s">
        <v>651</v>
      </c>
      <c r="B197" s="14" t="s">
        <v>27</v>
      </c>
      <c r="C197" s="11" t="s">
        <v>214</v>
      </c>
      <c r="D197" s="15">
        <v>110547055</v>
      </c>
      <c r="E197" s="11" t="s">
        <v>80</v>
      </c>
      <c r="F197" s="20">
        <v>39216</v>
      </c>
      <c r="G197" s="16" t="str">
        <f t="shared" si="6"/>
        <v>May</v>
      </c>
      <c r="H197" s="2">
        <f t="shared" ca="1" si="7"/>
        <v>12</v>
      </c>
      <c r="I197" s="17" t="s">
        <v>30</v>
      </c>
      <c r="J197" s="18">
        <v>14938</v>
      </c>
      <c r="K197" s="19">
        <v>1</v>
      </c>
      <c r="N197" s="11" t="s">
        <v>1660</v>
      </c>
      <c r="O197" s="11" t="s">
        <v>117</v>
      </c>
      <c r="P197" s="11" t="s">
        <v>65</v>
      </c>
      <c r="Q197" s="11" t="s">
        <v>219</v>
      </c>
      <c r="R197" s="20">
        <f>(42316+(3*365))+112</f>
        <v>43523</v>
      </c>
      <c r="S197" s="17">
        <v>9</v>
      </c>
      <c r="T197" s="17">
        <v>5120</v>
      </c>
    </row>
    <row r="198" spans="1:20" x14ac:dyDescent="0.2">
      <c r="A198" s="11" t="s">
        <v>366</v>
      </c>
      <c r="B198" s="14" t="s">
        <v>19</v>
      </c>
      <c r="C198" s="11" t="s">
        <v>59</v>
      </c>
      <c r="D198" s="15">
        <v>282972141</v>
      </c>
      <c r="E198" s="11" t="s">
        <v>21</v>
      </c>
      <c r="F198" s="20">
        <v>38795</v>
      </c>
      <c r="G198" s="16" t="str">
        <f t="shared" si="6"/>
        <v>March</v>
      </c>
      <c r="H198" s="2">
        <f t="shared" ca="1" si="7"/>
        <v>13</v>
      </c>
      <c r="I198" s="17"/>
      <c r="J198" s="18">
        <v>33912</v>
      </c>
      <c r="K198" s="19">
        <v>5</v>
      </c>
      <c r="N198" s="11" t="s">
        <v>1123</v>
      </c>
      <c r="O198" s="11" t="s">
        <v>45</v>
      </c>
      <c r="P198" s="11" t="s">
        <v>33</v>
      </c>
      <c r="Q198" s="11" t="s">
        <v>120</v>
      </c>
      <c r="R198" s="20">
        <f>(42047+(3*365))+112</f>
        <v>43254</v>
      </c>
      <c r="S198" s="17">
        <v>11</v>
      </c>
      <c r="T198" s="17">
        <v>3695</v>
      </c>
    </row>
    <row r="199" spans="1:20" x14ac:dyDescent="0.2">
      <c r="A199" s="11" t="s">
        <v>198</v>
      </c>
      <c r="B199" s="14" t="s">
        <v>19</v>
      </c>
      <c r="C199" s="11" t="s">
        <v>20</v>
      </c>
      <c r="D199" s="15">
        <v>831188207</v>
      </c>
      <c r="E199" s="11" t="s">
        <v>29</v>
      </c>
      <c r="F199" s="20">
        <v>40097</v>
      </c>
      <c r="G199" s="16" t="str">
        <f t="shared" si="6"/>
        <v>October</v>
      </c>
      <c r="H199" s="2">
        <f t="shared" ca="1" si="7"/>
        <v>9</v>
      </c>
      <c r="I199" s="17" t="s">
        <v>47</v>
      </c>
      <c r="J199" s="18">
        <v>97133</v>
      </c>
      <c r="K199" s="19">
        <v>5</v>
      </c>
      <c r="N199" s="11" t="s">
        <v>1557</v>
      </c>
      <c r="O199" s="11" t="s">
        <v>45</v>
      </c>
      <c r="P199" s="11" t="s">
        <v>40</v>
      </c>
      <c r="Q199" s="11" t="s">
        <v>34</v>
      </c>
      <c r="R199" s="20">
        <f>(42229+(3*365))+112</f>
        <v>43436</v>
      </c>
      <c r="S199" s="17">
        <v>8</v>
      </c>
      <c r="T199" s="17">
        <v>3613</v>
      </c>
    </row>
    <row r="200" spans="1:20" x14ac:dyDescent="0.2">
      <c r="A200" s="11" t="s">
        <v>1142</v>
      </c>
      <c r="B200" s="14" t="s">
        <v>83</v>
      </c>
      <c r="C200" s="11" t="s">
        <v>254</v>
      </c>
      <c r="D200" s="15">
        <v>577239513</v>
      </c>
      <c r="E200" s="11" t="s">
        <v>29</v>
      </c>
      <c r="F200" s="20">
        <v>37989</v>
      </c>
      <c r="G200" s="16" t="str">
        <f t="shared" si="6"/>
        <v>January</v>
      </c>
      <c r="H200" s="2">
        <f t="shared" ca="1" si="7"/>
        <v>15</v>
      </c>
      <c r="I200" s="17" t="s">
        <v>30</v>
      </c>
      <c r="J200" s="18">
        <v>85158</v>
      </c>
      <c r="K200" s="19">
        <v>5</v>
      </c>
      <c r="N200" s="11" t="s">
        <v>1570</v>
      </c>
      <c r="O200" s="11" t="s">
        <v>64</v>
      </c>
      <c r="P200" s="11" t="s">
        <v>24</v>
      </c>
      <c r="Q200" s="11" t="s">
        <v>25</v>
      </c>
      <c r="R200" s="20">
        <f>(42236+(3*365))+112</f>
        <v>43443</v>
      </c>
      <c r="S200" s="17">
        <v>2</v>
      </c>
      <c r="T200" s="17">
        <v>750</v>
      </c>
    </row>
    <row r="201" spans="1:20" x14ac:dyDescent="0.2">
      <c r="A201" s="11" t="s">
        <v>705</v>
      </c>
      <c r="B201" s="14" t="s">
        <v>83</v>
      </c>
      <c r="C201" s="11" t="s">
        <v>214</v>
      </c>
      <c r="D201" s="15">
        <v>826450563</v>
      </c>
      <c r="E201" s="11" t="s">
        <v>21</v>
      </c>
      <c r="F201" s="20">
        <v>39560</v>
      </c>
      <c r="G201" s="16" t="str">
        <f t="shared" si="6"/>
        <v>April</v>
      </c>
      <c r="H201" s="2">
        <f t="shared" ca="1" si="7"/>
        <v>11</v>
      </c>
      <c r="I201" s="17"/>
      <c r="J201" s="18">
        <v>77976</v>
      </c>
      <c r="K201" s="19">
        <v>3</v>
      </c>
      <c r="N201" s="11" t="s">
        <v>1596</v>
      </c>
      <c r="O201" s="11" t="s">
        <v>54</v>
      </c>
      <c r="P201" s="11" t="s">
        <v>65</v>
      </c>
      <c r="Q201" s="11" t="s">
        <v>41</v>
      </c>
      <c r="R201" s="20">
        <f>(42262+(3*365))+112</f>
        <v>43469</v>
      </c>
      <c r="S201" s="17">
        <v>7</v>
      </c>
      <c r="T201" s="17">
        <v>2980</v>
      </c>
    </row>
    <row r="202" spans="1:20" x14ac:dyDescent="0.2">
      <c r="A202" s="11" t="s">
        <v>1200</v>
      </c>
      <c r="B202" s="14" t="s">
        <v>27</v>
      </c>
      <c r="C202" s="11" t="s">
        <v>152</v>
      </c>
      <c r="D202" s="15">
        <v>101829876</v>
      </c>
      <c r="E202" s="11" t="s">
        <v>56</v>
      </c>
      <c r="F202" s="20">
        <v>38103</v>
      </c>
      <c r="G202" s="16" t="str">
        <f t="shared" si="6"/>
        <v>April</v>
      </c>
      <c r="H202" s="2">
        <f t="shared" ca="1" si="7"/>
        <v>15</v>
      </c>
      <c r="I202" s="17"/>
      <c r="J202" s="18">
        <v>45565</v>
      </c>
      <c r="K202" s="19">
        <v>3</v>
      </c>
      <c r="N202" s="11" t="s">
        <v>593</v>
      </c>
      <c r="O202" s="11" t="s">
        <v>49</v>
      </c>
      <c r="P202" s="11" t="s">
        <v>40</v>
      </c>
      <c r="Q202" s="11" t="s">
        <v>34</v>
      </c>
      <c r="R202" s="20">
        <f>(41866+(3*365))+112</f>
        <v>43073</v>
      </c>
      <c r="S202" s="17">
        <v>20</v>
      </c>
      <c r="T202" s="17">
        <v>10700</v>
      </c>
    </row>
    <row r="203" spans="1:20" x14ac:dyDescent="0.2">
      <c r="A203" s="11" t="s">
        <v>1316</v>
      </c>
      <c r="B203" s="14" t="s">
        <v>51</v>
      </c>
      <c r="C203" s="11" t="s">
        <v>214</v>
      </c>
      <c r="D203" s="15">
        <v>696435191</v>
      </c>
      <c r="E203" s="11" t="s">
        <v>29</v>
      </c>
      <c r="F203" s="20">
        <v>38447</v>
      </c>
      <c r="G203" s="16" t="str">
        <f t="shared" si="6"/>
        <v>April</v>
      </c>
      <c r="H203" s="2">
        <f t="shared" ca="1" si="7"/>
        <v>14</v>
      </c>
      <c r="I203" s="17" t="s">
        <v>30</v>
      </c>
      <c r="J203" s="18">
        <v>82553</v>
      </c>
      <c r="K203" s="19">
        <v>2</v>
      </c>
      <c r="N203" s="11" t="s">
        <v>310</v>
      </c>
      <c r="O203" s="11" t="s">
        <v>64</v>
      </c>
      <c r="P203" s="11" t="s">
        <v>40</v>
      </c>
      <c r="Q203" s="11" t="s">
        <v>34</v>
      </c>
      <c r="R203" s="20">
        <f>(41746+(3*365))+112</f>
        <v>42953</v>
      </c>
      <c r="S203" s="17">
        <v>7</v>
      </c>
      <c r="T203" s="17">
        <v>3570</v>
      </c>
    </row>
    <row r="204" spans="1:20" x14ac:dyDescent="0.2">
      <c r="A204" s="11" t="s">
        <v>1116</v>
      </c>
      <c r="B204" s="14" t="s">
        <v>19</v>
      </c>
      <c r="C204" s="11" t="s">
        <v>249</v>
      </c>
      <c r="D204" s="15">
        <v>788832967</v>
      </c>
      <c r="E204" s="11" t="s">
        <v>56</v>
      </c>
      <c r="F204" s="20">
        <v>38237</v>
      </c>
      <c r="G204" s="16" t="str">
        <f t="shared" si="6"/>
        <v>September</v>
      </c>
      <c r="H204" s="2">
        <f t="shared" ca="1" si="7"/>
        <v>14</v>
      </c>
      <c r="I204" s="17"/>
      <c r="J204" s="18">
        <v>47671</v>
      </c>
      <c r="K204" s="19">
        <v>3</v>
      </c>
      <c r="N204" s="11" t="s">
        <v>1445</v>
      </c>
      <c r="O204" s="11" t="s">
        <v>78</v>
      </c>
      <c r="P204" s="11" t="s">
        <v>65</v>
      </c>
      <c r="Q204" s="11" t="s">
        <v>41</v>
      </c>
      <c r="R204" s="20">
        <f>(42186+(3*365))+112</f>
        <v>43393</v>
      </c>
      <c r="S204" s="17">
        <v>4</v>
      </c>
      <c r="T204" s="17">
        <v>1595</v>
      </c>
    </row>
    <row r="205" spans="1:20" x14ac:dyDescent="0.2">
      <c r="A205" s="11" t="s">
        <v>528</v>
      </c>
      <c r="B205" s="14" t="s">
        <v>36</v>
      </c>
      <c r="C205" s="11" t="s">
        <v>214</v>
      </c>
      <c r="D205" s="15">
        <v>143534593</v>
      </c>
      <c r="E205" s="11" t="s">
        <v>21</v>
      </c>
      <c r="F205" s="20">
        <v>40676</v>
      </c>
      <c r="G205" s="16" t="str">
        <f t="shared" si="6"/>
        <v>May</v>
      </c>
      <c r="H205" s="2">
        <f t="shared" ca="1" si="7"/>
        <v>8</v>
      </c>
      <c r="I205" s="17"/>
      <c r="J205" s="18">
        <v>101817</v>
      </c>
      <c r="K205" s="19">
        <v>1</v>
      </c>
      <c r="N205" s="11" t="s">
        <v>971</v>
      </c>
      <c r="O205" s="11" t="s">
        <v>45</v>
      </c>
      <c r="P205" s="11" t="s">
        <v>40</v>
      </c>
      <c r="Q205" s="11" t="s">
        <v>219</v>
      </c>
      <c r="R205" s="20">
        <f>(42004+(3*365))+112</f>
        <v>43211</v>
      </c>
      <c r="S205" s="17">
        <v>3</v>
      </c>
      <c r="T205" s="17">
        <v>1060</v>
      </c>
    </row>
    <row r="206" spans="1:20" x14ac:dyDescent="0.2">
      <c r="A206" s="11" t="s">
        <v>1164</v>
      </c>
      <c r="B206" s="14" t="s">
        <v>19</v>
      </c>
      <c r="C206" s="11" t="s">
        <v>136</v>
      </c>
      <c r="D206" s="15">
        <v>339488599</v>
      </c>
      <c r="E206" s="11" t="s">
        <v>21</v>
      </c>
      <c r="F206" s="20">
        <v>40260</v>
      </c>
      <c r="G206" s="16" t="str">
        <f t="shared" si="6"/>
        <v>March</v>
      </c>
      <c r="H206" s="2">
        <f t="shared" ca="1" si="7"/>
        <v>9</v>
      </c>
      <c r="I206" s="17"/>
      <c r="J206" s="18">
        <v>81095</v>
      </c>
      <c r="K206" s="19">
        <v>3</v>
      </c>
      <c r="N206" s="11" t="s">
        <v>889</v>
      </c>
      <c r="O206" s="11" t="s">
        <v>32</v>
      </c>
      <c r="P206" s="11" t="s">
        <v>40</v>
      </c>
      <c r="Q206" s="11" t="s">
        <v>120</v>
      </c>
      <c r="R206" s="20">
        <f>(41974+(3*365))+112</f>
        <v>43181</v>
      </c>
      <c r="S206" s="17">
        <v>14</v>
      </c>
      <c r="T206" s="17">
        <v>6985</v>
      </c>
    </row>
    <row r="207" spans="1:20" x14ac:dyDescent="0.2">
      <c r="A207" s="11" t="s">
        <v>896</v>
      </c>
      <c r="B207" s="14" t="s">
        <v>19</v>
      </c>
      <c r="C207" s="11" t="s">
        <v>249</v>
      </c>
      <c r="D207" s="15">
        <v>797431044</v>
      </c>
      <c r="E207" s="11" t="s">
        <v>56</v>
      </c>
      <c r="F207" s="20">
        <v>38940</v>
      </c>
      <c r="G207" s="16" t="str">
        <f t="shared" si="6"/>
        <v>August</v>
      </c>
      <c r="H207" s="2">
        <f t="shared" ca="1" si="7"/>
        <v>12</v>
      </c>
      <c r="I207" s="17"/>
      <c r="J207" s="18">
        <v>29252</v>
      </c>
      <c r="K207" s="19">
        <v>4</v>
      </c>
      <c r="N207" s="11" t="s">
        <v>919</v>
      </c>
      <c r="O207" s="11" t="s">
        <v>64</v>
      </c>
      <c r="P207" s="11" t="s">
        <v>33</v>
      </c>
      <c r="Q207" s="11" t="s">
        <v>120</v>
      </c>
      <c r="R207" s="20">
        <f>(41987+(3*365))+112</f>
        <v>43194</v>
      </c>
      <c r="S207" s="17">
        <v>1</v>
      </c>
      <c r="T207" s="17">
        <v>335</v>
      </c>
    </row>
    <row r="208" spans="1:20" x14ac:dyDescent="0.2">
      <c r="A208" s="11" t="s">
        <v>813</v>
      </c>
      <c r="B208" s="14" t="s">
        <v>36</v>
      </c>
      <c r="C208" s="11" t="s">
        <v>86</v>
      </c>
      <c r="D208" s="15">
        <v>506165137</v>
      </c>
      <c r="E208" s="11" t="s">
        <v>29</v>
      </c>
      <c r="F208" s="20">
        <v>42939</v>
      </c>
      <c r="G208" s="16" t="str">
        <f t="shared" si="6"/>
        <v>July</v>
      </c>
      <c r="H208" s="2">
        <f t="shared" ca="1" si="7"/>
        <v>1</v>
      </c>
      <c r="I208" s="17" t="s">
        <v>30</v>
      </c>
      <c r="J208" s="18">
        <v>59603</v>
      </c>
      <c r="K208" s="19">
        <v>4</v>
      </c>
      <c r="N208" s="11" t="s">
        <v>314</v>
      </c>
      <c r="O208" s="11" t="s">
        <v>64</v>
      </c>
      <c r="P208" s="11" t="s">
        <v>33</v>
      </c>
      <c r="Q208" s="11" t="s">
        <v>34</v>
      </c>
      <c r="R208" s="20">
        <f>(41748+(3*365))+112</f>
        <v>42955</v>
      </c>
      <c r="S208" s="17">
        <v>12</v>
      </c>
      <c r="T208" s="17">
        <v>3780</v>
      </c>
    </row>
    <row r="209" spans="1:20" x14ac:dyDescent="0.2">
      <c r="A209" s="11" t="s">
        <v>669</v>
      </c>
      <c r="B209" s="14" t="s">
        <v>43</v>
      </c>
      <c r="C209" s="11" t="s">
        <v>59</v>
      </c>
      <c r="D209" s="15">
        <v>932787692</v>
      </c>
      <c r="E209" s="11" t="s">
        <v>21</v>
      </c>
      <c r="F209" s="20">
        <v>37017</v>
      </c>
      <c r="G209" s="16" t="str">
        <f t="shared" si="6"/>
        <v>May</v>
      </c>
      <c r="H209" s="2">
        <f t="shared" ca="1" si="7"/>
        <v>18</v>
      </c>
      <c r="I209" s="17"/>
      <c r="J209" s="18">
        <v>86522</v>
      </c>
      <c r="K209" s="19">
        <v>2</v>
      </c>
      <c r="N209" s="11" t="s">
        <v>268</v>
      </c>
      <c r="O209" s="11" t="s">
        <v>117</v>
      </c>
      <c r="P209" s="11" t="s">
        <v>24</v>
      </c>
      <c r="Q209" s="11" t="s">
        <v>25</v>
      </c>
      <c r="R209" s="20">
        <f>(41732+(3*365))+112</f>
        <v>42939</v>
      </c>
      <c r="S209" s="17">
        <v>7</v>
      </c>
      <c r="T209" s="17">
        <v>2735</v>
      </c>
    </row>
    <row r="210" spans="1:20" x14ac:dyDescent="0.2">
      <c r="A210" s="11" t="s">
        <v>356</v>
      </c>
      <c r="B210" s="14" t="s">
        <v>19</v>
      </c>
      <c r="C210" s="11" t="s">
        <v>136</v>
      </c>
      <c r="D210" s="15">
        <v>561530671</v>
      </c>
      <c r="E210" s="11" t="s">
        <v>29</v>
      </c>
      <c r="F210" s="20">
        <v>36366</v>
      </c>
      <c r="G210" s="16" t="str">
        <f t="shared" si="6"/>
        <v>July</v>
      </c>
      <c r="H210" s="2">
        <f t="shared" ca="1" si="7"/>
        <v>19</v>
      </c>
      <c r="I210" s="17" t="s">
        <v>87</v>
      </c>
      <c r="J210" s="18">
        <v>73575</v>
      </c>
      <c r="K210" s="19">
        <v>5</v>
      </c>
      <c r="N210" s="11" t="s">
        <v>515</v>
      </c>
      <c r="O210" s="11" t="s">
        <v>45</v>
      </c>
      <c r="P210" s="11" t="s">
        <v>65</v>
      </c>
      <c r="Q210" s="11" t="s">
        <v>120</v>
      </c>
      <c r="R210" s="20">
        <f>(41834+(3*365))+112</f>
        <v>43041</v>
      </c>
      <c r="S210" s="17">
        <v>3</v>
      </c>
      <c r="T210" s="17">
        <v>1775</v>
      </c>
    </row>
    <row r="211" spans="1:20" x14ac:dyDescent="0.2">
      <c r="A211" s="11" t="s">
        <v>930</v>
      </c>
      <c r="B211" s="14" t="s">
        <v>19</v>
      </c>
      <c r="C211" s="11" t="s">
        <v>20</v>
      </c>
      <c r="D211" s="15">
        <v>147261161</v>
      </c>
      <c r="E211" s="11" t="s">
        <v>29</v>
      </c>
      <c r="F211" s="20">
        <v>37688</v>
      </c>
      <c r="G211" s="16" t="str">
        <f t="shared" si="6"/>
        <v>March</v>
      </c>
      <c r="H211" s="2">
        <f t="shared" ca="1" si="7"/>
        <v>16</v>
      </c>
      <c r="I211" s="17" t="s">
        <v>47</v>
      </c>
      <c r="J211" s="18">
        <v>43079</v>
      </c>
      <c r="K211" s="19">
        <v>5</v>
      </c>
      <c r="N211" s="11" t="s">
        <v>422</v>
      </c>
      <c r="O211" s="11" t="s">
        <v>64</v>
      </c>
      <c r="P211" s="11" t="s">
        <v>40</v>
      </c>
      <c r="Q211" s="11" t="s">
        <v>25</v>
      </c>
      <c r="R211" s="20">
        <f>(41795+(3*365))+112</f>
        <v>43002</v>
      </c>
      <c r="S211" s="17">
        <v>2</v>
      </c>
      <c r="T211" s="17">
        <v>780</v>
      </c>
    </row>
    <row r="212" spans="1:20" x14ac:dyDescent="0.2">
      <c r="A212" s="11" t="s">
        <v>1122</v>
      </c>
      <c r="B212" s="14" t="s">
        <v>27</v>
      </c>
      <c r="C212" s="11" t="s">
        <v>136</v>
      </c>
      <c r="D212" s="15">
        <v>765512793</v>
      </c>
      <c r="E212" s="11" t="s">
        <v>29</v>
      </c>
      <c r="F212" s="20">
        <v>42720</v>
      </c>
      <c r="G212" s="16" t="str">
        <f t="shared" si="6"/>
        <v>December</v>
      </c>
      <c r="H212" s="2">
        <f t="shared" ca="1" si="7"/>
        <v>2</v>
      </c>
      <c r="I212" s="17" t="s">
        <v>47</v>
      </c>
      <c r="J212" s="18">
        <v>86832</v>
      </c>
      <c r="K212" s="19">
        <v>5</v>
      </c>
      <c r="N212" s="11" t="s">
        <v>250</v>
      </c>
      <c r="O212" s="11" t="s">
        <v>49</v>
      </c>
      <c r="P212" s="11" t="s">
        <v>33</v>
      </c>
      <c r="Q212" s="11" t="s">
        <v>120</v>
      </c>
      <c r="R212" s="20">
        <f>(41720+(3*365))+112</f>
        <v>42927</v>
      </c>
      <c r="S212" s="17">
        <v>1</v>
      </c>
      <c r="T212" s="17">
        <v>325</v>
      </c>
    </row>
    <row r="213" spans="1:20" x14ac:dyDescent="0.2">
      <c r="A213" s="11" t="s">
        <v>851</v>
      </c>
      <c r="B213" s="14" t="s">
        <v>19</v>
      </c>
      <c r="C213" s="11" t="s">
        <v>86</v>
      </c>
      <c r="D213" s="15">
        <v>247406371</v>
      </c>
      <c r="E213" s="11" t="s">
        <v>80</v>
      </c>
      <c r="F213" s="20">
        <v>43207</v>
      </c>
      <c r="G213" s="16" t="str">
        <f t="shared" si="6"/>
        <v>April</v>
      </c>
      <c r="H213" s="2">
        <f t="shared" ca="1" si="7"/>
        <v>1</v>
      </c>
      <c r="I213" s="17" t="s">
        <v>30</v>
      </c>
      <c r="J213" s="18">
        <v>27054</v>
      </c>
      <c r="K213" s="19">
        <v>3</v>
      </c>
      <c r="N213" s="11" t="s">
        <v>1175</v>
      </c>
      <c r="O213" s="11" t="s">
        <v>78</v>
      </c>
      <c r="P213" s="11" t="s">
        <v>40</v>
      </c>
      <c r="Q213" s="11" t="s">
        <v>120</v>
      </c>
      <c r="R213" s="20">
        <f>(42074+(3*365))+112</f>
        <v>43281</v>
      </c>
      <c r="S213" s="17">
        <v>2</v>
      </c>
      <c r="T213" s="17">
        <v>630</v>
      </c>
    </row>
    <row r="214" spans="1:20" x14ac:dyDescent="0.2">
      <c r="A214" s="11" t="s">
        <v>244</v>
      </c>
      <c r="B214" s="14" t="s">
        <v>51</v>
      </c>
      <c r="C214" s="11" t="s">
        <v>86</v>
      </c>
      <c r="D214" s="15">
        <v>154984918</v>
      </c>
      <c r="E214" s="11" t="s">
        <v>29</v>
      </c>
      <c r="F214" s="20">
        <v>36263</v>
      </c>
      <c r="G214" s="16" t="str">
        <f t="shared" si="6"/>
        <v>April</v>
      </c>
      <c r="H214" s="2">
        <f t="shared" ca="1" si="7"/>
        <v>20</v>
      </c>
      <c r="I214" s="17" t="s">
        <v>47</v>
      </c>
      <c r="J214" s="18">
        <v>30915</v>
      </c>
      <c r="K214" s="19">
        <v>1</v>
      </c>
      <c r="N214" s="11" t="s">
        <v>1131</v>
      </c>
      <c r="O214" s="11" t="s">
        <v>49</v>
      </c>
      <c r="P214" s="11" t="s">
        <v>65</v>
      </c>
      <c r="Q214" s="11" t="s">
        <v>219</v>
      </c>
      <c r="R214" s="20">
        <f>(42047+(3*365))+112</f>
        <v>43254</v>
      </c>
      <c r="S214" s="17">
        <v>7</v>
      </c>
      <c r="T214" s="17">
        <v>3830</v>
      </c>
    </row>
    <row r="215" spans="1:20" x14ac:dyDescent="0.2">
      <c r="A215" s="11" t="s">
        <v>574</v>
      </c>
      <c r="B215" s="14" t="s">
        <v>19</v>
      </c>
      <c r="C215" s="11" t="s">
        <v>214</v>
      </c>
      <c r="D215" s="15">
        <v>384454025</v>
      </c>
      <c r="E215" s="11" t="s">
        <v>21</v>
      </c>
      <c r="F215" s="20">
        <v>39311</v>
      </c>
      <c r="G215" s="16" t="str">
        <f t="shared" si="6"/>
        <v>August</v>
      </c>
      <c r="H215" s="2">
        <f t="shared" ca="1" si="7"/>
        <v>11</v>
      </c>
      <c r="I215" s="17"/>
      <c r="J215" s="18">
        <v>32144</v>
      </c>
      <c r="K215" s="19">
        <v>4</v>
      </c>
      <c r="N215" s="11" t="s">
        <v>1513</v>
      </c>
      <c r="O215" s="11" t="s">
        <v>64</v>
      </c>
      <c r="P215" s="11" t="s">
        <v>33</v>
      </c>
      <c r="Q215" s="11" t="s">
        <v>34</v>
      </c>
      <c r="R215" s="20">
        <f>(42211+(3*365))+112</f>
        <v>43418</v>
      </c>
      <c r="S215" s="17">
        <v>17</v>
      </c>
      <c r="T215" s="17">
        <v>9931</v>
      </c>
    </row>
    <row r="216" spans="1:20" x14ac:dyDescent="0.2">
      <c r="A216" s="11" t="s">
        <v>409</v>
      </c>
      <c r="B216" s="14" t="s">
        <v>27</v>
      </c>
      <c r="C216" s="11" t="s">
        <v>62</v>
      </c>
      <c r="D216" s="15">
        <v>608796012</v>
      </c>
      <c r="E216" s="11" t="s">
        <v>29</v>
      </c>
      <c r="F216" s="20">
        <v>36687</v>
      </c>
      <c r="G216" s="16" t="str">
        <f t="shared" si="6"/>
        <v>June</v>
      </c>
      <c r="H216" s="2">
        <f t="shared" ca="1" si="7"/>
        <v>18</v>
      </c>
      <c r="I216" s="17" t="s">
        <v>47</v>
      </c>
      <c r="J216" s="18">
        <v>107676</v>
      </c>
      <c r="K216" s="19">
        <v>5</v>
      </c>
      <c r="N216" s="11" t="s">
        <v>1668</v>
      </c>
      <c r="O216" s="11" t="s">
        <v>49</v>
      </c>
      <c r="P216" s="11" t="s">
        <v>65</v>
      </c>
      <c r="Q216" s="11" t="s">
        <v>120</v>
      </c>
      <c r="R216" s="20">
        <f>(42322+(3*365))+112</f>
        <v>43529</v>
      </c>
      <c r="S216" s="17">
        <v>6</v>
      </c>
      <c r="T216" s="17">
        <v>2845</v>
      </c>
    </row>
    <row r="217" spans="1:20" x14ac:dyDescent="0.2">
      <c r="A217" s="11" t="s">
        <v>546</v>
      </c>
      <c r="B217" s="14" t="s">
        <v>43</v>
      </c>
      <c r="C217" s="11" t="s">
        <v>136</v>
      </c>
      <c r="D217" s="15">
        <v>808012612</v>
      </c>
      <c r="E217" s="11" t="s">
        <v>21</v>
      </c>
      <c r="F217" s="20">
        <v>36514</v>
      </c>
      <c r="G217" s="16" t="str">
        <f t="shared" si="6"/>
        <v>December</v>
      </c>
      <c r="H217" s="2">
        <f t="shared" ca="1" si="7"/>
        <v>19</v>
      </c>
      <c r="I217" s="17"/>
      <c r="J217" s="18">
        <v>81743</v>
      </c>
      <c r="K217" s="19">
        <v>2</v>
      </c>
      <c r="N217" s="11" t="s">
        <v>48</v>
      </c>
      <c r="O217" s="11" t="s">
        <v>49</v>
      </c>
      <c r="P217" s="11" t="s">
        <v>33</v>
      </c>
      <c r="Q217" s="11" t="s">
        <v>34</v>
      </c>
      <c r="R217" s="20">
        <f>(41647+(3*365))+112</f>
        <v>42854</v>
      </c>
      <c r="S217" s="17">
        <v>12</v>
      </c>
      <c r="T217" s="17">
        <v>4680</v>
      </c>
    </row>
    <row r="218" spans="1:20" x14ac:dyDescent="0.2">
      <c r="A218" s="11" t="s">
        <v>1398</v>
      </c>
      <c r="B218" s="14" t="s">
        <v>51</v>
      </c>
      <c r="C218" s="11" t="s">
        <v>152</v>
      </c>
      <c r="D218" s="15">
        <v>759471070</v>
      </c>
      <c r="E218" s="11" t="s">
        <v>29</v>
      </c>
      <c r="F218" s="20">
        <v>39865</v>
      </c>
      <c r="G218" s="16" t="str">
        <f t="shared" si="6"/>
        <v>February</v>
      </c>
      <c r="H218" s="2">
        <f t="shared" ca="1" si="7"/>
        <v>10</v>
      </c>
      <c r="I218" s="17" t="s">
        <v>30</v>
      </c>
      <c r="J218" s="18">
        <v>106259</v>
      </c>
      <c r="K218" s="19">
        <v>2</v>
      </c>
      <c r="N218" s="11" t="s">
        <v>846</v>
      </c>
      <c r="O218" s="11" t="s">
        <v>78</v>
      </c>
      <c r="P218" s="11" t="s">
        <v>33</v>
      </c>
      <c r="Q218" s="11" t="s">
        <v>120</v>
      </c>
      <c r="R218" s="20">
        <f>(41964+(3*365))+112</f>
        <v>43171</v>
      </c>
      <c r="S218" s="17">
        <v>5</v>
      </c>
      <c r="T218" s="17">
        <v>1950</v>
      </c>
    </row>
    <row r="219" spans="1:20" x14ac:dyDescent="0.2">
      <c r="A219" s="11" t="s">
        <v>1458</v>
      </c>
      <c r="B219" s="14" t="s">
        <v>27</v>
      </c>
      <c r="C219" s="11" t="s">
        <v>20</v>
      </c>
      <c r="D219" s="15">
        <v>333947685</v>
      </c>
      <c r="E219" s="11" t="s">
        <v>29</v>
      </c>
      <c r="F219" s="20">
        <v>40204</v>
      </c>
      <c r="G219" s="16" t="str">
        <f t="shared" si="6"/>
        <v>January</v>
      </c>
      <c r="H219" s="2">
        <f t="shared" ca="1" si="7"/>
        <v>9</v>
      </c>
      <c r="I219" s="17" t="s">
        <v>87</v>
      </c>
      <c r="J219" s="18">
        <v>115938</v>
      </c>
      <c r="K219" s="19">
        <v>3</v>
      </c>
      <c r="N219" s="11" t="s">
        <v>210</v>
      </c>
      <c r="O219" s="11" t="s">
        <v>49</v>
      </c>
      <c r="P219" s="11" t="s">
        <v>65</v>
      </c>
      <c r="Q219" s="11" t="s">
        <v>25</v>
      </c>
      <c r="R219" s="20">
        <f>(41704+(3*365))+112</f>
        <v>42911</v>
      </c>
      <c r="S219" s="17">
        <v>10</v>
      </c>
      <c r="T219" s="21">
        <v>3900</v>
      </c>
    </row>
    <row r="220" spans="1:20" x14ac:dyDescent="0.2">
      <c r="A220" s="11" t="s">
        <v>948</v>
      </c>
      <c r="B220" s="14" t="s">
        <v>43</v>
      </c>
      <c r="C220" s="11" t="s">
        <v>214</v>
      </c>
      <c r="D220" s="15">
        <v>566726453</v>
      </c>
      <c r="E220" s="11" t="s">
        <v>29</v>
      </c>
      <c r="F220" s="20">
        <v>37876</v>
      </c>
      <c r="G220" s="16" t="str">
        <f t="shared" si="6"/>
        <v>September</v>
      </c>
      <c r="H220" s="2">
        <f t="shared" ca="1" si="7"/>
        <v>15</v>
      </c>
      <c r="I220" s="17" t="s">
        <v>87</v>
      </c>
      <c r="J220" s="18">
        <v>52569</v>
      </c>
      <c r="K220" s="19">
        <v>2</v>
      </c>
      <c r="N220" s="11" t="s">
        <v>867</v>
      </c>
      <c r="O220" s="11" t="s">
        <v>64</v>
      </c>
      <c r="P220" s="11" t="s">
        <v>24</v>
      </c>
      <c r="Q220" s="11" t="s">
        <v>34</v>
      </c>
      <c r="R220" s="20">
        <f>(41969+(3*365))+112</f>
        <v>43176</v>
      </c>
      <c r="S220" s="17">
        <v>8</v>
      </c>
      <c r="T220" s="17">
        <v>3947</v>
      </c>
    </row>
    <row r="221" spans="1:20" x14ac:dyDescent="0.2">
      <c r="A221" s="11" t="s">
        <v>92</v>
      </c>
      <c r="B221" s="14" t="s">
        <v>83</v>
      </c>
      <c r="C221" s="11" t="s">
        <v>86</v>
      </c>
      <c r="D221" s="15">
        <v>279097202</v>
      </c>
      <c r="E221" s="11" t="s">
        <v>29</v>
      </c>
      <c r="F221" s="20">
        <v>36103</v>
      </c>
      <c r="G221" s="16" t="str">
        <f t="shared" si="6"/>
        <v>November</v>
      </c>
      <c r="H221" s="2">
        <f t="shared" ca="1" si="7"/>
        <v>20</v>
      </c>
      <c r="I221" s="17" t="s">
        <v>47</v>
      </c>
      <c r="J221" s="18">
        <v>84699</v>
      </c>
      <c r="K221" s="19">
        <v>4</v>
      </c>
      <c r="N221" s="11" t="s">
        <v>363</v>
      </c>
      <c r="O221" s="11" t="s">
        <v>75</v>
      </c>
      <c r="P221" s="11" t="s">
        <v>24</v>
      </c>
      <c r="Q221" s="11" t="s">
        <v>120</v>
      </c>
      <c r="R221" s="20">
        <f>(41771+(3*365))+112</f>
        <v>42978</v>
      </c>
      <c r="S221" s="17">
        <v>6</v>
      </c>
      <c r="T221" s="17">
        <v>3275</v>
      </c>
    </row>
    <row r="222" spans="1:20" x14ac:dyDescent="0.2">
      <c r="A222" s="11" t="s">
        <v>1488</v>
      </c>
      <c r="B222" s="14" t="s">
        <v>27</v>
      </c>
      <c r="C222" s="11" t="s">
        <v>20</v>
      </c>
      <c r="D222" s="15">
        <v>427811310</v>
      </c>
      <c r="E222" s="11" t="s">
        <v>21</v>
      </c>
      <c r="F222" s="20">
        <v>41763</v>
      </c>
      <c r="G222" s="16" t="str">
        <f t="shared" si="6"/>
        <v>May</v>
      </c>
      <c r="H222" s="2">
        <f t="shared" ca="1" si="7"/>
        <v>5</v>
      </c>
      <c r="I222" s="17"/>
      <c r="J222" s="18">
        <v>120569</v>
      </c>
      <c r="K222" s="19">
        <v>5</v>
      </c>
      <c r="N222" s="11" t="s">
        <v>1135</v>
      </c>
      <c r="O222" s="11" t="s">
        <v>78</v>
      </c>
      <c r="P222" s="11" t="s">
        <v>33</v>
      </c>
      <c r="Q222" s="11" t="s">
        <v>219</v>
      </c>
      <c r="R222" s="20">
        <f>(42054+(3*365))+112</f>
        <v>43261</v>
      </c>
      <c r="S222" s="17">
        <v>15</v>
      </c>
      <c r="T222" s="17">
        <v>7665</v>
      </c>
    </row>
    <row r="223" spans="1:20" x14ac:dyDescent="0.2">
      <c r="A223" s="11" t="s">
        <v>789</v>
      </c>
      <c r="B223" s="14" t="s">
        <v>19</v>
      </c>
      <c r="C223" s="11" t="s">
        <v>86</v>
      </c>
      <c r="D223" s="15">
        <v>999156829</v>
      </c>
      <c r="E223" s="11" t="s">
        <v>29</v>
      </c>
      <c r="F223" s="20">
        <v>43303</v>
      </c>
      <c r="G223" s="16" t="str">
        <f t="shared" si="6"/>
        <v>July</v>
      </c>
      <c r="H223" s="2">
        <f t="shared" ca="1" si="7"/>
        <v>0</v>
      </c>
      <c r="I223" s="17" t="s">
        <v>47</v>
      </c>
      <c r="J223" s="18">
        <v>45860</v>
      </c>
      <c r="K223" s="19">
        <v>4</v>
      </c>
      <c r="N223" s="11" t="s">
        <v>802</v>
      </c>
      <c r="O223" s="11" t="s">
        <v>49</v>
      </c>
      <c r="P223" s="11" t="s">
        <v>33</v>
      </c>
      <c r="Q223" s="11" t="s">
        <v>219</v>
      </c>
      <c r="R223" s="20">
        <f>(41949+(3*365))+112</f>
        <v>43156</v>
      </c>
      <c r="S223" s="17">
        <v>6</v>
      </c>
      <c r="T223" s="17">
        <v>2690</v>
      </c>
    </row>
    <row r="224" spans="1:20" x14ac:dyDescent="0.2">
      <c r="A224" s="11" t="s">
        <v>699</v>
      </c>
      <c r="B224" s="14" t="s">
        <v>27</v>
      </c>
      <c r="C224" s="11" t="s">
        <v>214</v>
      </c>
      <c r="D224" s="15">
        <v>559376297</v>
      </c>
      <c r="E224" s="11" t="s">
        <v>29</v>
      </c>
      <c r="F224" s="20">
        <v>39287</v>
      </c>
      <c r="G224" s="16" t="str">
        <f t="shared" si="6"/>
        <v>July</v>
      </c>
      <c r="H224" s="2">
        <f t="shared" ca="1" si="7"/>
        <v>11</v>
      </c>
      <c r="I224" s="17" t="s">
        <v>47</v>
      </c>
      <c r="J224" s="18">
        <v>48357</v>
      </c>
      <c r="K224" s="19">
        <v>2</v>
      </c>
      <c r="N224" s="11" t="s">
        <v>448</v>
      </c>
      <c r="O224" s="11" t="s">
        <v>117</v>
      </c>
      <c r="P224" s="11" t="s">
        <v>65</v>
      </c>
      <c r="Q224" s="11" t="s">
        <v>219</v>
      </c>
      <c r="R224" s="20">
        <f>(41809+(3*365))+112</f>
        <v>43016</v>
      </c>
      <c r="S224" s="17">
        <v>3</v>
      </c>
      <c r="T224" s="17">
        <v>1735</v>
      </c>
    </row>
    <row r="225" spans="1:20" x14ac:dyDescent="0.2">
      <c r="A225" s="11" t="s">
        <v>1074</v>
      </c>
      <c r="B225" s="14" t="s">
        <v>19</v>
      </c>
      <c r="C225" s="11" t="s">
        <v>214</v>
      </c>
      <c r="D225" s="15">
        <v>616417564</v>
      </c>
      <c r="E225" s="11" t="s">
        <v>21</v>
      </c>
      <c r="F225" s="20">
        <v>38307</v>
      </c>
      <c r="G225" s="16" t="str">
        <f t="shared" si="6"/>
        <v>November</v>
      </c>
      <c r="H225" s="2">
        <f t="shared" ca="1" si="7"/>
        <v>14</v>
      </c>
      <c r="I225" s="17"/>
      <c r="J225" s="18">
        <v>56903</v>
      </c>
      <c r="K225" s="19">
        <v>5</v>
      </c>
      <c r="N225" s="11" t="s">
        <v>1531</v>
      </c>
      <c r="O225" s="11" t="s">
        <v>64</v>
      </c>
      <c r="P225" s="11" t="s">
        <v>24</v>
      </c>
      <c r="Q225" s="11" t="s">
        <v>25</v>
      </c>
      <c r="R225" s="20">
        <f>(42220+(3*365))+112</f>
        <v>43427</v>
      </c>
      <c r="S225" s="17">
        <v>8</v>
      </c>
      <c r="T225" s="17">
        <v>2670</v>
      </c>
    </row>
    <row r="226" spans="1:20" x14ac:dyDescent="0.2">
      <c r="A226" s="11" t="s">
        <v>998</v>
      </c>
      <c r="B226" s="14" t="s">
        <v>43</v>
      </c>
      <c r="C226" s="11" t="s">
        <v>136</v>
      </c>
      <c r="D226" s="15">
        <v>828715080</v>
      </c>
      <c r="E226" s="11" t="s">
        <v>29</v>
      </c>
      <c r="F226" s="20">
        <v>37950</v>
      </c>
      <c r="G226" s="16" t="str">
        <f t="shared" si="6"/>
        <v>November</v>
      </c>
      <c r="H226" s="2">
        <f t="shared" ca="1" si="7"/>
        <v>15</v>
      </c>
      <c r="I226" s="17" t="s">
        <v>87</v>
      </c>
      <c r="J226" s="18">
        <v>82550</v>
      </c>
      <c r="K226" s="19">
        <v>2</v>
      </c>
      <c r="N226" s="11" t="s">
        <v>259</v>
      </c>
      <c r="O226" s="11" t="s">
        <v>23</v>
      </c>
      <c r="P226" s="11" t="s">
        <v>40</v>
      </c>
      <c r="Q226" s="11" t="s">
        <v>219</v>
      </c>
      <c r="R226" s="20">
        <f>(41726+(3*365))+112</f>
        <v>42933</v>
      </c>
      <c r="S226" s="17">
        <v>6</v>
      </c>
      <c r="T226" s="17">
        <v>3535</v>
      </c>
    </row>
    <row r="227" spans="1:20" x14ac:dyDescent="0.2">
      <c r="A227" s="4" t="s">
        <v>1284</v>
      </c>
      <c r="B227" s="14" t="s">
        <v>27</v>
      </c>
      <c r="C227" s="11" t="s">
        <v>145</v>
      </c>
      <c r="D227" s="15">
        <v>331251341</v>
      </c>
      <c r="E227" s="11" t="s">
        <v>29</v>
      </c>
      <c r="F227" s="20">
        <v>38752</v>
      </c>
      <c r="G227" s="16" t="str">
        <f t="shared" si="6"/>
        <v>February</v>
      </c>
      <c r="H227" s="2">
        <f t="shared" ca="1" si="7"/>
        <v>13</v>
      </c>
      <c r="I227" s="17" t="s">
        <v>30</v>
      </c>
      <c r="J227" s="18">
        <v>94878</v>
      </c>
      <c r="K227" s="19">
        <v>3</v>
      </c>
      <c r="N227" s="11" t="s">
        <v>1639</v>
      </c>
      <c r="O227" s="11" t="s">
        <v>75</v>
      </c>
      <c r="P227" s="11" t="s">
        <v>24</v>
      </c>
      <c r="Q227" s="11" t="s">
        <v>25</v>
      </c>
      <c r="R227" s="20">
        <f>(42301+(3*365))+112</f>
        <v>43508</v>
      </c>
      <c r="S227" s="17">
        <v>1</v>
      </c>
      <c r="T227" s="17">
        <v>430</v>
      </c>
    </row>
    <row r="228" spans="1:20" x14ac:dyDescent="0.2">
      <c r="A228" s="11" t="s">
        <v>1082</v>
      </c>
      <c r="B228" s="14" t="s">
        <v>27</v>
      </c>
      <c r="C228" s="11" t="s">
        <v>136</v>
      </c>
      <c r="D228" s="15">
        <v>592519945</v>
      </c>
      <c r="E228" s="11" t="s">
        <v>29</v>
      </c>
      <c r="F228" s="20">
        <v>42302</v>
      </c>
      <c r="G228" s="16" t="str">
        <f t="shared" si="6"/>
        <v>October</v>
      </c>
      <c r="H228" s="2">
        <f t="shared" ca="1" si="7"/>
        <v>3</v>
      </c>
      <c r="I228" s="17" t="s">
        <v>47</v>
      </c>
      <c r="J228" s="18">
        <v>60278</v>
      </c>
      <c r="K228" s="19">
        <v>1</v>
      </c>
      <c r="N228" s="11" t="s">
        <v>820</v>
      </c>
      <c r="O228" s="11" t="s">
        <v>64</v>
      </c>
      <c r="P228" s="11" t="s">
        <v>40</v>
      </c>
      <c r="Q228" s="11" t="s">
        <v>41</v>
      </c>
      <c r="R228" s="20">
        <f>(41956+(3*365))+112</f>
        <v>43163</v>
      </c>
      <c r="S228" s="17">
        <v>13</v>
      </c>
      <c r="T228" s="17">
        <v>5215</v>
      </c>
    </row>
    <row r="229" spans="1:20" x14ac:dyDescent="0.2">
      <c r="A229" s="11" t="s">
        <v>256</v>
      </c>
      <c r="B229" s="14" t="s">
        <v>43</v>
      </c>
      <c r="C229" s="11" t="s">
        <v>254</v>
      </c>
      <c r="D229" s="15">
        <v>724193735</v>
      </c>
      <c r="E229" s="11" t="s">
        <v>29</v>
      </c>
      <c r="F229" s="20">
        <v>36476</v>
      </c>
      <c r="G229" s="16" t="str">
        <f t="shared" si="6"/>
        <v>November</v>
      </c>
      <c r="H229" s="2">
        <f t="shared" ca="1" si="7"/>
        <v>19</v>
      </c>
      <c r="I229" s="17" t="s">
        <v>30</v>
      </c>
      <c r="J229" s="18">
        <v>58307</v>
      </c>
      <c r="K229" s="19">
        <v>2</v>
      </c>
      <c r="N229" s="11" t="s">
        <v>1606</v>
      </c>
      <c r="O229" s="11" t="s">
        <v>64</v>
      </c>
      <c r="P229" s="11" t="s">
        <v>40</v>
      </c>
      <c r="Q229" s="11" t="s">
        <v>219</v>
      </c>
      <c r="R229" s="20">
        <f>(42271+(3*365))+112</f>
        <v>43478</v>
      </c>
      <c r="S229" s="17">
        <v>10</v>
      </c>
      <c r="T229" s="17">
        <v>5710</v>
      </c>
    </row>
    <row r="230" spans="1:20" x14ac:dyDescent="0.2">
      <c r="A230" s="11" t="s">
        <v>329</v>
      </c>
      <c r="B230" s="14" t="s">
        <v>19</v>
      </c>
      <c r="C230" s="11" t="s">
        <v>52</v>
      </c>
      <c r="D230" s="15">
        <v>526188716</v>
      </c>
      <c r="E230" s="11" t="s">
        <v>21</v>
      </c>
      <c r="F230" s="20">
        <v>38815</v>
      </c>
      <c r="G230" s="16" t="str">
        <f t="shared" si="6"/>
        <v>April</v>
      </c>
      <c r="H230" s="2">
        <f t="shared" ca="1" si="7"/>
        <v>13</v>
      </c>
      <c r="I230" s="17"/>
      <c r="J230" s="18">
        <v>87035</v>
      </c>
      <c r="K230" s="19">
        <v>3</v>
      </c>
      <c r="N230" s="11" t="s">
        <v>895</v>
      </c>
      <c r="O230" s="11" t="s">
        <v>32</v>
      </c>
      <c r="P230" s="11" t="s">
        <v>40</v>
      </c>
      <c r="Q230" s="11" t="s">
        <v>34</v>
      </c>
      <c r="R230" s="20">
        <f>(41977+(3*365))+112</f>
        <v>43184</v>
      </c>
      <c r="S230" s="17">
        <v>13</v>
      </c>
      <c r="T230" s="17">
        <v>3916</v>
      </c>
    </row>
    <row r="231" spans="1:20" x14ac:dyDescent="0.2">
      <c r="A231" s="11" t="s">
        <v>455</v>
      </c>
      <c r="B231" s="14" t="s">
        <v>19</v>
      </c>
      <c r="C231" s="11" t="s">
        <v>214</v>
      </c>
      <c r="D231" s="15">
        <v>910964196</v>
      </c>
      <c r="E231" s="11" t="s">
        <v>21</v>
      </c>
      <c r="F231" s="20">
        <v>36675</v>
      </c>
      <c r="G231" s="16" t="str">
        <f t="shared" si="6"/>
        <v>May</v>
      </c>
      <c r="H231" s="2">
        <f t="shared" ca="1" si="7"/>
        <v>19</v>
      </c>
      <c r="I231" s="17"/>
      <c r="J231" s="18">
        <v>66866</v>
      </c>
      <c r="K231" s="19">
        <v>2</v>
      </c>
      <c r="N231" s="11" t="s">
        <v>877</v>
      </c>
      <c r="O231" s="11" t="s">
        <v>45</v>
      </c>
      <c r="P231" s="11" t="s">
        <v>33</v>
      </c>
      <c r="Q231" s="11" t="s">
        <v>120</v>
      </c>
      <c r="R231" s="20">
        <f>(41972+(3*365))+112</f>
        <v>43179</v>
      </c>
      <c r="S231" s="17">
        <v>9</v>
      </c>
      <c r="T231" s="17">
        <v>4400</v>
      </c>
    </row>
    <row r="232" spans="1:20" x14ac:dyDescent="0.2">
      <c r="A232" s="11" t="s">
        <v>46</v>
      </c>
      <c r="B232" s="14" t="s">
        <v>43</v>
      </c>
      <c r="C232" s="4" t="s">
        <v>37</v>
      </c>
      <c r="D232" s="22">
        <v>100432924</v>
      </c>
      <c r="E232" s="4" t="s">
        <v>29</v>
      </c>
      <c r="F232" s="20">
        <v>39027</v>
      </c>
      <c r="G232" s="16" t="str">
        <f t="shared" si="6"/>
        <v>November</v>
      </c>
      <c r="H232" s="2">
        <f t="shared" ca="1" si="7"/>
        <v>12</v>
      </c>
      <c r="I232" s="17" t="s">
        <v>47</v>
      </c>
      <c r="J232" s="18">
        <v>33143</v>
      </c>
      <c r="K232" s="19">
        <v>1</v>
      </c>
      <c r="N232" s="11" t="s">
        <v>824</v>
      </c>
      <c r="O232" s="11" t="s">
        <v>114</v>
      </c>
      <c r="P232" s="11" t="s">
        <v>24</v>
      </c>
      <c r="Q232" s="11" t="s">
        <v>25</v>
      </c>
      <c r="R232" s="20">
        <f>(41959+(3*365))+112</f>
        <v>43166</v>
      </c>
      <c r="S232" s="17">
        <v>3</v>
      </c>
      <c r="T232" s="17">
        <v>1315</v>
      </c>
    </row>
    <row r="233" spans="1:20" x14ac:dyDescent="0.2">
      <c r="A233" s="11" t="s">
        <v>269</v>
      </c>
      <c r="B233" s="14" t="s">
        <v>27</v>
      </c>
      <c r="C233" s="11" t="s">
        <v>265</v>
      </c>
      <c r="D233" s="15">
        <v>207506781</v>
      </c>
      <c r="E233" s="11" t="s">
        <v>29</v>
      </c>
      <c r="F233" s="20">
        <v>42779</v>
      </c>
      <c r="G233" s="16" t="str">
        <f t="shared" si="6"/>
        <v>February</v>
      </c>
      <c r="H233" s="2">
        <f t="shared" ca="1" si="7"/>
        <v>2</v>
      </c>
      <c r="I233" s="17" t="s">
        <v>47</v>
      </c>
      <c r="J233" s="18">
        <v>103194</v>
      </c>
      <c r="K233" s="19">
        <v>3</v>
      </c>
      <c r="N233" s="11" t="s">
        <v>276</v>
      </c>
      <c r="O233" s="11" t="s">
        <v>78</v>
      </c>
      <c r="P233" s="11" t="s">
        <v>33</v>
      </c>
      <c r="Q233" s="11" t="s">
        <v>120</v>
      </c>
      <c r="R233" s="20">
        <f>(41735+(3*365))+112</f>
        <v>42942</v>
      </c>
      <c r="S233" s="17">
        <v>3</v>
      </c>
      <c r="T233" s="17">
        <v>1570</v>
      </c>
    </row>
    <row r="234" spans="1:20" x14ac:dyDescent="0.2">
      <c r="A234" s="11" t="s">
        <v>1330</v>
      </c>
      <c r="B234" s="14" t="s">
        <v>19</v>
      </c>
      <c r="C234" s="11" t="s">
        <v>214</v>
      </c>
      <c r="D234" s="15">
        <v>676030562</v>
      </c>
      <c r="E234" s="11" t="s">
        <v>29</v>
      </c>
      <c r="F234" s="20">
        <v>38551</v>
      </c>
      <c r="G234" s="16" t="str">
        <f t="shared" si="6"/>
        <v>July</v>
      </c>
      <c r="H234" s="2">
        <f t="shared" ca="1" si="7"/>
        <v>13</v>
      </c>
      <c r="I234" s="17" t="s">
        <v>47</v>
      </c>
      <c r="J234" s="18">
        <v>81135</v>
      </c>
      <c r="K234" s="19">
        <v>1</v>
      </c>
      <c r="N234" s="11" t="s">
        <v>883</v>
      </c>
      <c r="O234" s="11" t="s">
        <v>125</v>
      </c>
      <c r="P234" s="11" t="s">
        <v>24</v>
      </c>
      <c r="Q234" s="11" t="s">
        <v>41</v>
      </c>
      <c r="R234" s="20">
        <f>(41973+(3*365))+112</f>
        <v>43180</v>
      </c>
      <c r="S234" s="17">
        <v>3</v>
      </c>
      <c r="T234" s="17">
        <v>1125</v>
      </c>
    </row>
    <row r="235" spans="1:20" x14ac:dyDescent="0.2">
      <c r="A235" s="11" t="s">
        <v>1530</v>
      </c>
      <c r="B235" s="14" t="s">
        <v>36</v>
      </c>
      <c r="C235" s="11" t="s">
        <v>152</v>
      </c>
      <c r="D235" s="15">
        <v>971128623</v>
      </c>
      <c r="E235" s="11" t="s">
        <v>21</v>
      </c>
      <c r="F235" s="20">
        <v>39997</v>
      </c>
      <c r="G235" s="16" t="str">
        <f t="shared" si="6"/>
        <v>July</v>
      </c>
      <c r="H235" s="2">
        <f t="shared" ca="1" si="7"/>
        <v>9</v>
      </c>
      <c r="I235" s="17"/>
      <c r="J235" s="18">
        <v>34466</v>
      </c>
      <c r="K235" s="19">
        <v>3</v>
      </c>
      <c r="N235" s="11" t="s">
        <v>1157</v>
      </c>
      <c r="O235" s="11" t="s">
        <v>54</v>
      </c>
      <c r="P235" s="11" t="s">
        <v>40</v>
      </c>
      <c r="Q235" s="11" t="s">
        <v>219</v>
      </c>
      <c r="R235" s="20">
        <f>(42063+(3*365))+112</f>
        <v>43270</v>
      </c>
      <c r="S235" s="17">
        <v>8</v>
      </c>
      <c r="T235" s="17">
        <v>2640</v>
      </c>
    </row>
    <row r="236" spans="1:20" x14ac:dyDescent="0.2">
      <c r="A236" s="11" t="s">
        <v>1106</v>
      </c>
      <c r="B236" s="14" t="s">
        <v>83</v>
      </c>
      <c r="C236" s="11" t="s">
        <v>136</v>
      </c>
      <c r="D236" s="15">
        <v>486016972</v>
      </c>
      <c r="E236" s="11" t="s">
        <v>80</v>
      </c>
      <c r="F236" s="20">
        <v>42584</v>
      </c>
      <c r="G236" s="16" t="str">
        <f t="shared" si="6"/>
        <v>August</v>
      </c>
      <c r="H236" s="2">
        <f t="shared" ca="1" si="7"/>
        <v>2</v>
      </c>
      <c r="I236" s="17" t="s">
        <v>47</v>
      </c>
      <c r="J236" s="18">
        <v>61513</v>
      </c>
      <c r="K236" s="19">
        <v>1</v>
      </c>
      <c r="N236" s="11" t="s">
        <v>860</v>
      </c>
      <c r="O236" s="11" t="s">
        <v>54</v>
      </c>
      <c r="P236" s="11" t="s">
        <v>24</v>
      </c>
      <c r="Q236" s="11" t="s">
        <v>120</v>
      </c>
      <c r="R236" s="20">
        <f>(41967+(3*365))+112</f>
        <v>43174</v>
      </c>
      <c r="S236" s="17">
        <v>4</v>
      </c>
      <c r="T236" s="17">
        <v>1580</v>
      </c>
    </row>
    <row r="237" spans="1:20" x14ac:dyDescent="0.2">
      <c r="A237" s="11" t="s">
        <v>976</v>
      </c>
      <c r="B237" s="14" t="s">
        <v>36</v>
      </c>
      <c r="C237" s="11" t="s">
        <v>254</v>
      </c>
      <c r="D237" s="15">
        <v>297806507</v>
      </c>
      <c r="E237" s="11" t="s">
        <v>29</v>
      </c>
      <c r="F237" s="20">
        <v>37596</v>
      </c>
      <c r="G237" s="16" t="str">
        <f t="shared" si="6"/>
        <v>December</v>
      </c>
      <c r="H237" s="2">
        <f t="shared" ca="1" si="7"/>
        <v>16</v>
      </c>
      <c r="I237" s="17" t="s">
        <v>38</v>
      </c>
      <c r="J237" s="18">
        <v>105084</v>
      </c>
      <c r="K237" s="19">
        <v>2</v>
      </c>
      <c r="N237" s="11" t="s">
        <v>975</v>
      </c>
      <c r="O237" s="11" t="s">
        <v>54</v>
      </c>
      <c r="P237" s="11" t="s">
        <v>40</v>
      </c>
      <c r="Q237" s="11" t="s">
        <v>25</v>
      </c>
      <c r="R237" s="20">
        <f>(42004+(3*365))+112</f>
        <v>43211</v>
      </c>
      <c r="S237" s="17">
        <v>1</v>
      </c>
      <c r="T237" s="17">
        <v>565</v>
      </c>
    </row>
    <row r="238" spans="1:20" x14ac:dyDescent="0.2">
      <c r="A238" s="11" t="s">
        <v>906</v>
      </c>
      <c r="B238" s="14" t="s">
        <v>27</v>
      </c>
      <c r="C238" s="11" t="s">
        <v>152</v>
      </c>
      <c r="D238" s="15">
        <v>324069262</v>
      </c>
      <c r="E238" s="11" t="s">
        <v>21</v>
      </c>
      <c r="F238" s="20">
        <v>37390</v>
      </c>
      <c r="G238" s="16" t="str">
        <f t="shared" si="6"/>
        <v>May</v>
      </c>
      <c r="H238" s="2">
        <f t="shared" ca="1" si="7"/>
        <v>17</v>
      </c>
      <c r="I238" s="17"/>
      <c r="J238" s="18">
        <v>60892</v>
      </c>
      <c r="K238" s="19">
        <v>1</v>
      </c>
      <c r="N238" s="11" t="s">
        <v>1433</v>
      </c>
      <c r="O238" s="11" t="s">
        <v>89</v>
      </c>
      <c r="P238" s="11" t="s">
        <v>40</v>
      </c>
      <c r="Q238" s="11" t="s">
        <v>120</v>
      </c>
      <c r="R238" s="20">
        <f>(42182+(3*365))+112</f>
        <v>43389</v>
      </c>
      <c r="S238" s="17">
        <v>3</v>
      </c>
      <c r="T238" s="17">
        <v>945</v>
      </c>
    </row>
    <row r="239" spans="1:20" x14ac:dyDescent="0.2">
      <c r="A239" s="11" t="s">
        <v>390</v>
      </c>
      <c r="B239" s="14" t="s">
        <v>27</v>
      </c>
      <c r="C239" s="11" t="s">
        <v>152</v>
      </c>
      <c r="D239" s="15">
        <v>970466937</v>
      </c>
      <c r="E239" s="11" t="s">
        <v>21</v>
      </c>
      <c r="F239" s="20">
        <v>36351</v>
      </c>
      <c r="G239" s="16" t="str">
        <f t="shared" si="6"/>
        <v>July</v>
      </c>
      <c r="H239" s="2">
        <f t="shared" ca="1" si="7"/>
        <v>19</v>
      </c>
      <c r="I239" s="17"/>
      <c r="J239" s="18">
        <v>84348</v>
      </c>
      <c r="K239" s="19">
        <v>5</v>
      </c>
      <c r="N239" s="11" t="s">
        <v>426</v>
      </c>
      <c r="O239" s="11" t="s">
        <v>114</v>
      </c>
      <c r="P239" s="11" t="s">
        <v>24</v>
      </c>
      <c r="Q239" s="11" t="s">
        <v>120</v>
      </c>
      <c r="R239" s="20">
        <f>(41799+(3*365))+112</f>
        <v>43006</v>
      </c>
      <c r="S239" s="17">
        <v>6</v>
      </c>
      <c r="T239" s="17">
        <v>2975</v>
      </c>
    </row>
    <row r="240" spans="1:20" x14ac:dyDescent="0.2">
      <c r="A240" s="11" t="s">
        <v>1236</v>
      </c>
      <c r="B240" s="14" t="s">
        <v>43</v>
      </c>
      <c r="C240" s="11" t="s">
        <v>20</v>
      </c>
      <c r="D240" s="15">
        <v>415228597</v>
      </c>
      <c r="E240" s="11" t="s">
        <v>29</v>
      </c>
      <c r="F240" s="20">
        <v>38523</v>
      </c>
      <c r="G240" s="16" t="str">
        <f t="shared" si="6"/>
        <v>June</v>
      </c>
      <c r="H240" s="2">
        <f t="shared" ca="1" si="7"/>
        <v>13</v>
      </c>
      <c r="I240" s="17" t="s">
        <v>47</v>
      </c>
      <c r="J240" s="18">
        <v>55242</v>
      </c>
      <c r="K240" s="19">
        <v>4</v>
      </c>
      <c r="N240" s="11" t="s">
        <v>1696</v>
      </c>
      <c r="O240" s="11" t="s">
        <v>32</v>
      </c>
      <c r="P240" s="11" t="s">
        <v>24</v>
      </c>
      <c r="Q240" s="11" t="s">
        <v>25</v>
      </c>
      <c r="R240" s="20">
        <f>(42344+(3*365))+112</f>
        <v>43551</v>
      </c>
      <c r="S240" s="17">
        <v>15</v>
      </c>
      <c r="T240" s="17">
        <v>8505</v>
      </c>
    </row>
    <row r="241" spans="1:20" x14ac:dyDescent="0.2">
      <c r="A241" s="11" t="s">
        <v>614</v>
      </c>
      <c r="B241" s="14" t="s">
        <v>19</v>
      </c>
      <c r="C241" s="11" t="s">
        <v>152</v>
      </c>
      <c r="D241" s="15">
        <v>317749924</v>
      </c>
      <c r="E241" s="11" t="s">
        <v>21</v>
      </c>
      <c r="F241" s="20">
        <v>36833</v>
      </c>
      <c r="G241" s="16" t="str">
        <f t="shared" si="6"/>
        <v>November</v>
      </c>
      <c r="H241" s="2">
        <f t="shared" ca="1" si="7"/>
        <v>18</v>
      </c>
      <c r="I241" s="17"/>
      <c r="J241" s="18">
        <v>85442</v>
      </c>
      <c r="K241" s="19">
        <v>5</v>
      </c>
      <c r="N241" s="11" t="s">
        <v>1569</v>
      </c>
      <c r="O241" s="11" t="s">
        <v>89</v>
      </c>
      <c r="P241" s="11" t="s">
        <v>24</v>
      </c>
      <c r="Q241" s="11" t="s">
        <v>25</v>
      </c>
      <c r="R241" s="20">
        <f>(42235+(3*365))+112</f>
        <v>43442</v>
      </c>
      <c r="S241" s="17">
        <v>13</v>
      </c>
      <c r="T241" s="17">
        <v>4940</v>
      </c>
    </row>
    <row r="242" spans="1:20" x14ac:dyDescent="0.2">
      <c r="A242" s="11" t="s">
        <v>1050</v>
      </c>
      <c r="B242" s="14" t="s">
        <v>27</v>
      </c>
      <c r="C242" s="11" t="s">
        <v>136</v>
      </c>
      <c r="D242" s="15">
        <v>552528553</v>
      </c>
      <c r="E242" s="11" t="s">
        <v>56</v>
      </c>
      <c r="F242" s="20">
        <v>39196</v>
      </c>
      <c r="G242" s="16" t="str">
        <f t="shared" si="6"/>
        <v>April</v>
      </c>
      <c r="H242" s="2">
        <f t="shared" ca="1" si="7"/>
        <v>12</v>
      </c>
      <c r="I242" s="17"/>
      <c r="J242" s="18">
        <v>49972</v>
      </c>
      <c r="K242" s="19">
        <v>4</v>
      </c>
      <c r="N242" s="11" t="s">
        <v>816</v>
      </c>
      <c r="O242" s="11" t="s">
        <v>78</v>
      </c>
      <c r="P242" s="11" t="s">
        <v>65</v>
      </c>
      <c r="Q242" s="11" t="s">
        <v>34</v>
      </c>
      <c r="R242" s="20">
        <f>(41956+(3*365))+112</f>
        <v>43163</v>
      </c>
      <c r="S242" s="17">
        <v>10</v>
      </c>
      <c r="T242" s="17">
        <v>3270</v>
      </c>
    </row>
    <row r="243" spans="1:20" x14ac:dyDescent="0.2">
      <c r="A243" s="11" t="s">
        <v>1090</v>
      </c>
      <c r="B243" s="14" t="s">
        <v>36</v>
      </c>
      <c r="C243" s="11" t="s">
        <v>136</v>
      </c>
      <c r="D243" s="15">
        <v>289103201</v>
      </c>
      <c r="E243" s="11" t="s">
        <v>29</v>
      </c>
      <c r="F243" s="20">
        <v>42073</v>
      </c>
      <c r="G243" s="16" t="str">
        <f t="shared" si="6"/>
        <v>March</v>
      </c>
      <c r="H243" s="2">
        <f t="shared" ca="1" si="7"/>
        <v>4</v>
      </c>
      <c r="I243" s="17" t="s">
        <v>47</v>
      </c>
      <c r="J243" s="18">
        <v>99671</v>
      </c>
      <c r="K243" s="19">
        <v>2</v>
      </c>
      <c r="N243" s="11" t="s">
        <v>1566</v>
      </c>
      <c r="O243" s="11" t="s">
        <v>32</v>
      </c>
      <c r="P243" s="11" t="s">
        <v>40</v>
      </c>
      <c r="Q243" s="11" t="s">
        <v>41</v>
      </c>
      <c r="R243" s="20">
        <f>(42232+(3*365))+112</f>
        <v>43439</v>
      </c>
      <c r="S243" s="17">
        <v>9</v>
      </c>
      <c r="T243" s="17">
        <v>4840</v>
      </c>
    </row>
    <row r="244" spans="1:20" x14ac:dyDescent="0.2">
      <c r="A244" s="11" t="s">
        <v>857</v>
      </c>
      <c r="B244" s="14" t="s">
        <v>51</v>
      </c>
      <c r="C244" s="11" t="s">
        <v>86</v>
      </c>
      <c r="D244" s="15">
        <v>662974752</v>
      </c>
      <c r="E244" s="11" t="s">
        <v>29</v>
      </c>
      <c r="F244" s="20">
        <v>39248</v>
      </c>
      <c r="G244" s="16" t="str">
        <f t="shared" si="6"/>
        <v>June</v>
      </c>
      <c r="H244" s="2">
        <f t="shared" ca="1" si="7"/>
        <v>11</v>
      </c>
      <c r="I244" s="17" t="s">
        <v>30</v>
      </c>
      <c r="J244" s="18">
        <v>69404</v>
      </c>
      <c r="K244" s="19">
        <v>4</v>
      </c>
      <c r="N244" s="11" t="s">
        <v>1269</v>
      </c>
      <c r="O244" s="11" t="s">
        <v>54</v>
      </c>
      <c r="P244" s="11" t="s">
        <v>24</v>
      </c>
      <c r="Q244" s="11" t="s">
        <v>120</v>
      </c>
      <c r="R244" s="20">
        <f>(42118+(3*365))+112</f>
        <v>43325</v>
      </c>
      <c r="S244" s="17">
        <v>2</v>
      </c>
      <c r="T244" s="17">
        <v>850</v>
      </c>
    </row>
    <row r="245" spans="1:20" x14ac:dyDescent="0.2">
      <c r="A245" s="11" t="s">
        <v>496</v>
      </c>
      <c r="B245" s="14" t="s">
        <v>43</v>
      </c>
      <c r="C245" s="11" t="s">
        <v>214</v>
      </c>
      <c r="D245" s="15">
        <v>159117255</v>
      </c>
      <c r="E245" s="11" t="s">
        <v>21</v>
      </c>
      <c r="F245" s="20">
        <v>42686</v>
      </c>
      <c r="G245" s="16" t="str">
        <f t="shared" si="6"/>
        <v>November</v>
      </c>
      <c r="H245" s="2">
        <f t="shared" ca="1" si="7"/>
        <v>2</v>
      </c>
      <c r="I245" s="17"/>
      <c r="J245" s="18">
        <v>106002</v>
      </c>
      <c r="K245" s="19">
        <v>4</v>
      </c>
      <c r="N245" s="11" t="s">
        <v>1577</v>
      </c>
      <c r="O245" s="11" t="s">
        <v>45</v>
      </c>
      <c r="P245" s="11" t="s">
        <v>33</v>
      </c>
      <c r="Q245" s="11" t="s">
        <v>219</v>
      </c>
      <c r="R245" s="20">
        <f>(42244+(3*365))+112</f>
        <v>43451</v>
      </c>
      <c r="S245" s="17">
        <v>12</v>
      </c>
      <c r="T245" s="17">
        <v>6720</v>
      </c>
    </row>
    <row r="246" spans="1:20" x14ac:dyDescent="0.2">
      <c r="A246" s="11" t="s">
        <v>1482</v>
      </c>
      <c r="B246" s="14" t="s">
        <v>27</v>
      </c>
      <c r="C246" s="11" t="s">
        <v>152</v>
      </c>
      <c r="D246" s="15">
        <v>212558012</v>
      </c>
      <c r="E246" s="11" t="s">
        <v>29</v>
      </c>
      <c r="F246" s="20">
        <v>39823</v>
      </c>
      <c r="G246" s="16" t="str">
        <f t="shared" si="6"/>
        <v>January</v>
      </c>
      <c r="H246" s="2">
        <f t="shared" ca="1" si="7"/>
        <v>10</v>
      </c>
      <c r="I246" s="17" t="s">
        <v>47</v>
      </c>
      <c r="J246" s="18">
        <v>85131</v>
      </c>
      <c r="K246" s="19">
        <v>4</v>
      </c>
      <c r="N246" s="11" t="s">
        <v>555</v>
      </c>
      <c r="O246" s="11" t="s">
        <v>117</v>
      </c>
      <c r="P246" s="11" t="s">
        <v>33</v>
      </c>
      <c r="Q246" s="11" t="s">
        <v>219</v>
      </c>
      <c r="R246" s="20">
        <f>(41850+(3*365))+112</f>
        <v>43057</v>
      </c>
      <c r="S246" s="17">
        <v>9</v>
      </c>
      <c r="T246" s="17">
        <v>5065</v>
      </c>
    </row>
    <row r="247" spans="1:20" x14ac:dyDescent="0.2">
      <c r="A247" s="11" t="s">
        <v>811</v>
      </c>
      <c r="B247" s="14" t="s">
        <v>27</v>
      </c>
      <c r="C247" s="11" t="s">
        <v>20</v>
      </c>
      <c r="D247" s="15">
        <v>870106287</v>
      </c>
      <c r="E247" s="11" t="s">
        <v>80</v>
      </c>
      <c r="F247" s="20">
        <v>37404</v>
      </c>
      <c r="G247" s="16" t="str">
        <f t="shared" si="6"/>
        <v>May</v>
      </c>
      <c r="H247" s="2">
        <f t="shared" ca="1" si="7"/>
        <v>17</v>
      </c>
      <c r="I247" s="17" t="s">
        <v>71</v>
      </c>
      <c r="J247" s="18">
        <v>52542</v>
      </c>
      <c r="K247" s="19">
        <v>4</v>
      </c>
      <c r="N247" s="11" t="s">
        <v>302</v>
      </c>
      <c r="O247" s="11" t="s">
        <v>114</v>
      </c>
      <c r="P247" s="11" t="s">
        <v>65</v>
      </c>
      <c r="Q247" s="11" t="s">
        <v>25</v>
      </c>
      <c r="R247" s="20">
        <f>(41743+(3*365))+112</f>
        <v>42950</v>
      </c>
      <c r="S247" s="17">
        <v>14</v>
      </c>
      <c r="T247" s="17">
        <v>4930</v>
      </c>
    </row>
    <row r="248" spans="1:20" x14ac:dyDescent="0.2">
      <c r="A248" s="11" t="s">
        <v>775</v>
      </c>
      <c r="B248" s="14" t="s">
        <v>83</v>
      </c>
      <c r="C248" s="11" t="s">
        <v>86</v>
      </c>
      <c r="D248" s="15">
        <v>357081517</v>
      </c>
      <c r="E248" s="11" t="s">
        <v>80</v>
      </c>
      <c r="F248" s="20">
        <v>39227</v>
      </c>
      <c r="G248" s="16" t="str">
        <f t="shared" si="6"/>
        <v>May</v>
      </c>
      <c r="H248" s="2">
        <f t="shared" ca="1" si="7"/>
        <v>12</v>
      </c>
      <c r="I248" s="17" t="s">
        <v>30</v>
      </c>
      <c r="J248" s="18">
        <v>36167</v>
      </c>
      <c r="K248" s="19">
        <v>2</v>
      </c>
      <c r="N248" s="11" t="s">
        <v>1664</v>
      </c>
      <c r="O248" s="11" t="s">
        <v>45</v>
      </c>
      <c r="P248" s="11" t="s">
        <v>40</v>
      </c>
      <c r="Q248" s="11" t="s">
        <v>25</v>
      </c>
      <c r="R248" s="20">
        <f>(42319+(3*365))+112</f>
        <v>43526</v>
      </c>
      <c r="S248" s="17">
        <v>13</v>
      </c>
      <c r="T248" s="17">
        <v>6775</v>
      </c>
    </row>
    <row r="249" spans="1:20" x14ac:dyDescent="0.2">
      <c r="A249" s="11" t="s">
        <v>1234</v>
      </c>
      <c r="B249" s="14" t="s">
        <v>19</v>
      </c>
      <c r="C249" s="11" t="s">
        <v>145</v>
      </c>
      <c r="D249" s="15">
        <v>843632637</v>
      </c>
      <c r="E249" s="11" t="s">
        <v>56</v>
      </c>
      <c r="F249" s="20">
        <v>38717</v>
      </c>
      <c r="G249" s="16" t="str">
        <f t="shared" si="6"/>
        <v>December</v>
      </c>
      <c r="H249" s="2">
        <f t="shared" ca="1" si="7"/>
        <v>13</v>
      </c>
      <c r="I249" s="17"/>
      <c r="J249" s="18">
        <v>17329</v>
      </c>
      <c r="K249" s="19">
        <v>5</v>
      </c>
      <c r="N249" s="11" t="s">
        <v>1431</v>
      </c>
      <c r="O249" s="11" t="s">
        <v>125</v>
      </c>
      <c r="P249" s="11" t="s">
        <v>40</v>
      </c>
      <c r="Q249" s="11" t="s">
        <v>41</v>
      </c>
      <c r="R249" s="20">
        <f>(42182+(3*365))+112</f>
        <v>43389</v>
      </c>
      <c r="S249" s="17">
        <v>13</v>
      </c>
      <c r="T249" s="17">
        <v>6710</v>
      </c>
    </row>
    <row r="250" spans="1:20" x14ac:dyDescent="0.2">
      <c r="A250" s="11" t="s">
        <v>1174</v>
      </c>
      <c r="B250" s="14" t="s">
        <v>27</v>
      </c>
      <c r="C250" s="11" t="s">
        <v>136</v>
      </c>
      <c r="D250" s="15">
        <v>953109212</v>
      </c>
      <c r="E250" s="11" t="s">
        <v>29</v>
      </c>
      <c r="F250" s="20">
        <v>43294</v>
      </c>
      <c r="G250" s="16" t="str">
        <f t="shared" si="6"/>
        <v>July</v>
      </c>
      <c r="H250" s="2">
        <f t="shared" ca="1" si="7"/>
        <v>0</v>
      </c>
      <c r="I250" s="17" t="s">
        <v>38</v>
      </c>
      <c r="J250" s="18">
        <v>79853</v>
      </c>
      <c r="K250" s="19">
        <v>4</v>
      </c>
      <c r="N250" s="11" t="s">
        <v>1461</v>
      </c>
      <c r="O250" s="11" t="s">
        <v>23</v>
      </c>
      <c r="P250" s="11" t="s">
        <v>40</v>
      </c>
      <c r="Q250" s="11" t="s">
        <v>25</v>
      </c>
      <c r="R250" s="20">
        <f>(42192+(3*365))+112</f>
        <v>43399</v>
      </c>
      <c r="S250" s="17">
        <v>7</v>
      </c>
      <c r="T250" s="17">
        <v>3985</v>
      </c>
    </row>
    <row r="251" spans="1:20" x14ac:dyDescent="0.2">
      <c r="A251" s="11" t="s">
        <v>451</v>
      </c>
      <c r="B251" s="14" t="s">
        <v>19</v>
      </c>
      <c r="C251" s="11" t="s">
        <v>214</v>
      </c>
      <c r="D251" s="15">
        <v>984570981</v>
      </c>
      <c r="E251" s="11" t="s">
        <v>80</v>
      </c>
      <c r="F251" s="20">
        <v>39125</v>
      </c>
      <c r="G251" s="16" t="str">
        <f t="shared" si="6"/>
        <v>February</v>
      </c>
      <c r="H251" s="2">
        <f t="shared" ca="1" si="7"/>
        <v>12</v>
      </c>
      <c r="I251" s="17" t="s">
        <v>30</v>
      </c>
      <c r="J251" s="18">
        <v>65057</v>
      </c>
      <c r="K251" s="19">
        <v>1</v>
      </c>
      <c r="N251" s="11" t="s">
        <v>1678</v>
      </c>
      <c r="O251" s="11" t="s">
        <v>114</v>
      </c>
      <c r="P251" s="11" t="s">
        <v>40</v>
      </c>
      <c r="Q251" s="11" t="s">
        <v>25</v>
      </c>
      <c r="R251" s="20">
        <f>(42330+(3*365))+112</f>
        <v>43537</v>
      </c>
      <c r="S251" s="17">
        <v>7</v>
      </c>
      <c r="T251" s="17">
        <v>4115</v>
      </c>
    </row>
    <row r="252" spans="1:20" x14ac:dyDescent="0.2">
      <c r="A252" s="11" t="s">
        <v>100</v>
      </c>
      <c r="B252" s="14" t="s">
        <v>27</v>
      </c>
      <c r="C252" s="11" t="s">
        <v>101</v>
      </c>
      <c r="D252" s="15">
        <v>852430023</v>
      </c>
      <c r="E252" s="11" t="s">
        <v>80</v>
      </c>
      <c r="F252" s="20">
        <v>35968</v>
      </c>
      <c r="G252" s="16" t="str">
        <f t="shared" si="6"/>
        <v>June</v>
      </c>
      <c r="H252" s="2">
        <f t="shared" ca="1" si="7"/>
        <v>20</v>
      </c>
      <c r="I252" s="17" t="s">
        <v>38</v>
      </c>
      <c r="J252" s="18">
        <v>33500</v>
      </c>
      <c r="K252" s="19">
        <v>1</v>
      </c>
      <c r="N252" s="11" t="s">
        <v>1045</v>
      </c>
      <c r="O252" s="11" t="s">
        <v>45</v>
      </c>
      <c r="P252" s="11" t="s">
        <v>40</v>
      </c>
      <c r="Q252" s="11" t="s">
        <v>41</v>
      </c>
      <c r="R252" s="20">
        <f>(42019+(3*365))+112</f>
        <v>43226</v>
      </c>
      <c r="S252" s="17">
        <v>15</v>
      </c>
      <c r="T252" s="17">
        <v>7575</v>
      </c>
    </row>
    <row r="253" spans="1:20" x14ac:dyDescent="0.2">
      <c r="A253" s="11" t="s">
        <v>260</v>
      </c>
      <c r="B253" s="14" t="s">
        <v>36</v>
      </c>
      <c r="C253" s="11" t="s">
        <v>20</v>
      </c>
      <c r="D253" s="15">
        <v>600458368</v>
      </c>
      <c r="E253" s="11" t="s">
        <v>80</v>
      </c>
      <c r="F253" s="20">
        <v>42658</v>
      </c>
      <c r="G253" s="16" t="str">
        <f t="shared" si="6"/>
        <v>October</v>
      </c>
      <c r="H253" s="2">
        <f t="shared" ca="1" si="7"/>
        <v>2</v>
      </c>
      <c r="I253" s="17" t="s">
        <v>71</v>
      </c>
      <c r="J253" s="18">
        <v>30422</v>
      </c>
      <c r="K253" s="19">
        <v>3</v>
      </c>
      <c r="N253" s="11" t="s">
        <v>631</v>
      </c>
      <c r="O253" s="11" t="s">
        <v>114</v>
      </c>
      <c r="P253" s="11" t="s">
        <v>33</v>
      </c>
      <c r="Q253" s="11" t="s">
        <v>120</v>
      </c>
      <c r="R253" s="20">
        <f>(41882+(3*365))+112</f>
        <v>43089</v>
      </c>
      <c r="S253" s="17">
        <v>12</v>
      </c>
      <c r="T253" s="17">
        <v>6995</v>
      </c>
    </row>
    <row r="254" spans="1:20" x14ac:dyDescent="0.2">
      <c r="A254" s="11" t="s">
        <v>133</v>
      </c>
      <c r="B254" s="14" t="s">
        <v>19</v>
      </c>
      <c r="C254" s="11" t="s">
        <v>101</v>
      </c>
      <c r="D254" s="15">
        <v>134557291</v>
      </c>
      <c r="E254" s="11" t="s">
        <v>29</v>
      </c>
      <c r="F254" s="20">
        <v>35969</v>
      </c>
      <c r="G254" s="16" t="str">
        <f t="shared" si="6"/>
        <v>June</v>
      </c>
      <c r="H254" s="2">
        <f t="shared" ca="1" si="7"/>
        <v>20</v>
      </c>
      <c r="I254" s="17" t="s">
        <v>47</v>
      </c>
      <c r="J254" s="18">
        <v>44010</v>
      </c>
      <c r="K254" s="19">
        <v>5</v>
      </c>
      <c r="N254" s="11" t="s">
        <v>1539</v>
      </c>
      <c r="O254" s="11" t="s">
        <v>23</v>
      </c>
      <c r="P254" s="11" t="s">
        <v>65</v>
      </c>
      <c r="Q254" s="11" t="s">
        <v>25</v>
      </c>
      <c r="R254" s="20">
        <f>(42223+(3*365))+112</f>
        <v>43430</v>
      </c>
      <c r="S254" s="17">
        <v>3</v>
      </c>
      <c r="T254" s="17">
        <v>985</v>
      </c>
    </row>
    <row r="255" spans="1:20" x14ac:dyDescent="0.2">
      <c r="A255" s="11" t="s">
        <v>1242</v>
      </c>
      <c r="B255" s="14" t="s">
        <v>19</v>
      </c>
      <c r="C255" s="11" t="s">
        <v>145</v>
      </c>
      <c r="D255" s="15">
        <v>180832423</v>
      </c>
      <c r="E255" s="11" t="s">
        <v>29</v>
      </c>
      <c r="F255" s="20">
        <v>38934</v>
      </c>
      <c r="G255" s="16" t="str">
        <f t="shared" si="6"/>
        <v>August</v>
      </c>
      <c r="H255" s="2">
        <f t="shared" ca="1" si="7"/>
        <v>12</v>
      </c>
      <c r="I255" s="17" t="s">
        <v>71</v>
      </c>
      <c r="J255" s="18">
        <v>107474</v>
      </c>
      <c r="K255" s="19">
        <v>2</v>
      </c>
      <c r="N255" s="11" t="s">
        <v>778</v>
      </c>
      <c r="O255" s="11" t="s">
        <v>49</v>
      </c>
      <c r="P255" s="11" t="s">
        <v>24</v>
      </c>
      <c r="Q255" s="11" t="s">
        <v>25</v>
      </c>
      <c r="R255" s="20">
        <f>(41941+(3*365))+112</f>
        <v>43148</v>
      </c>
      <c r="S255" s="17">
        <v>2</v>
      </c>
      <c r="T255" s="17">
        <v>690</v>
      </c>
    </row>
    <row r="256" spans="1:20" x14ac:dyDescent="0.2">
      <c r="A256" s="11" t="s">
        <v>576</v>
      </c>
      <c r="B256" s="14" t="s">
        <v>19</v>
      </c>
      <c r="C256" s="11" t="s">
        <v>214</v>
      </c>
      <c r="D256" s="15">
        <v>415299442</v>
      </c>
      <c r="E256" s="11" t="s">
        <v>29</v>
      </c>
      <c r="F256" s="20">
        <v>42552</v>
      </c>
      <c r="G256" s="16" t="str">
        <f t="shared" si="6"/>
        <v>July</v>
      </c>
      <c r="H256" s="2">
        <f t="shared" ca="1" si="7"/>
        <v>2</v>
      </c>
      <c r="I256" s="17" t="s">
        <v>47</v>
      </c>
      <c r="J256" s="18">
        <v>93582</v>
      </c>
      <c r="K256" s="19">
        <v>3</v>
      </c>
      <c r="N256" s="11" t="s">
        <v>1363</v>
      </c>
      <c r="O256" s="11" t="s">
        <v>117</v>
      </c>
      <c r="P256" s="11" t="s">
        <v>40</v>
      </c>
      <c r="Q256" s="11" t="s">
        <v>34</v>
      </c>
      <c r="R256" s="20">
        <f>(42151+(3*365))+112</f>
        <v>43358</v>
      </c>
      <c r="S256" s="17">
        <v>20</v>
      </c>
      <c r="T256" s="17">
        <v>9960</v>
      </c>
    </row>
    <row r="257" spans="1:20" x14ac:dyDescent="0.2">
      <c r="A257" s="11" t="s">
        <v>659</v>
      </c>
      <c r="B257" s="14" t="s">
        <v>27</v>
      </c>
      <c r="C257" s="11" t="s">
        <v>104</v>
      </c>
      <c r="D257" s="15">
        <v>237359447</v>
      </c>
      <c r="E257" s="11" t="s">
        <v>29</v>
      </c>
      <c r="F257" s="20">
        <v>37157</v>
      </c>
      <c r="G257" s="16" t="str">
        <f t="shared" si="6"/>
        <v>September</v>
      </c>
      <c r="H257" s="2">
        <f t="shared" ca="1" si="7"/>
        <v>17</v>
      </c>
      <c r="I257" s="17" t="s">
        <v>47</v>
      </c>
      <c r="J257" s="18">
        <v>99144</v>
      </c>
      <c r="K257" s="19">
        <v>1</v>
      </c>
      <c r="N257" s="11" t="s">
        <v>897</v>
      </c>
      <c r="O257" s="11" t="s">
        <v>23</v>
      </c>
      <c r="P257" s="11" t="s">
        <v>33</v>
      </c>
      <c r="Q257" s="11" t="s">
        <v>25</v>
      </c>
      <c r="R257" s="20">
        <f>(41978+(3*365))+112</f>
        <v>43185</v>
      </c>
      <c r="S257" s="17">
        <v>15</v>
      </c>
      <c r="T257" s="17">
        <v>7680</v>
      </c>
    </row>
    <row r="258" spans="1:20" x14ac:dyDescent="0.2">
      <c r="A258" s="11" t="s">
        <v>556</v>
      </c>
      <c r="B258" s="14" t="s">
        <v>27</v>
      </c>
      <c r="C258" s="11" t="s">
        <v>145</v>
      </c>
      <c r="D258" s="15">
        <v>622200296</v>
      </c>
      <c r="E258" s="11" t="s">
        <v>29</v>
      </c>
      <c r="F258" s="20">
        <v>36541</v>
      </c>
      <c r="G258" s="16" t="str">
        <f t="shared" ref="G258:G321" si="8">CHOOSE(MONTH(F258),"January","February","March","April","May","June","July","August","September","October","November","December")</f>
        <v>January</v>
      </c>
      <c r="H258" s="2">
        <f t="shared" ref="H258:H321" ca="1" si="9">DATEDIF(F258,TODAY(),"Y")</f>
        <v>19</v>
      </c>
      <c r="I258" s="17" t="s">
        <v>47</v>
      </c>
      <c r="J258" s="18">
        <v>88521</v>
      </c>
      <c r="K258" s="19">
        <v>3</v>
      </c>
      <c r="N258" s="11" t="s">
        <v>1249</v>
      </c>
      <c r="O258" s="11" t="s">
        <v>64</v>
      </c>
      <c r="P258" s="11" t="s">
        <v>24</v>
      </c>
      <c r="Q258" s="11" t="s">
        <v>41</v>
      </c>
      <c r="R258" s="20">
        <f>(42106+(3*365))+112</f>
        <v>43313</v>
      </c>
      <c r="S258" s="17">
        <v>7</v>
      </c>
      <c r="T258" s="17">
        <v>2700</v>
      </c>
    </row>
    <row r="259" spans="1:20" x14ac:dyDescent="0.2">
      <c r="A259" s="11" t="s">
        <v>1176</v>
      </c>
      <c r="B259" s="14" t="s">
        <v>19</v>
      </c>
      <c r="C259" s="11" t="s">
        <v>145</v>
      </c>
      <c r="D259" s="15">
        <v>277925508</v>
      </c>
      <c r="E259" s="11" t="s">
        <v>29</v>
      </c>
      <c r="F259" s="20">
        <v>38229</v>
      </c>
      <c r="G259" s="16" t="str">
        <f t="shared" si="8"/>
        <v>August</v>
      </c>
      <c r="H259" s="2">
        <f t="shared" ca="1" si="9"/>
        <v>14</v>
      </c>
      <c r="I259" s="17" t="s">
        <v>30</v>
      </c>
      <c r="J259" s="18">
        <v>89694</v>
      </c>
      <c r="K259" s="19">
        <v>3</v>
      </c>
      <c r="N259" s="11" t="s">
        <v>1635</v>
      </c>
      <c r="O259" s="11" t="s">
        <v>117</v>
      </c>
      <c r="P259" s="11" t="s">
        <v>40</v>
      </c>
      <c r="Q259" s="11" t="s">
        <v>120</v>
      </c>
      <c r="R259" s="20">
        <f>(42291+(3*365))+112</f>
        <v>43498</v>
      </c>
      <c r="S259" s="17">
        <v>3</v>
      </c>
      <c r="T259" s="17">
        <v>1445</v>
      </c>
    </row>
    <row r="260" spans="1:20" x14ac:dyDescent="0.2">
      <c r="A260" s="11" t="s">
        <v>1518</v>
      </c>
      <c r="B260" s="14" t="s">
        <v>43</v>
      </c>
      <c r="C260" s="11" t="s">
        <v>152</v>
      </c>
      <c r="D260" s="15">
        <v>247422007</v>
      </c>
      <c r="E260" s="11" t="s">
        <v>21</v>
      </c>
      <c r="F260" s="20">
        <v>39049</v>
      </c>
      <c r="G260" s="16" t="str">
        <f t="shared" si="8"/>
        <v>November</v>
      </c>
      <c r="H260" s="2">
        <f t="shared" ca="1" si="9"/>
        <v>12</v>
      </c>
      <c r="I260" s="17"/>
      <c r="J260" s="18">
        <v>78638</v>
      </c>
      <c r="K260" s="19">
        <v>2</v>
      </c>
      <c r="N260" s="11" t="s">
        <v>150</v>
      </c>
      <c r="O260" s="11" t="s">
        <v>54</v>
      </c>
      <c r="P260" s="11" t="s">
        <v>65</v>
      </c>
      <c r="Q260" s="11" t="s">
        <v>25</v>
      </c>
      <c r="R260" s="20">
        <f>(41679+(3*365))+112</f>
        <v>42886</v>
      </c>
      <c r="S260" s="17">
        <v>3</v>
      </c>
      <c r="T260" s="21">
        <v>1660</v>
      </c>
    </row>
    <row r="261" spans="1:20" x14ac:dyDescent="0.2">
      <c r="A261" s="11" t="s">
        <v>809</v>
      </c>
      <c r="B261" s="14" t="s">
        <v>27</v>
      </c>
      <c r="C261" s="11" t="s">
        <v>152</v>
      </c>
      <c r="D261" s="15">
        <v>891224981</v>
      </c>
      <c r="E261" s="11" t="s">
        <v>80</v>
      </c>
      <c r="F261" s="20">
        <v>36996</v>
      </c>
      <c r="G261" s="16" t="str">
        <f t="shared" si="8"/>
        <v>April</v>
      </c>
      <c r="H261" s="2">
        <f t="shared" ca="1" si="9"/>
        <v>18</v>
      </c>
      <c r="I261" s="17" t="s">
        <v>71</v>
      </c>
      <c r="J261" s="18">
        <v>15161</v>
      </c>
      <c r="K261" s="19">
        <v>4</v>
      </c>
      <c r="N261" s="11" t="s">
        <v>668</v>
      </c>
      <c r="O261" s="11" t="s">
        <v>125</v>
      </c>
      <c r="P261" s="11" t="s">
        <v>65</v>
      </c>
      <c r="Q261" s="11" t="s">
        <v>34</v>
      </c>
      <c r="R261" s="20">
        <f>(41897+(3*365))+112</f>
        <v>43104</v>
      </c>
      <c r="S261" s="17">
        <v>13</v>
      </c>
      <c r="T261" s="17">
        <v>6784</v>
      </c>
    </row>
    <row r="262" spans="1:20" x14ac:dyDescent="0.2">
      <c r="A262" s="11" t="s">
        <v>952</v>
      </c>
      <c r="B262" s="14" t="s">
        <v>27</v>
      </c>
      <c r="C262" s="11" t="s">
        <v>214</v>
      </c>
      <c r="D262" s="15">
        <v>561737107</v>
      </c>
      <c r="E262" s="11" t="s">
        <v>29</v>
      </c>
      <c r="F262" s="20">
        <v>37880</v>
      </c>
      <c r="G262" s="16" t="str">
        <f t="shared" si="8"/>
        <v>September</v>
      </c>
      <c r="H262" s="2">
        <f t="shared" ca="1" si="9"/>
        <v>15</v>
      </c>
      <c r="I262" s="17" t="s">
        <v>30</v>
      </c>
      <c r="J262" s="18">
        <v>98647</v>
      </c>
      <c r="K262" s="19">
        <v>5</v>
      </c>
      <c r="N262" s="11" t="s">
        <v>1704</v>
      </c>
      <c r="O262" s="11" t="s">
        <v>45</v>
      </c>
      <c r="P262" s="11" t="s">
        <v>40</v>
      </c>
      <c r="Q262" s="11" t="s">
        <v>34</v>
      </c>
      <c r="R262" s="20">
        <f>(42351+(3*365))+112</f>
        <v>43558</v>
      </c>
      <c r="S262" s="17">
        <v>11</v>
      </c>
      <c r="T262" s="17">
        <v>6554</v>
      </c>
    </row>
    <row r="263" spans="1:20" x14ac:dyDescent="0.2">
      <c r="A263" s="11" t="s">
        <v>876</v>
      </c>
      <c r="B263" s="14" t="s">
        <v>51</v>
      </c>
      <c r="C263" s="11" t="s">
        <v>249</v>
      </c>
      <c r="D263" s="15">
        <v>755945415</v>
      </c>
      <c r="E263" s="11" t="s">
        <v>21</v>
      </c>
      <c r="F263" s="20">
        <v>43189</v>
      </c>
      <c r="G263" s="16" t="str">
        <f t="shared" si="8"/>
        <v>March</v>
      </c>
      <c r="H263" s="2">
        <f t="shared" ca="1" si="9"/>
        <v>1</v>
      </c>
      <c r="I263" s="17"/>
      <c r="J263" s="18">
        <v>99927</v>
      </c>
      <c r="K263" s="19">
        <v>2</v>
      </c>
      <c r="N263" s="11" t="s">
        <v>1543</v>
      </c>
      <c r="O263" s="11" t="s">
        <v>45</v>
      </c>
      <c r="P263" s="11" t="s">
        <v>40</v>
      </c>
      <c r="Q263" s="11" t="s">
        <v>41</v>
      </c>
      <c r="R263" s="20">
        <f>(42225+(3*365))+112</f>
        <v>43432</v>
      </c>
      <c r="S263" s="17">
        <v>8</v>
      </c>
      <c r="T263" s="17">
        <v>3410</v>
      </c>
    </row>
    <row r="264" spans="1:20" x14ac:dyDescent="0.2">
      <c r="A264" s="11" t="s">
        <v>1472</v>
      </c>
      <c r="B264" s="14" t="s">
        <v>51</v>
      </c>
      <c r="C264" s="11" t="s">
        <v>152</v>
      </c>
      <c r="D264" s="15">
        <v>635240617</v>
      </c>
      <c r="E264" s="11" t="s">
        <v>29</v>
      </c>
      <c r="F264" s="20">
        <v>39699</v>
      </c>
      <c r="G264" s="16" t="str">
        <f t="shared" si="8"/>
        <v>September</v>
      </c>
      <c r="H264" s="2">
        <f t="shared" ca="1" si="9"/>
        <v>10</v>
      </c>
      <c r="I264" s="17" t="s">
        <v>30</v>
      </c>
      <c r="J264" s="18">
        <v>64301</v>
      </c>
      <c r="K264" s="19">
        <v>3</v>
      </c>
      <c r="N264" s="11" t="s">
        <v>1680</v>
      </c>
      <c r="O264" s="11" t="s">
        <v>89</v>
      </c>
      <c r="P264" s="11" t="s">
        <v>65</v>
      </c>
      <c r="Q264" s="11" t="s">
        <v>25</v>
      </c>
      <c r="R264" s="20">
        <f>(42332+(3*365))+112</f>
        <v>43539</v>
      </c>
      <c r="S264" s="17">
        <v>8</v>
      </c>
      <c r="T264" s="17">
        <v>4110</v>
      </c>
    </row>
    <row r="265" spans="1:20" x14ac:dyDescent="0.2">
      <c r="A265" s="11" t="s">
        <v>1498</v>
      </c>
      <c r="B265" s="14" t="s">
        <v>83</v>
      </c>
      <c r="C265" s="11" t="s">
        <v>152</v>
      </c>
      <c r="D265" s="15">
        <v>723066626</v>
      </c>
      <c r="E265" s="11" t="s">
        <v>21</v>
      </c>
      <c r="F265" s="20">
        <v>41294</v>
      </c>
      <c r="G265" s="16" t="str">
        <f t="shared" si="8"/>
        <v>January</v>
      </c>
      <c r="H265" s="2">
        <f t="shared" ca="1" si="9"/>
        <v>6</v>
      </c>
      <c r="I265" s="17"/>
      <c r="J265" s="18">
        <v>44388</v>
      </c>
      <c r="K265" s="19">
        <v>3</v>
      </c>
      <c r="N265" s="11" t="s">
        <v>440</v>
      </c>
      <c r="O265" s="11" t="s">
        <v>45</v>
      </c>
      <c r="P265" s="11" t="s">
        <v>65</v>
      </c>
      <c r="Q265" s="11" t="s">
        <v>120</v>
      </c>
      <c r="R265" s="20">
        <f>(41805+(3*365))+112</f>
        <v>43012</v>
      </c>
      <c r="S265" s="17">
        <v>10</v>
      </c>
      <c r="T265" s="17">
        <v>3730</v>
      </c>
    </row>
    <row r="266" spans="1:20" x14ac:dyDescent="0.2">
      <c r="A266" s="11" t="s">
        <v>1108</v>
      </c>
      <c r="B266" s="14" t="s">
        <v>27</v>
      </c>
      <c r="C266" s="11" t="s">
        <v>249</v>
      </c>
      <c r="D266" s="15">
        <v>414905182</v>
      </c>
      <c r="E266" s="11" t="s">
        <v>29</v>
      </c>
      <c r="F266" s="20">
        <v>37977</v>
      </c>
      <c r="G266" s="16" t="str">
        <f t="shared" si="8"/>
        <v>December</v>
      </c>
      <c r="H266" s="2">
        <f t="shared" ca="1" si="9"/>
        <v>15</v>
      </c>
      <c r="I266" s="17" t="s">
        <v>30</v>
      </c>
      <c r="J266" s="18">
        <v>30861</v>
      </c>
      <c r="K266" s="19">
        <v>5</v>
      </c>
      <c r="N266" s="11" t="s">
        <v>1385</v>
      </c>
      <c r="O266" s="11" t="s">
        <v>23</v>
      </c>
      <c r="P266" s="11" t="s">
        <v>24</v>
      </c>
      <c r="Q266" s="11" t="s">
        <v>120</v>
      </c>
      <c r="R266" s="20">
        <f>(42158+(3*365))+112</f>
        <v>43365</v>
      </c>
      <c r="S266" s="17">
        <v>10</v>
      </c>
      <c r="T266" s="17">
        <v>4580</v>
      </c>
    </row>
    <row r="267" spans="1:20" x14ac:dyDescent="0.2">
      <c r="A267" s="11" t="s">
        <v>1374</v>
      </c>
      <c r="B267" s="14" t="s">
        <v>19</v>
      </c>
      <c r="C267" s="11" t="s">
        <v>152</v>
      </c>
      <c r="D267" s="15">
        <v>964255290</v>
      </c>
      <c r="E267" s="11" t="s">
        <v>29</v>
      </c>
      <c r="F267" s="20">
        <v>42874</v>
      </c>
      <c r="G267" s="16" t="str">
        <f t="shared" si="8"/>
        <v>May</v>
      </c>
      <c r="H267" s="2">
        <f t="shared" ca="1" si="9"/>
        <v>2</v>
      </c>
      <c r="I267" s="17" t="s">
        <v>30</v>
      </c>
      <c r="J267" s="18">
        <v>47237</v>
      </c>
      <c r="K267" s="19">
        <v>3</v>
      </c>
      <c r="N267" s="11" t="s">
        <v>517</v>
      </c>
      <c r="O267" s="11" t="s">
        <v>125</v>
      </c>
      <c r="P267" s="11" t="s">
        <v>33</v>
      </c>
      <c r="Q267" s="11" t="s">
        <v>41</v>
      </c>
      <c r="R267" s="20">
        <f>(41837+(3*365))+112</f>
        <v>43044</v>
      </c>
      <c r="S267" s="17">
        <v>2</v>
      </c>
      <c r="T267" s="17">
        <v>885</v>
      </c>
    </row>
    <row r="268" spans="1:20" x14ac:dyDescent="0.2">
      <c r="A268" s="11" t="s">
        <v>552</v>
      </c>
      <c r="B268" s="14" t="s">
        <v>27</v>
      </c>
      <c r="C268" s="11" t="s">
        <v>214</v>
      </c>
      <c r="D268" s="15">
        <v>542653222</v>
      </c>
      <c r="E268" s="11" t="s">
        <v>21</v>
      </c>
      <c r="F268" s="20">
        <v>38853</v>
      </c>
      <c r="G268" s="16" t="str">
        <f t="shared" si="8"/>
        <v>May</v>
      </c>
      <c r="H268" s="2">
        <f t="shared" ca="1" si="9"/>
        <v>13</v>
      </c>
      <c r="I268" s="17"/>
      <c r="J268" s="18">
        <v>97902</v>
      </c>
      <c r="K268" s="19">
        <v>3</v>
      </c>
      <c r="N268" s="11" t="s">
        <v>1017</v>
      </c>
      <c r="O268" s="11" t="s">
        <v>64</v>
      </c>
      <c r="P268" s="11" t="s">
        <v>24</v>
      </c>
      <c r="Q268" s="11" t="s">
        <v>120</v>
      </c>
      <c r="R268" s="20">
        <f>(42013+(3*365))+112</f>
        <v>43220</v>
      </c>
      <c r="S268" s="17">
        <v>6</v>
      </c>
      <c r="T268" s="17">
        <v>2640</v>
      </c>
    </row>
    <row r="269" spans="1:20" x14ac:dyDescent="0.2">
      <c r="A269" s="11" t="s">
        <v>632</v>
      </c>
      <c r="B269" s="14" t="s">
        <v>19</v>
      </c>
      <c r="C269" s="11" t="s">
        <v>214</v>
      </c>
      <c r="D269" s="15">
        <v>280304785</v>
      </c>
      <c r="E269" s="11" t="s">
        <v>29</v>
      </c>
      <c r="F269" s="20">
        <v>38852</v>
      </c>
      <c r="G269" s="16" t="str">
        <f t="shared" si="8"/>
        <v>May</v>
      </c>
      <c r="H269" s="2">
        <f t="shared" ca="1" si="9"/>
        <v>13</v>
      </c>
      <c r="I269" s="17" t="s">
        <v>47</v>
      </c>
      <c r="J269" s="18">
        <v>54459</v>
      </c>
      <c r="K269" s="19">
        <v>2</v>
      </c>
      <c r="N269" s="11" t="s">
        <v>973</v>
      </c>
      <c r="O269" s="11" t="s">
        <v>54</v>
      </c>
      <c r="P269" s="11" t="s">
        <v>33</v>
      </c>
      <c r="Q269" s="11" t="s">
        <v>120</v>
      </c>
      <c r="R269" s="20">
        <f>(42004+(3*365))+112</f>
        <v>43211</v>
      </c>
      <c r="S269" s="17">
        <v>6</v>
      </c>
      <c r="T269" s="17">
        <v>2740</v>
      </c>
    </row>
    <row r="270" spans="1:20" x14ac:dyDescent="0.2">
      <c r="A270" s="11" t="s">
        <v>1466</v>
      </c>
      <c r="B270" s="14" t="s">
        <v>27</v>
      </c>
      <c r="C270" s="11" t="s">
        <v>265</v>
      </c>
      <c r="D270" s="15">
        <v>272036635</v>
      </c>
      <c r="E270" s="11" t="s">
        <v>29</v>
      </c>
      <c r="F270" s="20">
        <v>40739</v>
      </c>
      <c r="G270" s="16" t="str">
        <f t="shared" si="8"/>
        <v>July</v>
      </c>
      <c r="H270" s="2">
        <f t="shared" ca="1" si="9"/>
        <v>7</v>
      </c>
      <c r="I270" s="17" t="s">
        <v>47</v>
      </c>
      <c r="J270" s="18">
        <v>116816</v>
      </c>
      <c r="K270" s="19">
        <v>1</v>
      </c>
      <c r="N270" s="11" t="s">
        <v>511</v>
      </c>
      <c r="O270" s="11" t="s">
        <v>49</v>
      </c>
      <c r="P270" s="11" t="s">
        <v>33</v>
      </c>
      <c r="Q270" s="11" t="s">
        <v>34</v>
      </c>
      <c r="R270" s="20">
        <f>(41834+(3*365))+112</f>
        <v>43041</v>
      </c>
      <c r="S270" s="17">
        <v>14</v>
      </c>
      <c r="T270" s="17">
        <v>6969</v>
      </c>
    </row>
    <row r="271" spans="1:20" x14ac:dyDescent="0.2">
      <c r="A271" s="11" t="s">
        <v>423</v>
      </c>
      <c r="B271" s="14" t="s">
        <v>43</v>
      </c>
      <c r="C271" s="11" t="s">
        <v>20</v>
      </c>
      <c r="D271" s="15">
        <v>721173550</v>
      </c>
      <c r="E271" s="11" t="s">
        <v>29</v>
      </c>
      <c r="F271" s="20">
        <v>36642</v>
      </c>
      <c r="G271" s="16" t="str">
        <f t="shared" si="8"/>
        <v>April</v>
      </c>
      <c r="H271" s="2">
        <f t="shared" ca="1" si="9"/>
        <v>19</v>
      </c>
      <c r="I271" s="17" t="s">
        <v>47</v>
      </c>
      <c r="J271" s="18">
        <v>96053</v>
      </c>
      <c r="K271" s="19">
        <v>2</v>
      </c>
      <c r="N271" s="11" t="s">
        <v>243</v>
      </c>
      <c r="O271" s="11" t="s">
        <v>54</v>
      </c>
      <c r="P271" s="11" t="s">
        <v>65</v>
      </c>
      <c r="Q271" s="11" t="s">
        <v>41</v>
      </c>
      <c r="R271" s="20">
        <f>(41717+(3*365))+112</f>
        <v>42924</v>
      </c>
      <c r="S271" s="17">
        <v>9</v>
      </c>
      <c r="T271" s="21">
        <v>4580</v>
      </c>
    </row>
    <row r="272" spans="1:20" x14ac:dyDescent="0.2">
      <c r="A272" s="11" t="s">
        <v>548</v>
      </c>
      <c r="B272" s="14" t="s">
        <v>19</v>
      </c>
      <c r="C272" s="11" t="s">
        <v>145</v>
      </c>
      <c r="D272" s="15">
        <v>627977314</v>
      </c>
      <c r="E272" s="11" t="s">
        <v>29</v>
      </c>
      <c r="F272" s="20">
        <v>36708</v>
      </c>
      <c r="G272" s="16" t="str">
        <f t="shared" si="8"/>
        <v>July</v>
      </c>
      <c r="H272" s="2">
        <f t="shared" ca="1" si="9"/>
        <v>18</v>
      </c>
      <c r="I272" s="17" t="s">
        <v>71</v>
      </c>
      <c r="J272" s="18">
        <v>116424</v>
      </c>
      <c r="K272" s="19">
        <v>1</v>
      </c>
      <c r="N272" s="11" t="s">
        <v>967</v>
      </c>
      <c r="O272" s="11" t="s">
        <v>45</v>
      </c>
      <c r="P272" s="11" t="s">
        <v>65</v>
      </c>
      <c r="Q272" s="11" t="s">
        <v>25</v>
      </c>
      <c r="R272" s="20">
        <f>(42002+(3*365))+112</f>
        <v>43209</v>
      </c>
      <c r="S272" s="17">
        <v>9</v>
      </c>
      <c r="T272" s="17">
        <v>3735</v>
      </c>
    </row>
    <row r="273" spans="1:20" x14ac:dyDescent="0.2">
      <c r="A273" s="11" t="s">
        <v>783</v>
      </c>
      <c r="B273" s="14" t="s">
        <v>36</v>
      </c>
      <c r="C273" s="11" t="s">
        <v>86</v>
      </c>
      <c r="D273" s="15">
        <v>355985853</v>
      </c>
      <c r="E273" s="11" t="s">
        <v>29</v>
      </c>
      <c r="F273" s="20">
        <v>39153</v>
      </c>
      <c r="G273" s="16" t="str">
        <f t="shared" si="8"/>
        <v>March</v>
      </c>
      <c r="H273" s="2">
        <f t="shared" ca="1" si="9"/>
        <v>12</v>
      </c>
      <c r="I273" s="17" t="s">
        <v>47</v>
      </c>
      <c r="J273" s="18">
        <v>62141</v>
      </c>
      <c r="K273" s="19">
        <v>2</v>
      </c>
      <c r="N273" s="11" t="s">
        <v>915</v>
      </c>
      <c r="O273" s="11" t="s">
        <v>78</v>
      </c>
      <c r="P273" s="11" t="s">
        <v>40</v>
      </c>
      <c r="Q273" s="11" t="s">
        <v>25</v>
      </c>
      <c r="R273" s="20">
        <f>(41987+(3*365))+112</f>
        <v>43194</v>
      </c>
      <c r="S273" s="17">
        <v>1</v>
      </c>
      <c r="T273" s="17">
        <v>555</v>
      </c>
    </row>
    <row r="274" spans="1:20" x14ac:dyDescent="0.2">
      <c r="A274" s="11" t="s">
        <v>1442</v>
      </c>
      <c r="B274" s="14" t="s">
        <v>19</v>
      </c>
      <c r="C274" s="11" t="s">
        <v>86</v>
      </c>
      <c r="D274" s="15">
        <v>597641409</v>
      </c>
      <c r="E274" s="11" t="s">
        <v>29</v>
      </c>
      <c r="F274" s="20">
        <v>38713</v>
      </c>
      <c r="G274" s="16" t="str">
        <f t="shared" si="8"/>
        <v>December</v>
      </c>
      <c r="H274" s="2">
        <f t="shared" ca="1" si="9"/>
        <v>13</v>
      </c>
      <c r="I274" s="17" t="s">
        <v>30</v>
      </c>
      <c r="J274" s="18">
        <v>110849</v>
      </c>
      <c r="K274" s="19">
        <v>3</v>
      </c>
      <c r="N274" s="11" t="s">
        <v>308</v>
      </c>
      <c r="O274" s="11" t="s">
        <v>49</v>
      </c>
      <c r="P274" s="11" t="s">
        <v>40</v>
      </c>
      <c r="Q274" s="11" t="s">
        <v>219</v>
      </c>
      <c r="R274" s="20">
        <f>(41746+(3*365))+112</f>
        <v>42953</v>
      </c>
      <c r="S274" s="17">
        <v>12</v>
      </c>
      <c r="T274" s="17">
        <v>4330</v>
      </c>
    </row>
    <row r="275" spans="1:20" x14ac:dyDescent="0.2">
      <c r="A275" s="11" t="s">
        <v>1340</v>
      </c>
      <c r="B275" s="14" t="s">
        <v>51</v>
      </c>
      <c r="C275" s="11" t="s">
        <v>214</v>
      </c>
      <c r="D275" s="15">
        <v>100679868</v>
      </c>
      <c r="E275" s="11" t="s">
        <v>80</v>
      </c>
      <c r="F275" s="20">
        <v>38663</v>
      </c>
      <c r="G275" s="16" t="str">
        <f t="shared" si="8"/>
        <v>November</v>
      </c>
      <c r="H275" s="2">
        <f t="shared" ca="1" si="9"/>
        <v>13</v>
      </c>
      <c r="I275" s="17" t="s">
        <v>47</v>
      </c>
      <c r="J275" s="18">
        <v>65927</v>
      </c>
      <c r="K275" s="19">
        <v>5</v>
      </c>
      <c r="N275" s="11" t="s">
        <v>489</v>
      </c>
      <c r="O275" s="11" t="s">
        <v>89</v>
      </c>
      <c r="P275" s="11" t="s">
        <v>24</v>
      </c>
      <c r="Q275" s="11" t="s">
        <v>219</v>
      </c>
      <c r="R275" s="20">
        <f>(41819+(3*365))+112</f>
        <v>43026</v>
      </c>
      <c r="S275" s="17">
        <v>14</v>
      </c>
      <c r="T275" s="17">
        <v>7100</v>
      </c>
    </row>
    <row r="276" spans="1:20" x14ac:dyDescent="0.2">
      <c r="A276" s="11" t="s">
        <v>606</v>
      </c>
      <c r="B276" s="14" t="s">
        <v>27</v>
      </c>
      <c r="C276" s="11" t="s">
        <v>214</v>
      </c>
      <c r="D276" s="15">
        <v>894030119</v>
      </c>
      <c r="E276" s="11" t="s">
        <v>29</v>
      </c>
      <c r="F276" s="20">
        <v>39924</v>
      </c>
      <c r="G276" s="16" t="str">
        <f t="shared" si="8"/>
        <v>April</v>
      </c>
      <c r="H276" s="2">
        <f t="shared" ca="1" si="9"/>
        <v>10</v>
      </c>
      <c r="I276" s="17" t="s">
        <v>87</v>
      </c>
      <c r="J276" s="18">
        <v>89114</v>
      </c>
      <c r="K276" s="19">
        <v>5</v>
      </c>
      <c r="N276" s="11" t="s">
        <v>591</v>
      </c>
      <c r="O276" s="11" t="s">
        <v>114</v>
      </c>
      <c r="P276" s="11" t="s">
        <v>40</v>
      </c>
      <c r="Q276" s="11" t="s">
        <v>120</v>
      </c>
      <c r="R276" s="20">
        <f>(41865+(3*365))+112</f>
        <v>43072</v>
      </c>
      <c r="S276" s="17">
        <v>3</v>
      </c>
      <c r="T276" s="17">
        <v>1540</v>
      </c>
    </row>
    <row r="277" spans="1:20" x14ac:dyDescent="0.2">
      <c r="A277" s="11" t="s">
        <v>121</v>
      </c>
      <c r="B277" s="14" t="s">
        <v>27</v>
      </c>
      <c r="C277" s="11" t="s">
        <v>104</v>
      </c>
      <c r="D277" s="15">
        <v>533976888</v>
      </c>
      <c r="E277" s="11" t="s">
        <v>29</v>
      </c>
      <c r="F277" s="20">
        <v>39070</v>
      </c>
      <c r="G277" s="16" t="str">
        <f t="shared" si="8"/>
        <v>December</v>
      </c>
      <c r="H277" s="2">
        <f t="shared" ca="1" si="9"/>
        <v>12</v>
      </c>
      <c r="I277" s="17" t="s">
        <v>71</v>
      </c>
      <c r="J277" s="18">
        <v>64598</v>
      </c>
      <c r="K277" s="19">
        <v>1</v>
      </c>
      <c r="N277" s="11" t="s">
        <v>1353</v>
      </c>
      <c r="O277" s="11" t="s">
        <v>45</v>
      </c>
      <c r="P277" s="11" t="s">
        <v>24</v>
      </c>
      <c r="Q277" s="11" t="s">
        <v>219</v>
      </c>
      <c r="R277" s="20">
        <f>(42150+(3*365))+112</f>
        <v>43357</v>
      </c>
      <c r="S277" s="17">
        <v>10</v>
      </c>
      <c r="T277" s="17">
        <v>5520</v>
      </c>
    </row>
    <row r="278" spans="1:20" x14ac:dyDescent="0.2">
      <c r="A278" s="11" t="s">
        <v>1162</v>
      </c>
      <c r="B278" s="14" t="s">
        <v>19</v>
      </c>
      <c r="C278" s="11" t="s">
        <v>136</v>
      </c>
      <c r="D278" s="15">
        <v>214291610</v>
      </c>
      <c r="E278" s="11" t="s">
        <v>29</v>
      </c>
      <c r="F278" s="20">
        <v>38075</v>
      </c>
      <c r="G278" s="16" t="str">
        <f t="shared" si="8"/>
        <v>March</v>
      </c>
      <c r="H278" s="2">
        <f t="shared" ca="1" si="9"/>
        <v>15</v>
      </c>
      <c r="I278" s="17" t="s">
        <v>47</v>
      </c>
      <c r="J278" s="18">
        <v>63909</v>
      </c>
      <c r="K278" s="19">
        <v>2</v>
      </c>
      <c r="N278" s="11" t="s">
        <v>1545</v>
      </c>
      <c r="O278" s="11" t="s">
        <v>75</v>
      </c>
      <c r="P278" s="11" t="s">
        <v>33</v>
      </c>
      <c r="Q278" s="11" t="s">
        <v>25</v>
      </c>
      <c r="R278" s="20">
        <f>(42225+(3*365))+112</f>
        <v>43432</v>
      </c>
      <c r="S278" s="17">
        <v>5</v>
      </c>
      <c r="T278" s="17">
        <v>2175</v>
      </c>
    </row>
    <row r="279" spans="1:20" x14ac:dyDescent="0.2">
      <c r="A279" s="11" t="s">
        <v>653</v>
      </c>
      <c r="B279" s="14" t="s">
        <v>27</v>
      </c>
      <c r="C279" s="11" t="s">
        <v>214</v>
      </c>
      <c r="D279" s="15">
        <v>948480407</v>
      </c>
      <c r="E279" s="11" t="s">
        <v>21</v>
      </c>
      <c r="F279" s="20">
        <v>40490</v>
      </c>
      <c r="G279" s="16" t="str">
        <f t="shared" si="8"/>
        <v>November</v>
      </c>
      <c r="H279" s="2">
        <f t="shared" ca="1" si="9"/>
        <v>8</v>
      </c>
      <c r="I279" s="17"/>
      <c r="J279" s="18">
        <v>82850</v>
      </c>
      <c r="K279" s="19">
        <v>3</v>
      </c>
      <c r="N279" s="11" t="s">
        <v>235</v>
      </c>
      <c r="O279" s="11" t="s">
        <v>114</v>
      </c>
      <c r="P279" s="11" t="s">
        <v>24</v>
      </c>
      <c r="Q279" s="11" t="s">
        <v>41</v>
      </c>
      <c r="R279" s="20">
        <f>(41713+(3*365))+112</f>
        <v>42920</v>
      </c>
      <c r="S279" s="17">
        <v>5</v>
      </c>
      <c r="T279" s="21">
        <v>2320</v>
      </c>
    </row>
    <row r="280" spans="1:20" x14ac:dyDescent="0.2">
      <c r="A280" s="11" t="s">
        <v>747</v>
      </c>
      <c r="B280" s="14" t="s">
        <v>19</v>
      </c>
      <c r="C280" s="11" t="s">
        <v>136</v>
      </c>
      <c r="D280" s="15">
        <v>317193890</v>
      </c>
      <c r="E280" s="11" t="s">
        <v>29</v>
      </c>
      <c r="F280" s="20">
        <v>37025</v>
      </c>
      <c r="G280" s="16" t="str">
        <f t="shared" si="8"/>
        <v>May</v>
      </c>
      <c r="H280" s="2">
        <f t="shared" ca="1" si="9"/>
        <v>18</v>
      </c>
      <c r="I280" s="17" t="s">
        <v>38</v>
      </c>
      <c r="J280" s="18">
        <v>93717</v>
      </c>
      <c r="K280" s="19">
        <v>2</v>
      </c>
      <c r="N280" s="11" t="s">
        <v>1395</v>
      </c>
      <c r="O280" s="11" t="s">
        <v>54</v>
      </c>
      <c r="P280" s="11" t="s">
        <v>33</v>
      </c>
      <c r="Q280" s="11" t="s">
        <v>34</v>
      </c>
      <c r="R280" s="20">
        <f>(42167+(3*365))+112</f>
        <v>43374</v>
      </c>
      <c r="S280" s="17">
        <v>8</v>
      </c>
      <c r="T280" s="17">
        <v>3200</v>
      </c>
    </row>
    <row r="281" spans="1:20" x14ac:dyDescent="0.2">
      <c r="A281" s="11" t="s">
        <v>228</v>
      </c>
      <c r="B281" s="14" t="s">
        <v>43</v>
      </c>
      <c r="C281" s="11" t="s">
        <v>20</v>
      </c>
      <c r="D281" s="15">
        <v>393393249</v>
      </c>
      <c r="E281" s="11" t="s">
        <v>21</v>
      </c>
      <c r="F281" s="20">
        <v>39326</v>
      </c>
      <c r="G281" s="16" t="str">
        <f t="shared" si="8"/>
        <v>September</v>
      </c>
      <c r="H281" s="2">
        <f t="shared" ca="1" si="9"/>
        <v>11</v>
      </c>
      <c r="I281" s="17"/>
      <c r="J281" s="18">
        <v>31806</v>
      </c>
      <c r="K281" s="19">
        <v>3</v>
      </c>
      <c r="N281" s="11" t="s">
        <v>1447</v>
      </c>
      <c r="O281" s="11" t="s">
        <v>78</v>
      </c>
      <c r="P281" s="11" t="s">
        <v>24</v>
      </c>
      <c r="Q281" s="11" t="s">
        <v>34</v>
      </c>
      <c r="R281" s="20">
        <f>(42186+(3*365))+112</f>
        <v>43393</v>
      </c>
      <c r="S281" s="17">
        <v>9</v>
      </c>
      <c r="T281" s="17">
        <v>4714</v>
      </c>
    </row>
    <row r="282" spans="1:20" x14ac:dyDescent="0.2">
      <c r="A282" s="11" t="s">
        <v>1252</v>
      </c>
      <c r="B282" s="14" t="s">
        <v>36</v>
      </c>
      <c r="C282" s="11" t="s">
        <v>52</v>
      </c>
      <c r="D282" s="15">
        <v>291798311</v>
      </c>
      <c r="E282" s="11" t="s">
        <v>29</v>
      </c>
      <c r="F282" s="20">
        <v>38343</v>
      </c>
      <c r="G282" s="16" t="str">
        <f t="shared" si="8"/>
        <v>December</v>
      </c>
      <c r="H282" s="2">
        <f t="shared" ca="1" si="9"/>
        <v>14</v>
      </c>
      <c r="I282" s="17" t="s">
        <v>47</v>
      </c>
      <c r="J282" s="18">
        <v>108162</v>
      </c>
      <c r="K282" s="19">
        <v>4</v>
      </c>
      <c r="N282" s="11" t="s">
        <v>1481</v>
      </c>
      <c r="O282" s="11" t="s">
        <v>117</v>
      </c>
      <c r="P282" s="11" t="s">
        <v>24</v>
      </c>
      <c r="Q282" s="11" t="s">
        <v>25</v>
      </c>
      <c r="R282" s="20">
        <f>(42196+(3*365))+112</f>
        <v>43403</v>
      </c>
      <c r="S282" s="17">
        <v>7</v>
      </c>
      <c r="T282" s="17">
        <v>2605</v>
      </c>
    </row>
    <row r="283" spans="1:20" x14ac:dyDescent="0.2">
      <c r="A283" s="11" t="s">
        <v>1370</v>
      </c>
      <c r="B283" s="14" t="s">
        <v>83</v>
      </c>
      <c r="C283" s="11" t="s">
        <v>152</v>
      </c>
      <c r="D283" s="15">
        <v>843299208</v>
      </c>
      <c r="E283" s="11" t="s">
        <v>80</v>
      </c>
      <c r="F283" s="20">
        <v>42391</v>
      </c>
      <c r="G283" s="16" t="str">
        <f t="shared" si="8"/>
        <v>January</v>
      </c>
      <c r="H283" s="2">
        <f t="shared" ca="1" si="9"/>
        <v>3</v>
      </c>
      <c r="I283" s="17" t="s">
        <v>71</v>
      </c>
      <c r="J283" s="18">
        <v>66258</v>
      </c>
      <c r="K283" s="19">
        <v>5</v>
      </c>
      <c r="N283" s="11" t="s">
        <v>670</v>
      </c>
      <c r="O283" s="11" t="s">
        <v>64</v>
      </c>
      <c r="P283" s="11" t="s">
        <v>65</v>
      </c>
      <c r="Q283" s="11" t="s">
        <v>25</v>
      </c>
      <c r="R283" s="20">
        <f>(41897+(3*365))+112</f>
        <v>43104</v>
      </c>
      <c r="S283" s="17">
        <v>10</v>
      </c>
      <c r="T283" s="17">
        <v>3330</v>
      </c>
    </row>
    <row r="284" spans="1:20" x14ac:dyDescent="0.2">
      <c r="A284" s="11" t="s">
        <v>1404</v>
      </c>
      <c r="B284" s="14" t="s">
        <v>36</v>
      </c>
      <c r="C284" s="11" t="s">
        <v>152</v>
      </c>
      <c r="D284" s="15">
        <v>941937371</v>
      </c>
      <c r="E284" s="11" t="s">
        <v>29</v>
      </c>
      <c r="F284" s="20">
        <v>38632</v>
      </c>
      <c r="G284" s="16" t="str">
        <f t="shared" si="8"/>
        <v>October</v>
      </c>
      <c r="H284" s="2">
        <f t="shared" ca="1" si="9"/>
        <v>13</v>
      </c>
      <c r="I284" s="17" t="s">
        <v>47</v>
      </c>
      <c r="J284" s="18">
        <v>116532</v>
      </c>
      <c r="K284" s="19">
        <v>4</v>
      </c>
      <c r="N284" s="11" t="s">
        <v>1646</v>
      </c>
      <c r="O284" s="11" t="s">
        <v>89</v>
      </c>
      <c r="P284" s="11" t="s">
        <v>24</v>
      </c>
      <c r="Q284" s="11" t="s">
        <v>120</v>
      </c>
      <c r="R284" s="20">
        <f>(42305+(3*365))+112</f>
        <v>43512</v>
      </c>
      <c r="S284" s="17">
        <v>8</v>
      </c>
      <c r="T284" s="17">
        <v>4200</v>
      </c>
    </row>
    <row r="285" spans="1:20" x14ac:dyDescent="0.2">
      <c r="A285" s="11" t="s">
        <v>469</v>
      </c>
      <c r="B285" s="14" t="s">
        <v>83</v>
      </c>
      <c r="C285" s="11" t="s">
        <v>214</v>
      </c>
      <c r="D285" s="15">
        <v>466293520</v>
      </c>
      <c r="E285" s="11" t="s">
        <v>56</v>
      </c>
      <c r="F285" s="20">
        <v>36607</v>
      </c>
      <c r="G285" s="16" t="str">
        <f t="shared" si="8"/>
        <v>March</v>
      </c>
      <c r="H285" s="2">
        <f t="shared" ca="1" si="9"/>
        <v>19</v>
      </c>
      <c r="I285" s="17"/>
      <c r="J285" s="18">
        <v>30164</v>
      </c>
      <c r="K285" s="19">
        <v>4</v>
      </c>
      <c r="N285" s="11" t="s">
        <v>923</v>
      </c>
      <c r="O285" s="11" t="s">
        <v>125</v>
      </c>
      <c r="P285" s="11" t="s">
        <v>24</v>
      </c>
      <c r="Q285" s="11" t="s">
        <v>34</v>
      </c>
      <c r="R285" s="20">
        <f>(41990+(3*365))+112</f>
        <v>43197</v>
      </c>
      <c r="S285" s="17">
        <v>13</v>
      </c>
      <c r="T285" s="17">
        <v>6004</v>
      </c>
    </row>
    <row r="286" spans="1:20" x14ac:dyDescent="0.2">
      <c r="A286" s="11" t="s">
        <v>1526</v>
      </c>
      <c r="B286" s="14" t="s">
        <v>27</v>
      </c>
      <c r="C286" s="11" t="s">
        <v>152</v>
      </c>
      <c r="D286" s="15">
        <v>151532569</v>
      </c>
      <c r="E286" s="11" t="s">
        <v>21</v>
      </c>
      <c r="F286" s="20">
        <v>43419</v>
      </c>
      <c r="G286" s="16" t="str">
        <f t="shared" si="8"/>
        <v>November</v>
      </c>
      <c r="H286" s="2">
        <f t="shared" ca="1" si="9"/>
        <v>0</v>
      </c>
      <c r="I286" s="17"/>
      <c r="J286" s="18">
        <v>74939</v>
      </c>
      <c r="K286" s="19">
        <v>3</v>
      </c>
      <c r="N286" s="11" t="s">
        <v>879</v>
      </c>
      <c r="O286" s="11" t="s">
        <v>75</v>
      </c>
      <c r="P286" s="11" t="s">
        <v>40</v>
      </c>
      <c r="Q286" s="11" t="s">
        <v>219</v>
      </c>
      <c r="R286" s="20">
        <f>(41972+(3*365))+112</f>
        <v>43179</v>
      </c>
      <c r="S286" s="17">
        <v>5</v>
      </c>
      <c r="T286" s="17">
        <v>2555</v>
      </c>
    </row>
    <row r="287" spans="1:20" x14ac:dyDescent="0.2">
      <c r="A287" s="11" t="s">
        <v>425</v>
      </c>
      <c r="B287" s="14" t="s">
        <v>51</v>
      </c>
      <c r="C287" s="11" t="s">
        <v>20</v>
      </c>
      <c r="D287" s="15">
        <v>403504590</v>
      </c>
      <c r="E287" s="11" t="s">
        <v>21</v>
      </c>
      <c r="F287" s="20">
        <v>36534</v>
      </c>
      <c r="G287" s="16" t="str">
        <f t="shared" si="8"/>
        <v>January</v>
      </c>
      <c r="H287" s="2">
        <f t="shared" ca="1" si="9"/>
        <v>19</v>
      </c>
      <c r="I287" s="17"/>
      <c r="J287" s="18">
        <v>87021</v>
      </c>
      <c r="K287" s="19">
        <v>1</v>
      </c>
      <c r="N287" s="11" t="s">
        <v>225</v>
      </c>
      <c r="O287" s="11" t="s">
        <v>64</v>
      </c>
      <c r="P287" s="11" t="s">
        <v>24</v>
      </c>
      <c r="Q287" s="11" t="s">
        <v>219</v>
      </c>
      <c r="R287" s="20">
        <f>(41711+(3*365))+112</f>
        <v>42918</v>
      </c>
      <c r="S287" s="17">
        <v>6</v>
      </c>
      <c r="T287" s="21">
        <v>2600</v>
      </c>
    </row>
    <row r="288" spans="1:20" x14ac:dyDescent="0.2">
      <c r="A288" s="11" t="s">
        <v>1348</v>
      </c>
      <c r="B288" s="14" t="s">
        <v>27</v>
      </c>
      <c r="C288" s="11" t="s">
        <v>145</v>
      </c>
      <c r="D288" s="15">
        <v>351003584</v>
      </c>
      <c r="E288" s="11" t="s">
        <v>21</v>
      </c>
      <c r="F288" s="20">
        <v>39070</v>
      </c>
      <c r="G288" s="16" t="str">
        <f t="shared" si="8"/>
        <v>December</v>
      </c>
      <c r="H288" s="2">
        <f t="shared" ca="1" si="9"/>
        <v>12</v>
      </c>
      <c r="I288" s="17"/>
      <c r="J288" s="18">
        <v>71969</v>
      </c>
      <c r="K288" s="19">
        <v>5</v>
      </c>
      <c r="N288" s="11" t="s">
        <v>1592</v>
      </c>
      <c r="O288" s="11" t="s">
        <v>23</v>
      </c>
      <c r="P288" s="11" t="s">
        <v>40</v>
      </c>
      <c r="Q288" s="11" t="s">
        <v>41</v>
      </c>
      <c r="R288" s="20">
        <f>(42256+(3*365))+112</f>
        <v>43463</v>
      </c>
      <c r="S288" s="17">
        <v>14</v>
      </c>
      <c r="T288" s="17">
        <v>5220</v>
      </c>
    </row>
    <row r="289" spans="1:20" x14ac:dyDescent="0.2">
      <c r="A289" s="11" t="s">
        <v>859</v>
      </c>
      <c r="B289" s="14" t="s">
        <v>43</v>
      </c>
      <c r="C289" s="11" t="s">
        <v>214</v>
      </c>
      <c r="D289" s="15">
        <v>865073824</v>
      </c>
      <c r="E289" s="11" t="s">
        <v>29</v>
      </c>
      <c r="F289" s="20">
        <v>37397</v>
      </c>
      <c r="G289" s="16" t="str">
        <f t="shared" si="8"/>
        <v>May</v>
      </c>
      <c r="H289" s="2">
        <f t="shared" ca="1" si="9"/>
        <v>17</v>
      </c>
      <c r="I289" s="17" t="s">
        <v>71</v>
      </c>
      <c r="J289" s="18">
        <v>46548</v>
      </c>
      <c r="K289" s="19">
        <v>3</v>
      </c>
      <c r="N289" s="11" t="s">
        <v>1423</v>
      </c>
      <c r="O289" s="11" t="s">
        <v>49</v>
      </c>
      <c r="P289" s="11" t="s">
        <v>24</v>
      </c>
      <c r="Q289" s="11" t="s">
        <v>219</v>
      </c>
      <c r="R289" s="20">
        <f>(42180+(3*365))+112</f>
        <v>43387</v>
      </c>
      <c r="S289" s="17">
        <v>8</v>
      </c>
      <c r="T289" s="17">
        <v>3080</v>
      </c>
    </row>
    <row r="290" spans="1:20" x14ac:dyDescent="0.2">
      <c r="A290" s="11" t="s">
        <v>586</v>
      </c>
      <c r="B290" s="14" t="s">
        <v>27</v>
      </c>
      <c r="C290" s="11" t="s">
        <v>214</v>
      </c>
      <c r="D290" s="15">
        <v>475517002</v>
      </c>
      <c r="E290" s="11" t="s">
        <v>29</v>
      </c>
      <c r="F290" s="20">
        <v>39174</v>
      </c>
      <c r="G290" s="16" t="str">
        <f t="shared" si="8"/>
        <v>April</v>
      </c>
      <c r="H290" s="2">
        <f t="shared" ca="1" si="9"/>
        <v>12</v>
      </c>
      <c r="I290" s="17" t="s">
        <v>30</v>
      </c>
      <c r="J290" s="18">
        <v>92813</v>
      </c>
      <c r="K290" s="19">
        <v>1</v>
      </c>
      <c r="N290" s="11" t="s">
        <v>1185</v>
      </c>
      <c r="O290" s="11" t="s">
        <v>89</v>
      </c>
      <c r="P290" s="11" t="s">
        <v>24</v>
      </c>
      <c r="Q290" s="11" t="s">
        <v>219</v>
      </c>
      <c r="R290" s="20">
        <f>(42078+(3*365))+112</f>
        <v>43285</v>
      </c>
      <c r="S290" s="17">
        <v>4</v>
      </c>
      <c r="T290" s="17">
        <v>1645</v>
      </c>
    </row>
    <row r="291" spans="1:20" x14ac:dyDescent="0.2">
      <c r="A291" s="11" t="s">
        <v>950</v>
      </c>
      <c r="B291" s="14" t="s">
        <v>19</v>
      </c>
      <c r="C291" s="11" t="s">
        <v>254</v>
      </c>
      <c r="D291" s="15">
        <v>839899522</v>
      </c>
      <c r="E291" s="11" t="s">
        <v>29</v>
      </c>
      <c r="F291" s="20">
        <v>38825</v>
      </c>
      <c r="G291" s="16" t="str">
        <f t="shared" si="8"/>
        <v>April</v>
      </c>
      <c r="H291" s="2">
        <f t="shared" ca="1" si="9"/>
        <v>13</v>
      </c>
      <c r="I291" s="17" t="s">
        <v>47</v>
      </c>
      <c r="J291" s="18">
        <v>100616</v>
      </c>
      <c r="K291" s="19">
        <v>5</v>
      </c>
      <c r="N291" s="11" t="s">
        <v>814</v>
      </c>
      <c r="O291" s="11" t="s">
        <v>23</v>
      </c>
      <c r="P291" s="11" t="s">
        <v>33</v>
      </c>
      <c r="Q291" s="11" t="s">
        <v>219</v>
      </c>
      <c r="R291" s="20">
        <f>(41956+(3*365))+112</f>
        <v>43163</v>
      </c>
      <c r="S291" s="17">
        <v>4</v>
      </c>
      <c r="T291" s="17">
        <v>2170</v>
      </c>
    </row>
    <row r="292" spans="1:20" x14ac:dyDescent="0.2">
      <c r="A292" s="11" t="s">
        <v>988</v>
      </c>
      <c r="B292" s="14" t="s">
        <v>27</v>
      </c>
      <c r="C292" s="11" t="s">
        <v>254</v>
      </c>
      <c r="D292" s="15">
        <v>489013842</v>
      </c>
      <c r="E292" s="11" t="s">
        <v>80</v>
      </c>
      <c r="F292" s="20">
        <v>39551</v>
      </c>
      <c r="G292" s="16" t="str">
        <f t="shared" si="8"/>
        <v>April</v>
      </c>
      <c r="H292" s="2">
        <f t="shared" ca="1" si="9"/>
        <v>11</v>
      </c>
      <c r="I292" s="17" t="s">
        <v>30</v>
      </c>
      <c r="J292" s="18">
        <v>39157</v>
      </c>
      <c r="K292" s="19">
        <v>1</v>
      </c>
      <c r="N292" s="11" t="s">
        <v>909</v>
      </c>
      <c r="O292" s="11" t="s">
        <v>114</v>
      </c>
      <c r="P292" s="11" t="s">
        <v>40</v>
      </c>
      <c r="Q292" s="11" t="s">
        <v>25</v>
      </c>
      <c r="R292" s="20">
        <f>(41984+(3*365))+112</f>
        <v>43191</v>
      </c>
      <c r="S292" s="17">
        <v>15</v>
      </c>
      <c r="T292" s="17">
        <v>7545</v>
      </c>
    </row>
    <row r="293" spans="1:20" x14ac:dyDescent="0.2">
      <c r="A293" s="11" t="s">
        <v>1084</v>
      </c>
      <c r="B293" s="14" t="s">
        <v>36</v>
      </c>
      <c r="C293" s="11" t="s">
        <v>214</v>
      </c>
      <c r="D293" s="15">
        <v>523758324</v>
      </c>
      <c r="E293" s="11" t="s">
        <v>29</v>
      </c>
      <c r="F293" s="20">
        <v>38217</v>
      </c>
      <c r="G293" s="16" t="str">
        <f t="shared" si="8"/>
        <v>August</v>
      </c>
      <c r="H293" s="2">
        <f t="shared" ca="1" si="9"/>
        <v>14</v>
      </c>
      <c r="I293" s="17" t="s">
        <v>47</v>
      </c>
      <c r="J293" s="18">
        <v>80082</v>
      </c>
      <c r="K293" s="19">
        <v>4</v>
      </c>
      <c r="N293" s="11" t="s">
        <v>1620</v>
      </c>
      <c r="O293" s="11" t="s">
        <v>89</v>
      </c>
      <c r="P293" s="11" t="s">
        <v>65</v>
      </c>
      <c r="Q293" s="11" t="s">
        <v>41</v>
      </c>
      <c r="R293" s="20">
        <f>(42280+(3*365))+112</f>
        <v>43487</v>
      </c>
      <c r="S293" s="17">
        <v>9</v>
      </c>
      <c r="T293" s="17">
        <v>4660</v>
      </c>
    </row>
    <row r="294" spans="1:20" x14ac:dyDescent="0.2">
      <c r="A294" s="11" t="s">
        <v>382</v>
      </c>
      <c r="B294" s="14" t="s">
        <v>27</v>
      </c>
      <c r="C294" s="11" t="s">
        <v>59</v>
      </c>
      <c r="D294" s="15">
        <v>541365827</v>
      </c>
      <c r="E294" s="11" t="s">
        <v>29</v>
      </c>
      <c r="F294" s="20">
        <v>40991</v>
      </c>
      <c r="G294" s="16" t="str">
        <f t="shared" si="8"/>
        <v>March</v>
      </c>
      <c r="H294" s="2">
        <f t="shared" ca="1" si="9"/>
        <v>7</v>
      </c>
      <c r="I294" s="17" t="s">
        <v>38</v>
      </c>
      <c r="J294" s="18">
        <v>88506</v>
      </c>
      <c r="K294" s="19">
        <v>1</v>
      </c>
      <c r="N294" s="11" t="s">
        <v>1241</v>
      </c>
      <c r="O294" s="11" t="s">
        <v>78</v>
      </c>
      <c r="P294" s="11" t="s">
        <v>65</v>
      </c>
      <c r="Q294" s="11" t="s">
        <v>120</v>
      </c>
      <c r="R294" s="20">
        <f>(42104+(3*365))+112</f>
        <v>43311</v>
      </c>
      <c r="S294" s="17">
        <v>6</v>
      </c>
      <c r="T294" s="17">
        <v>2890</v>
      </c>
    </row>
    <row r="295" spans="1:20" x14ac:dyDescent="0.2">
      <c r="A295" s="11" t="s">
        <v>1156</v>
      </c>
      <c r="B295" s="14" t="s">
        <v>27</v>
      </c>
      <c r="C295" s="11" t="s">
        <v>136</v>
      </c>
      <c r="D295" s="15">
        <v>468234190</v>
      </c>
      <c r="E295" s="11" t="s">
        <v>29</v>
      </c>
      <c r="F295" s="20">
        <v>38025</v>
      </c>
      <c r="G295" s="16" t="str">
        <f t="shared" si="8"/>
        <v>February</v>
      </c>
      <c r="H295" s="2">
        <f t="shared" ca="1" si="9"/>
        <v>15</v>
      </c>
      <c r="I295" s="17" t="s">
        <v>71</v>
      </c>
      <c r="J295" s="18">
        <v>98064</v>
      </c>
      <c r="K295" s="19">
        <v>3</v>
      </c>
      <c r="N295" s="11" t="s">
        <v>1695</v>
      </c>
      <c r="O295" s="11" t="s">
        <v>49</v>
      </c>
      <c r="P295" s="11" t="s">
        <v>65</v>
      </c>
      <c r="Q295" s="11" t="s">
        <v>41</v>
      </c>
      <c r="R295" s="20">
        <f>(42344+(3*365))+112</f>
        <v>43551</v>
      </c>
      <c r="S295" s="17">
        <v>12</v>
      </c>
      <c r="T295" s="17">
        <v>5520</v>
      </c>
    </row>
    <row r="296" spans="1:20" x14ac:dyDescent="0.2">
      <c r="A296" s="11" t="s">
        <v>835</v>
      </c>
      <c r="B296" s="14" t="s">
        <v>19</v>
      </c>
      <c r="C296" s="11" t="s">
        <v>214</v>
      </c>
      <c r="D296" s="15">
        <v>775217609</v>
      </c>
      <c r="E296" s="11" t="s">
        <v>29</v>
      </c>
      <c r="F296" s="20">
        <v>37260</v>
      </c>
      <c r="G296" s="16" t="str">
        <f t="shared" si="8"/>
        <v>January</v>
      </c>
      <c r="H296" s="2">
        <f t="shared" ca="1" si="9"/>
        <v>17</v>
      </c>
      <c r="I296" s="17" t="s">
        <v>30</v>
      </c>
      <c r="J296" s="18">
        <v>33359</v>
      </c>
      <c r="K296" s="19">
        <v>2</v>
      </c>
      <c r="N296" s="11" t="s">
        <v>179</v>
      </c>
      <c r="O296" s="11" t="s">
        <v>89</v>
      </c>
      <c r="P296" s="11" t="s">
        <v>40</v>
      </c>
      <c r="Q296" s="11" t="s">
        <v>34</v>
      </c>
      <c r="R296" s="20">
        <f>(41689+(3*365))+112</f>
        <v>42896</v>
      </c>
      <c r="S296" s="17">
        <v>14</v>
      </c>
      <c r="T296" s="17">
        <v>4939</v>
      </c>
    </row>
    <row r="297" spans="1:20" x14ac:dyDescent="0.2">
      <c r="A297" s="11" t="s">
        <v>685</v>
      </c>
      <c r="B297" s="14" t="s">
        <v>83</v>
      </c>
      <c r="C297" s="11" t="s">
        <v>214</v>
      </c>
      <c r="D297" s="15">
        <v>725737456</v>
      </c>
      <c r="E297" s="11" t="s">
        <v>21</v>
      </c>
      <c r="F297" s="20">
        <v>41730</v>
      </c>
      <c r="G297" s="16" t="str">
        <f t="shared" si="8"/>
        <v>April</v>
      </c>
      <c r="H297" s="2">
        <f t="shared" ca="1" si="9"/>
        <v>5</v>
      </c>
      <c r="I297" s="17"/>
      <c r="J297" s="18">
        <v>80096</v>
      </c>
      <c r="K297" s="19">
        <v>4</v>
      </c>
      <c r="N297" s="11" t="s">
        <v>60</v>
      </c>
      <c r="O297" s="11" t="s">
        <v>54</v>
      </c>
      <c r="P297" s="11" t="s">
        <v>40</v>
      </c>
      <c r="Q297" s="11" t="s">
        <v>25</v>
      </c>
      <c r="R297" s="20">
        <f>(41650+(3*365))+112</f>
        <v>42857</v>
      </c>
      <c r="S297" s="17">
        <v>2</v>
      </c>
      <c r="T297" s="21">
        <v>1130</v>
      </c>
    </row>
    <row r="298" spans="1:20" x14ac:dyDescent="0.2">
      <c r="A298" s="11" t="s">
        <v>1346</v>
      </c>
      <c r="B298" s="14" t="s">
        <v>27</v>
      </c>
      <c r="C298" s="11" t="s">
        <v>86</v>
      </c>
      <c r="D298" s="15">
        <v>479081328</v>
      </c>
      <c r="E298" s="11" t="s">
        <v>21</v>
      </c>
      <c r="F298" s="20">
        <v>38538</v>
      </c>
      <c r="G298" s="16" t="str">
        <f t="shared" si="8"/>
        <v>July</v>
      </c>
      <c r="H298" s="2">
        <f t="shared" ca="1" si="9"/>
        <v>13</v>
      </c>
      <c r="I298" s="17"/>
      <c r="J298" s="18">
        <v>86198</v>
      </c>
      <c r="K298" s="19">
        <v>2</v>
      </c>
      <c r="N298" s="11" t="s">
        <v>1117</v>
      </c>
      <c r="O298" s="11" t="s">
        <v>89</v>
      </c>
      <c r="P298" s="11" t="s">
        <v>24</v>
      </c>
      <c r="Q298" s="11" t="s">
        <v>25</v>
      </c>
      <c r="R298" s="20">
        <f>(42042+(3*365))+112</f>
        <v>43249</v>
      </c>
      <c r="S298" s="17">
        <v>14</v>
      </c>
      <c r="T298" s="17">
        <v>8230</v>
      </c>
    </row>
    <row r="299" spans="1:20" x14ac:dyDescent="0.2">
      <c r="A299" s="11" t="s">
        <v>980</v>
      </c>
      <c r="B299" s="14" t="s">
        <v>83</v>
      </c>
      <c r="C299" s="11" t="s">
        <v>254</v>
      </c>
      <c r="D299" s="15">
        <v>213741822</v>
      </c>
      <c r="E299" s="11" t="s">
        <v>21</v>
      </c>
      <c r="F299" s="20">
        <v>38777</v>
      </c>
      <c r="G299" s="16" t="str">
        <f t="shared" si="8"/>
        <v>March</v>
      </c>
      <c r="H299" s="2">
        <f t="shared" ca="1" si="9"/>
        <v>13</v>
      </c>
      <c r="I299" s="17"/>
      <c r="J299" s="18">
        <v>85496</v>
      </c>
      <c r="K299" s="19">
        <v>4</v>
      </c>
      <c r="N299" s="11" t="s">
        <v>945</v>
      </c>
      <c r="O299" s="11" t="s">
        <v>78</v>
      </c>
      <c r="P299" s="11" t="s">
        <v>33</v>
      </c>
      <c r="Q299" s="11" t="s">
        <v>34</v>
      </c>
      <c r="R299" s="20">
        <f>(41998+(3*365))+112</f>
        <v>43205</v>
      </c>
      <c r="S299" s="17">
        <v>19</v>
      </c>
      <c r="T299" s="17">
        <v>9140</v>
      </c>
    </row>
    <row r="300" spans="1:20" x14ac:dyDescent="0.2">
      <c r="A300" s="11" t="s">
        <v>1338</v>
      </c>
      <c r="B300" s="14" t="s">
        <v>27</v>
      </c>
      <c r="C300" s="11" t="s">
        <v>145</v>
      </c>
      <c r="D300" s="15">
        <v>135633006</v>
      </c>
      <c r="E300" s="11" t="s">
        <v>21</v>
      </c>
      <c r="F300" s="20">
        <v>39335</v>
      </c>
      <c r="G300" s="16" t="str">
        <f t="shared" si="8"/>
        <v>September</v>
      </c>
      <c r="H300" s="2">
        <f t="shared" ca="1" si="9"/>
        <v>11</v>
      </c>
      <c r="I300" s="17"/>
      <c r="J300" s="18">
        <v>74034</v>
      </c>
      <c r="K300" s="19">
        <v>4</v>
      </c>
      <c r="N300" s="11" t="s">
        <v>39</v>
      </c>
      <c r="O300" s="11" t="s">
        <v>32</v>
      </c>
      <c r="P300" s="11" t="s">
        <v>40</v>
      </c>
      <c r="Q300" s="11" t="s">
        <v>41</v>
      </c>
      <c r="R300" s="20">
        <f>(41645+(3*365))+112</f>
        <v>42852</v>
      </c>
      <c r="S300" s="17">
        <v>7</v>
      </c>
      <c r="T300" s="21">
        <v>2100</v>
      </c>
    </row>
    <row r="301" spans="1:20" x14ac:dyDescent="0.2">
      <c r="A301" s="11" t="s">
        <v>1026</v>
      </c>
      <c r="B301" s="14" t="s">
        <v>19</v>
      </c>
      <c r="C301" s="11" t="s">
        <v>28</v>
      </c>
      <c r="D301" s="15">
        <v>943671719</v>
      </c>
      <c r="E301" s="11" t="s">
        <v>29</v>
      </c>
      <c r="F301" s="20">
        <v>38305</v>
      </c>
      <c r="G301" s="16" t="str">
        <f t="shared" si="8"/>
        <v>November</v>
      </c>
      <c r="H301" s="2">
        <f t="shared" ca="1" si="9"/>
        <v>14</v>
      </c>
      <c r="I301" s="17" t="s">
        <v>30</v>
      </c>
      <c r="J301" s="18">
        <v>30942</v>
      </c>
      <c r="K301" s="19">
        <v>3</v>
      </c>
      <c r="N301" s="11" t="s">
        <v>503</v>
      </c>
      <c r="O301" s="11" t="s">
        <v>54</v>
      </c>
      <c r="P301" s="11" t="s">
        <v>40</v>
      </c>
      <c r="Q301" s="11" t="s">
        <v>34</v>
      </c>
      <c r="R301" s="20">
        <f>(41830+(3*365))+112</f>
        <v>43037</v>
      </c>
      <c r="S301" s="17">
        <v>15</v>
      </c>
      <c r="T301" s="17">
        <v>8010</v>
      </c>
    </row>
    <row r="302" spans="1:20" x14ac:dyDescent="0.2">
      <c r="A302" s="11" t="s">
        <v>477</v>
      </c>
      <c r="B302" s="14" t="s">
        <v>83</v>
      </c>
      <c r="C302" s="11" t="s">
        <v>478</v>
      </c>
      <c r="D302" s="15">
        <v>742946482</v>
      </c>
      <c r="E302" s="11" t="s">
        <v>29</v>
      </c>
      <c r="F302" s="20">
        <v>36688</v>
      </c>
      <c r="G302" s="16" t="str">
        <f t="shared" si="8"/>
        <v>June</v>
      </c>
      <c r="H302" s="2">
        <f t="shared" ca="1" si="9"/>
        <v>18</v>
      </c>
      <c r="I302" s="17" t="s">
        <v>47</v>
      </c>
      <c r="J302" s="18">
        <v>52866</v>
      </c>
      <c r="K302" s="19">
        <v>3</v>
      </c>
      <c r="N302" s="11" t="s">
        <v>1591</v>
      </c>
      <c r="O302" s="11" t="s">
        <v>49</v>
      </c>
      <c r="P302" s="11" t="s">
        <v>33</v>
      </c>
      <c r="Q302" s="11" t="s">
        <v>41</v>
      </c>
      <c r="R302" s="20">
        <f>(42256+(3*365))+112</f>
        <v>43463</v>
      </c>
      <c r="S302" s="17">
        <v>1</v>
      </c>
      <c r="T302" s="17">
        <v>380</v>
      </c>
    </row>
    <row r="303" spans="1:20" x14ac:dyDescent="0.2">
      <c r="A303" s="11" t="s">
        <v>853</v>
      </c>
      <c r="B303" s="14" t="s">
        <v>43</v>
      </c>
      <c r="C303" s="11" t="s">
        <v>86</v>
      </c>
      <c r="D303" s="15">
        <v>422929693</v>
      </c>
      <c r="E303" s="11" t="s">
        <v>29</v>
      </c>
      <c r="F303" s="20">
        <v>39518</v>
      </c>
      <c r="G303" s="16" t="str">
        <f t="shared" si="8"/>
        <v>March</v>
      </c>
      <c r="H303" s="2">
        <f t="shared" ca="1" si="9"/>
        <v>11</v>
      </c>
      <c r="I303" s="17" t="s">
        <v>30</v>
      </c>
      <c r="J303" s="18">
        <v>70862</v>
      </c>
      <c r="K303" s="19">
        <v>4</v>
      </c>
      <c r="N303" s="11" t="s">
        <v>1485</v>
      </c>
      <c r="O303" s="11" t="s">
        <v>45</v>
      </c>
      <c r="P303" s="11" t="s">
        <v>33</v>
      </c>
      <c r="Q303" s="11" t="s">
        <v>25</v>
      </c>
      <c r="R303" s="20">
        <f>(42200+(3*365))+112</f>
        <v>43407</v>
      </c>
      <c r="S303" s="17">
        <v>8</v>
      </c>
      <c r="T303" s="17">
        <v>4390</v>
      </c>
    </row>
    <row r="304" spans="1:20" x14ac:dyDescent="0.2">
      <c r="A304" s="11" t="s">
        <v>1072</v>
      </c>
      <c r="B304" s="14" t="s">
        <v>27</v>
      </c>
      <c r="C304" s="11" t="s">
        <v>136</v>
      </c>
      <c r="D304" s="15">
        <v>945160038</v>
      </c>
      <c r="E304" s="11" t="s">
        <v>29</v>
      </c>
      <c r="F304" s="20">
        <v>40557</v>
      </c>
      <c r="G304" s="16" t="str">
        <f t="shared" si="8"/>
        <v>January</v>
      </c>
      <c r="H304" s="2">
        <f t="shared" ca="1" si="9"/>
        <v>8</v>
      </c>
      <c r="I304" s="17" t="s">
        <v>87</v>
      </c>
      <c r="J304" s="18">
        <v>31806</v>
      </c>
      <c r="K304" s="19">
        <v>3</v>
      </c>
      <c r="N304" s="11" t="s">
        <v>1279</v>
      </c>
      <c r="O304" s="11" t="s">
        <v>89</v>
      </c>
      <c r="P304" s="11" t="s">
        <v>40</v>
      </c>
      <c r="Q304" s="11" t="s">
        <v>25</v>
      </c>
      <c r="R304" s="20">
        <f>(42124+(3*365))+112</f>
        <v>43331</v>
      </c>
      <c r="S304" s="17">
        <v>6</v>
      </c>
      <c r="T304" s="17">
        <v>2335</v>
      </c>
    </row>
    <row r="305" spans="1:20" x14ac:dyDescent="0.2">
      <c r="A305" s="11" t="s">
        <v>490</v>
      </c>
      <c r="B305" s="14" t="s">
        <v>27</v>
      </c>
      <c r="C305" s="11" t="s">
        <v>249</v>
      </c>
      <c r="D305" s="15">
        <v>468953266</v>
      </c>
      <c r="E305" s="11" t="s">
        <v>29</v>
      </c>
      <c r="F305" s="20">
        <v>36597</v>
      </c>
      <c r="G305" s="16" t="str">
        <f t="shared" si="8"/>
        <v>March</v>
      </c>
      <c r="H305" s="2">
        <f t="shared" ca="1" si="9"/>
        <v>19</v>
      </c>
      <c r="I305" s="17" t="s">
        <v>47</v>
      </c>
      <c r="J305" s="18">
        <v>65543</v>
      </c>
      <c r="K305" s="19">
        <v>5</v>
      </c>
      <c r="N305" s="11" t="s">
        <v>442</v>
      </c>
      <c r="O305" s="11" t="s">
        <v>54</v>
      </c>
      <c r="P305" s="11" t="s">
        <v>40</v>
      </c>
      <c r="Q305" s="11" t="s">
        <v>41</v>
      </c>
      <c r="R305" s="20">
        <f>(41806+(3*365))+112</f>
        <v>43013</v>
      </c>
      <c r="S305" s="17">
        <v>6</v>
      </c>
      <c r="T305" s="17">
        <v>2340</v>
      </c>
    </row>
    <row r="306" spans="1:20" x14ac:dyDescent="0.2">
      <c r="A306" s="11" t="s">
        <v>693</v>
      </c>
      <c r="B306" s="14" t="s">
        <v>19</v>
      </c>
      <c r="C306" s="11" t="s">
        <v>214</v>
      </c>
      <c r="D306" s="15">
        <v>220781349</v>
      </c>
      <c r="E306" s="11" t="s">
        <v>21</v>
      </c>
      <c r="F306" s="20">
        <v>37005</v>
      </c>
      <c r="G306" s="16" t="str">
        <f t="shared" si="8"/>
        <v>April</v>
      </c>
      <c r="H306" s="2">
        <f t="shared" ca="1" si="9"/>
        <v>18</v>
      </c>
      <c r="I306" s="17"/>
      <c r="J306" s="18">
        <v>61790</v>
      </c>
      <c r="K306" s="19">
        <v>5</v>
      </c>
      <c r="N306" s="11" t="s">
        <v>1163</v>
      </c>
      <c r="O306" s="11" t="s">
        <v>75</v>
      </c>
      <c r="P306" s="11" t="s">
        <v>65</v>
      </c>
      <c r="Q306" s="11" t="s">
        <v>25</v>
      </c>
      <c r="R306" s="20">
        <f>(42064+(3*365))+112</f>
        <v>43271</v>
      </c>
      <c r="S306" s="17">
        <v>11</v>
      </c>
      <c r="T306" s="17">
        <v>5755</v>
      </c>
    </row>
    <row r="307" spans="1:20" x14ac:dyDescent="0.2">
      <c r="A307" s="11" t="s">
        <v>106</v>
      </c>
      <c r="B307" s="14" t="s">
        <v>43</v>
      </c>
      <c r="C307" s="11" t="s">
        <v>104</v>
      </c>
      <c r="D307" s="15">
        <v>278431222</v>
      </c>
      <c r="E307" s="11" t="s">
        <v>29</v>
      </c>
      <c r="F307" s="20">
        <v>39749</v>
      </c>
      <c r="G307" s="16" t="str">
        <f t="shared" si="8"/>
        <v>October</v>
      </c>
      <c r="H307" s="2">
        <f t="shared" ca="1" si="9"/>
        <v>10</v>
      </c>
      <c r="I307" s="17" t="s">
        <v>30</v>
      </c>
      <c r="J307" s="18">
        <v>45414</v>
      </c>
      <c r="K307" s="19">
        <v>3</v>
      </c>
      <c r="N307" s="11" t="s">
        <v>1493</v>
      </c>
      <c r="O307" s="11" t="s">
        <v>32</v>
      </c>
      <c r="P307" s="11" t="s">
        <v>65</v>
      </c>
      <c r="Q307" s="11" t="s">
        <v>41</v>
      </c>
      <c r="R307" s="20">
        <f>(42201+(3*365))+112</f>
        <v>43408</v>
      </c>
      <c r="S307" s="17">
        <v>15</v>
      </c>
      <c r="T307" s="17">
        <v>6750</v>
      </c>
    </row>
    <row r="308" spans="1:20" x14ac:dyDescent="0.2">
      <c r="A308" s="11" t="s">
        <v>510</v>
      </c>
      <c r="B308" s="14" t="s">
        <v>43</v>
      </c>
      <c r="C308" s="11" t="s">
        <v>214</v>
      </c>
      <c r="D308" s="15">
        <v>353414196</v>
      </c>
      <c r="E308" s="11" t="s">
        <v>29</v>
      </c>
      <c r="F308" s="20">
        <v>39554</v>
      </c>
      <c r="G308" s="16" t="str">
        <f t="shared" si="8"/>
        <v>April</v>
      </c>
      <c r="H308" s="2">
        <f t="shared" ca="1" si="9"/>
        <v>11</v>
      </c>
      <c r="I308" s="17" t="s">
        <v>38</v>
      </c>
      <c r="J308" s="18">
        <v>31928</v>
      </c>
      <c r="K308" s="19">
        <v>1</v>
      </c>
      <c r="N308" s="11" t="s">
        <v>1133</v>
      </c>
      <c r="O308" s="11" t="s">
        <v>54</v>
      </c>
      <c r="P308" s="11" t="s">
        <v>33</v>
      </c>
      <c r="Q308" s="11" t="s">
        <v>34</v>
      </c>
      <c r="R308" s="20">
        <f>(42053+(3*365))+112</f>
        <v>43260</v>
      </c>
      <c r="S308" s="17">
        <v>14</v>
      </c>
      <c r="T308" s="17">
        <v>4216</v>
      </c>
    </row>
    <row r="309" spans="1:20" x14ac:dyDescent="0.2">
      <c r="A309" s="11" t="s">
        <v>1198</v>
      </c>
      <c r="B309" s="14" t="s">
        <v>19</v>
      </c>
      <c r="C309" s="11" t="s">
        <v>136</v>
      </c>
      <c r="D309" s="15">
        <v>959750235</v>
      </c>
      <c r="E309" s="11" t="s">
        <v>29</v>
      </c>
      <c r="F309" s="20">
        <v>42993</v>
      </c>
      <c r="G309" s="16" t="str">
        <f t="shared" si="8"/>
        <v>September</v>
      </c>
      <c r="H309" s="2">
        <f t="shared" ca="1" si="9"/>
        <v>1</v>
      </c>
      <c r="I309" s="17" t="s">
        <v>47</v>
      </c>
      <c r="J309" s="18">
        <v>73157</v>
      </c>
      <c r="K309" s="19">
        <v>4</v>
      </c>
      <c r="N309" s="11" t="s">
        <v>1019</v>
      </c>
      <c r="O309" s="11" t="s">
        <v>45</v>
      </c>
      <c r="P309" s="11" t="s">
        <v>33</v>
      </c>
      <c r="Q309" s="11" t="s">
        <v>34</v>
      </c>
      <c r="R309" s="20">
        <f>(42015+(3*365))+112</f>
        <v>43222</v>
      </c>
      <c r="S309" s="17">
        <v>16</v>
      </c>
      <c r="T309" s="17">
        <v>9185</v>
      </c>
    </row>
    <row r="310" spans="1:20" x14ac:dyDescent="0.2">
      <c r="A310" s="11" t="s">
        <v>211</v>
      </c>
      <c r="B310" s="14" t="s">
        <v>27</v>
      </c>
      <c r="C310" s="11" t="s">
        <v>20</v>
      </c>
      <c r="D310" s="15">
        <v>349979288</v>
      </c>
      <c r="E310" s="11" t="s">
        <v>29</v>
      </c>
      <c r="F310" s="20">
        <v>39874</v>
      </c>
      <c r="G310" s="16" t="str">
        <f t="shared" si="8"/>
        <v>March</v>
      </c>
      <c r="H310" s="2">
        <f t="shared" ca="1" si="9"/>
        <v>10</v>
      </c>
      <c r="I310" s="17" t="s">
        <v>30</v>
      </c>
      <c r="J310" s="18">
        <v>38678</v>
      </c>
      <c r="K310" s="19">
        <v>4</v>
      </c>
      <c r="N310" s="11" t="s">
        <v>1463</v>
      </c>
      <c r="O310" s="11" t="s">
        <v>54</v>
      </c>
      <c r="P310" s="11" t="s">
        <v>24</v>
      </c>
      <c r="Q310" s="11" t="s">
        <v>219</v>
      </c>
      <c r="R310" s="20">
        <f>(42192+(3*365))+112</f>
        <v>43399</v>
      </c>
      <c r="S310" s="17">
        <v>3</v>
      </c>
      <c r="T310" s="17">
        <v>1505</v>
      </c>
    </row>
    <row r="311" spans="1:20" x14ac:dyDescent="0.2">
      <c r="A311" s="11" t="s">
        <v>1538</v>
      </c>
      <c r="B311" s="14" t="s">
        <v>19</v>
      </c>
      <c r="C311" s="11" t="s">
        <v>152</v>
      </c>
      <c r="D311" s="15">
        <v>308317457</v>
      </c>
      <c r="E311" s="11" t="s">
        <v>29</v>
      </c>
      <c r="F311" s="20">
        <v>43536</v>
      </c>
      <c r="G311" s="16" t="str">
        <f t="shared" si="8"/>
        <v>March</v>
      </c>
      <c r="H311" s="2">
        <f t="shared" ca="1" si="9"/>
        <v>0</v>
      </c>
      <c r="I311" s="17" t="s">
        <v>47</v>
      </c>
      <c r="J311" s="18">
        <v>31091</v>
      </c>
      <c r="K311" s="19">
        <v>4</v>
      </c>
      <c r="N311" s="11" t="s">
        <v>1223</v>
      </c>
      <c r="O311" s="11" t="s">
        <v>125</v>
      </c>
      <c r="P311" s="11" t="s">
        <v>65</v>
      </c>
      <c r="Q311" s="11" t="s">
        <v>41</v>
      </c>
      <c r="R311" s="20">
        <f>(42097+(3*365))+112</f>
        <v>43304</v>
      </c>
      <c r="S311" s="17">
        <v>6</v>
      </c>
      <c r="T311" s="17">
        <v>2640</v>
      </c>
    </row>
    <row r="312" spans="1:20" x14ac:dyDescent="0.2">
      <c r="A312" s="11" t="s">
        <v>914</v>
      </c>
      <c r="B312" s="14" t="s">
        <v>43</v>
      </c>
      <c r="C312" s="11" t="s">
        <v>254</v>
      </c>
      <c r="D312" s="15">
        <v>972791650</v>
      </c>
      <c r="E312" s="11" t="s">
        <v>80</v>
      </c>
      <c r="F312" s="20">
        <v>40326</v>
      </c>
      <c r="G312" s="16" t="str">
        <f t="shared" si="8"/>
        <v>May</v>
      </c>
      <c r="H312" s="2">
        <f t="shared" ca="1" si="9"/>
        <v>9</v>
      </c>
      <c r="I312" s="17" t="s">
        <v>47</v>
      </c>
      <c r="J312" s="18">
        <v>45644</v>
      </c>
      <c r="K312" s="19">
        <v>5</v>
      </c>
      <c r="N312" s="11" t="s">
        <v>1275</v>
      </c>
      <c r="O312" s="11" t="s">
        <v>64</v>
      </c>
      <c r="P312" s="11" t="s">
        <v>40</v>
      </c>
      <c r="Q312" s="11" t="s">
        <v>120</v>
      </c>
      <c r="R312" s="20">
        <f>(42122+(3*365))+112</f>
        <v>43329</v>
      </c>
      <c r="S312" s="17">
        <v>10</v>
      </c>
      <c r="T312" s="17">
        <v>3400</v>
      </c>
    </row>
    <row r="313" spans="1:20" x14ac:dyDescent="0.2">
      <c r="A313" s="11" t="s">
        <v>1130</v>
      </c>
      <c r="B313" s="14" t="s">
        <v>27</v>
      </c>
      <c r="C313" s="11" t="s">
        <v>136</v>
      </c>
      <c r="D313" s="15">
        <v>449987941</v>
      </c>
      <c r="E313" s="11" t="s">
        <v>29</v>
      </c>
      <c r="F313" s="20">
        <v>43333</v>
      </c>
      <c r="G313" s="16" t="str">
        <f t="shared" si="8"/>
        <v>August</v>
      </c>
      <c r="H313" s="2">
        <f t="shared" ca="1" si="9"/>
        <v>0</v>
      </c>
      <c r="I313" s="17" t="s">
        <v>38</v>
      </c>
      <c r="J313" s="18">
        <v>85328</v>
      </c>
      <c r="K313" s="19">
        <v>1</v>
      </c>
      <c r="N313" s="11" t="s">
        <v>674</v>
      </c>
      <c r="O313" s="11" t="s">
        <v>45</v>
      </c>
      <c r="P313" s="11" t="s">
        <v>33</v>
      </c>
      <c r="Q313" s="11" t="s">
        <v>41</v>
      </c>
      <c r="R313" s="20">
        <f>(41897+(3*365))+112</f>
        <v>43104</v>
      </c>
      <c r="S313" s="17">
        <v>5</v>
      </c>
      <c r="T313" s="17">
        <v>1875</v>
      </c>
    </row>
    <row r="314" spans="1:20" x14ac:dyDescent="0.2">
      <c r="A314" s="4" t="s">
        <v>1314</v>
      </c>
      <c r="B314" s="14" t="s">
        <v>27</v>
      </c>
      <c r="C314" s="11" t="s">
        <v>214</v>
      </c>
      <c r="D314" s="15">
        <v>597131266</v>
      </c>
      <c r="E314" s="11" t="s">
        <v>29</v>
      </c>
      <c r="F314" s="20">
        <v>38559</v>
      </c>
      <c r="G314" s="16" t="str">
        <f t="shared" si="8"/>
        <v>July</v>
      </c>
      <c r="H314" s="2">
        <f t="shared" ca="1" si="9"/>
        <v>13</v>
      </c>
      <c r="I314" s="17" t="s">
        <v>87</v>
      </c>
      <c r="J314" s="18">
        <v>89681</v>
      </c>
      <c r="K314" s="19">
        <v>2</v>
      </c>
      <c r="N314" s="11" t="s">
        <v>1399</v>
      </c>
      <c r="O314" s="11" t="s">
        <v>78</v>
      </c>
      <c r="P314" s="11" t="s">
        <v>33</v>
      </c>
      <c r="Q314" s="11" t="s">
        <v>34</v>
      </c>
      <c r="R314" s="20">
        <f>(42168+(3*365))+112</f>
        <v>43375</v>
      </c>
      <c r="S314" s="17">
        <v>11</v>
      </c>
      <c r="T314" s="17">
        <v>4666</v>
      </c>
    </row>
    <row r="315" spans="1:20" x14ac:dyDescent="0.2">
      <c r="A315" s="11" t="s">
        <v>154</v>
      </c>
      <c r="B315" s="14" t="s">
        <v>19</v>
      </c>
      <c r="C315" s="11" t="s">
        <v>152</v>
      </c>
      <c r="D315" s="15">
        <v>918436287</v>
      </c>
      <c r="E315" s="11" t="s">
        <v>21</v>
      </c>
      <c r="F315" s="20">
        <v>36049</v>
      </c>
      <c r="G315" s="16" t="str">
        <f t="shared" si="8"/>
        <v>September</v>
      </c>
      <c r="H315" s="2">
        <f t="shared" ca="1" si="9"/>
        <v>20</v>
      </c>
      <c r="I315" s="17"/>
      <c r="J315" s="18">
        <v>85874</v>
      </c>
      <c r="K315" s="19">
        <v>5</v>
      </c>
      <c r="N315" s="11" t="s">
        <v>987</v>
      </c>
      <c r="O315" s="23" t="s">
        <v>49</v>
      </c>
      <c r="P315" s="23" t="s">
        <v>24</v>
      </c>
      <c r="Q315" s="23" t="s">
        <v>219</v>
      </c>
      <c r="R315" s="20">
        <f>(42006+(3*365))+112</f>
        <v>43213</v>
      </c>
      <c r="S315" s="21">
        <v>8</v>
      </c>
      <c r="T315" s="21">
        <v>3950</v>
      </c>
    </row>
    <row r="316" spans="1:20" x14ac:dyDescent="0.2">
      <c r="A316" s="11" t="s">
        <v>602</v>
      </c>
      <c r="B316" s="14" t="s">
        <v>43</v>
      </c>
      <c r="C316" s="11" t="s">
        <v>152</v>
      </c>
      <c r="D316" s="15">
        <v>610340294</v>
      </c>
      <c r="E316" s="11" t="s">
        <v>21</v>
      </c>
      <c r="F316" s="20">
        <v>36676</v>
      </c>
      <c r="G316" s="16" t="str">
        <f t="shared" si="8"/>
        <v>May</v>
      </c>
      <c r="H316" s="2">
        <f t="shared" ca="1" si="9"/>
        <v>19</v>
      </c>
      <c r="I316" s="17"/>
      <c r="J316" s="18">
        <v>94905</v>
      </c>
      <c r="K316" s="19">
        <v>3</v>
      </c>
      <c r="N316" s="11" t="s">
        <v>1003</v>
      </c>
      <c r="O316" s="11" t="s">
        <v>125</v>
      </c>
      <c r="P316" s="11" t="s">
        <v>24</v>
      </c>
      <c r="Q316" s="11" t="s">
        <v>34</v>
      </c>
      <c r="R316" s="20">
        <f>(42008+(3*365))+112</f>
        <v>43215</v>
      </c>
      <c r="S316" s="17">
        <v>18</v>
      </c>
      <c r="T316" s="17">
        <v>10191</v>
      </c>
    </row>
    <row r="317" spans="1:20" x14ac:dyDescent="0.2">
      <c r="A317" s="11" t="s">
        <v>743</v>
      </c>
      <c r="B317" s="14" t="s">
        <v>43</v>
      </c>
      <c r="C317" s="11" t="s">
        <v>478</v>
      </c>
      <c r="D317" s="15">
        <v>292006053</v>
      </c>
      <c r="E317" s="11" t="s">
        <v>21</v>
      </c>
      <c r="F317" s="20">
        <v>39621</v>
      </c>
      <c r="G317" s="16" t="str">
        <f t="shared" si="8"/>
        <v>June</v>
      </c>
      <c r="H317" s="2">
        <f t="shared" ca="1" si="9"/>
        <v>10</v>
      </c>
      <c r="I317" s="17"/>
      <c r="J317" s="18">
        <v>100575</v>
      </c>
      <c r="K317" s="19">
        <v>4</v>
      </c>
      <c r="N317" s="11" t="s">
        <v>1509</v>
      </c>
      <c r="O317" s="11" t="s">
        <v>114</v>
      </c>
      <c r="P317" s="11" t="s">
        <v>33</v>
      </c>
      <c r="Q317" s="11" t="s">
        <v>219</v>
      </c>
      <c r="R317" s="20">
        <f>(42209+(3*365))+112</f>
        <v>43416</v>
      </c>
      <c r="S317" s="17">
        <v>2</v>
      </c>
      <c r="T317" s="17">
        <v>620</v>
      </c>
    </row>
    <row r="318" spans="1:20" x14ac:dyDescent="0.2">
      <c r="A318" s="11" t="s">
        <v>972</v>
      </c>
      <c r="B318" s="14" t="s">
        <v>51</v>
      </c>
      <c r="C318" s="11" t="s">
        <v>254</v>
      </c>
      <c r="D318" s="15">
        <v>551132018</v>
      </c>
      <c r="E318" s="11" t="s">
        <v>29</v>
      </c>
      <c r="F318" s="20">
        <v>43226</v>
      </c>
      <c r="G318" s="16" t="str">
        <f t="shared" si="8"/>
        <v>May</v>
      </c>
      <c r="H318" s="2">
        <f t="shared" ca="1" si="9"/>
        <v>1</v>
      </c>
      <c r="I318" s="17" t="s">
        <v>47</v>
      </c>
      <c r="J318" s="18">
        <v>90234</v>
      </c>
      <c r="K318" s="19">
        <v>4</v>
      </c>
      <c r="N318" s="11" t="s">
        <v>611</v>
      </c>
      <c r="O318" s="11" t="s">
        <v>32</v>
      </c>
      <c r="P318" s="11" t="s">
        <v>33</v>
      </c>
      <c r="Q318" s="11" t="s">
        <v>120</v>
      </c>
      <c r="R318" s="20">
        <f>(41873+(3*365))+112</f>
        <v>43080</v>
      </c>
      <c r="S318" s="17">
        <v>1</v>
      </c>
      <c r="T318" s="17">
        <v>360</v>
      </c>
    </row>
    <row r="319" spans="1:20" x14ac:dyDescent="0.2">
      <c r="A319" s="11" t="s">
        <v>560</v>
      </c>
      <c r="B319" s="14" t="s">
        <v>27</v>
      </c>
      <c r="C319" s="11" t="s">
        <v>214</v>
      </c>
      <c r="D319" s="15">
        <v>725801036</v>
      </c>
      <c r="E319" s="11" t="s">
        <v>21</v>
      </c>
      <c r="F319" s="20">
        <v>38828</v>
      </c>
      <c r="G319" s="16" t="str">
        <f t="shared" si="8"/>
        <v>April</v>
      </c>
      <c r="H319" s="2">
        <f t="shared" ca="1" si="9"/>
        <v>13</v>
      </c>
      <c r="I319" s="17"/>
      <c r="J319" s="18">
        <v>96809</v>
      </c>
      <c r="K319" s="19">
        <v>5</v>
      </c>
      <c r="N319" s="11" t="s">
        <v>216</v>
      </c>
      <c r="O319" s="11" t="s">
        <v>78</v>
      </c>
      <c r="P319" s="11" t="s">
        <v>65</v>
      </c>
      <c r="Q319" s="11" t="s">
        <v>41</v>
      </c>
      <c r="R319" s="20">
        <f>(41707+(3*365))+112</f>
        <v>42914</v>
      </c>
      <c r="S319" s="17">
        <v>11</v>
      </c>
      <c r="T319" s="21">
        <v>4630</v>
      </c>
    </row>
    <row r="320" spans="1:20" x14ac:dyDescent="0.2">
      <c r="A320" s="11" t="s">
        <v>200</v>
      </c>
      <c r="B320" s="14" t="s">
        <v>36</v>
      </c>
      <c r="C320" s="11" t="s">
        <v>20</v>
      </c>
      <c r="D320" s="15">
        <v>867671341</v>
      </c>
      <c r="E320" s="11" t="s">
        <v>80</v>
      </c>
      <c r="F320" s="20">
        <v>39752</v>
      </c>
      <c r="G320" s="16" t="str">
        <f t="shared" si="8"/>
        <v>October</v>
      </c>
      <c r="H320" s="2">
        <f t="shared" ca="1" si="9"/>
        <v>10</v>
      </c>
      <c r="I320" s="17" t="s">
        <v>47</v>
      </c>
      <c r="J320" s="18">
        <v>47628</v>
      </c>
      <c r="K320" s="19">
        <v>3</v>
      </c>
      <c r="N320" s="11" t="s">
        <v>654</v>
      </c>
      <c r="O320" s="11" t="s">
        <v>49</v>
      </c>
      <c r="P320" s="11" t="s">
        <v>40</v>
      </c>
      <c r="Q320" s="11" t="s">
        <v>219</v>
      </c>
      <c r="R320" s="20">
        <f>(41892+(3*365))+112</f>
        <v>43099</v>
      </c>
      <c r="S320" s="17">
        <v>4</v>
      </c>
      <c r="T320" s="17">
        <v>2110</v>
      </c>
    </row>
    <row r="321" spans="1:20" x14ac:dyDescent="0.2">
      <c r="A321" s="11" t="s">
        <v>217</v>
      </c>
      <c r="B321" s="14" t="s">
        <v>19</v>
      </c>
      <c r="C321" s="11" t="s">
        <v>20</v>
      </c>
      <c r="D321" s="15">
        <v>639314672</v>
      </c>
      <c r="E321" s="11" t="s">
        <v>80</v>
      </c>
      <c r="F321" s="20">
        <v>38698</v>
      </c>
      <c r="G321" s="16" t="str">
        <f t="shared" si="8"/>
        <v>December</v>
      </c>
      <c r="H321" s="2">
        <f t="shared" ca="1" si="9"/>
        <v>13</v>
      </c>
      <c r="I321" s="17" t="s">
        <v>71</v>
      </c>
      <c r="J321" s="18">
        <v>31563</v>
      </c>
      <c r="K321" s="19">
        <v>4</v>
      </c>
      <c r="N321" s="11" t="s">
        <v>1449</v>
      </c>
      <c r="O321" s="11" t="s">
        <v>114</v>
      </c>
      <c r="P321" s="11" t="s">
        <v>33</v>
      </c>
      <c r="Q321" s="11" t="s">
        <v>34</v>
      </c>
      <c r="R321" s="20">
        <f>(42187+(3*365))+112</f>
        <v>43394</v>
      </c>
      <c r="S321" s="17">
        <v>10</v>
      </c>
      <c r="T321" s="17">
        <v>3980</v>
      </c>
    </row>
    <row r="322" spans="1:20" x14ac:dyDescent="0.2">
      <c r="A322" s="11" t="s">
        <v>1096</v>
      </c>
      <c r="B322" s="14" t="s">
        <v>43</v>
      </c>
      <c r="C322" s="11" t="s">
        <v>86</v>
      </c>
      <c r="D322" s="15">
        <v>917714039</v>
      </c>
      <c r="E322" s="11" t="s">
        <v>29</v>
      </c>
      <c r="F322" s="20">
        <v>38076</v>
      </c>
      <c r="G322" s="16" t="str">
        <f t="shared" ref="G322:G385" si="10">CHOOSE(MONTH(F322),"January","February","March","April","May","June","July","August","September","October","November","December")</f>
        <v>March</v>
      </c>
      <c r="H322" s="2">
        <f t="shared" ref="H322:H385" ca="1" si="11">DATEDIF(F322,TODAY(),"Y")</f>
        <v>15</v>
      </c>
      <c r="I322" s="17" t="s">
        <v>38</v>
      </c>
      <c r="J322" s="18">
        <v>95148</v>
      </c>
      <c r="K322" s="19">
        <v>4</v>
      </c>
      <c r="N322" s="11" t="s">
        <v>355</v>
      </c>
      <c r="O322" s="11" t="s">
        <v>32</v>
      </c>
      <c r="P322" s="11" t="s">
        <v>40</v>
      </c>
      <c r="Q322" s="11" t="s">
        <v>120</v>
      </c>
      <c r="R322" s="20">
        <f>(41762+(3*365))+112</f>
        <v>42969</v>
      </c>
      <c r="S322" s="17">
        <v>1</v>
      </c>
      <c r="T322" s="17">
        <v>535</v>
      </c>
    </row>
    <row r="323" spans="1:20" x14ac:dyDescent="0.2">
      <c r="A323" s="11" t="s">
        <v>821</v>
      </c>
      <c r="B323" s="14" t="s">
        <v>19</v>
      </c>
      <c r="C323" s="11" t="s">
        <v>205</v>
      </c>
      <c r="D323" s="15">
        <v>244171882</v>
      </c>
      <c r="E323" s="11" t="s">
        <v>80</v>
      </c>
      <c r="F323" s="20">
        <v>37257</v>
      </c>
      <c r="G323" s="16" t="str">
        <f t="shared" si="10"/>
        <v>January</v>
      </c>
      <c r="H323" s="2">
        <f t="shared" ca="1" si="11"/>
        <v>17</v>
      </c>
      <c r="I323" s="17" t="s">
        <v>38</v>
      </c>
      <c r="J323" s="18">
        <v>121203</v>
      </c>
      <c r="K323" s="19">
        <v>4</v>
      </c>
      <c r="N323" s="11" t="s">
        <v>1559</v>
      </c>
      <c r="O323" s="11" t="s">
        <v>78</v>
      </c>
      <c r="P323" s="11" t="s">
        <v>33</v>
      </c>
      <c r="Q323" s="11" t="s">
        <v>219</v>
      </c>
      <c r="R323" s="20">
        <f>(42229+(3*365))+112</f>
        <v>43436</v>
      </c>
      <c r="S323" s="17">
        <v>7</v>
      </c>
      <c r="T323" s="17">
        <v>2680</v>
      </c>
    </row>
    <row r="324" spans="1:20" x14ac:dyDescent="0.2">
      <c r="A324" s="11" t="s">
        <v>445</v>
      </c>
      <c r="B324" s="14" t="s">
        <v>43</v>
      </c>
      <c r="C324" s="11" t="s">
        <v>59</v>
      </c>
      <c r="D324" s="15">
        <v>304068732</v>
      </c>
      <c r="E324" s="11" t="s">
        <v>80</v>
      </c>
      <c r="F324" s="20">
        <v>36565</v>
      </c>
      <c r="G324" s="16" t="str">
        <f t="shared" si="10"/>
        <v>February</v>
      </c>
      <c r="H324" s="2">
        <f t="shared" ca="1" si="11"/>
        <v>19</v>
      </c>
      <c r="I324" s="17" t="s">
        <v>47</v>
      </c>
      <c r="J324" s="18">
        <v>46049</v>
      </c>
      <c r="K324" s="19">
        <v>4</v>
      </c>
      <c r="N324" s="11" t="s">
        <v>412</v>
      </c>
      <c r="O324" s="11" t="s">
        <v>64</v>
      </c>
      <c r="P324" s="11" t="s">
        <v>24</v>
      </c>
      <c r="Q324" s="11" t="s">
        <v>34</v>
      </c>
      <c r="R324" s="20">
        <f>(41788+(3*365))+112</f>
        <v>42995</v>
      </c>
      <c r="S324" s="17">
        <v>6</v>
      </c>
      <c r="T324" s="17">
        <v>2970</v>
      </c>
    </row>
    <row r="325" spans="1:20" x14ac:dyDescent="0.2">
      <c r="A325" s="11" t="s">
        <v>248</v>
      </c>
      <c r="B325" s="14" t="s">
        <v>83</v>
      </c>
      <c r="C325" s="11" t="s">
        <v>249</v>
      </c>
      <c r="D325" s="15">
        <v>247555666</v>
      </c>
      <c r="E325" s="11" t="s">
        <v>29</v>
      </c>
      <c r="F325" s="20">
        <v>36473</v>
      </c>
      <c r="G325" s="16" t="str">
        <f t="shared" si="10"/>
        <v>November</v>
      </c>
      <c r="H325" s="2">
        <f t="shared" ca="1" si="11"/>
        <v>19</v>
      </c>
      <c r="I325" s="17" t="s">
        <v>47</v>
      </c>
      <c r="J325" s="18">
        <v>52799</v>
      </c>
      <c r="K325" s="19">
        <v>5</v>
      </c>
      <c r="N325" s="11" t="s">
        <v>533</v>
      </c>
      <c r="O325" s="11" t="s">
        <v>89</v>
      </c>
      <c r="P325" s="11" t="s">
        <v>33</v>
      </c>
      <c r="Q325" s="11" t="s">
        <v>120</v>
      </c>
      <c r="R325" s="20">
        <f>(41844+(3*365))+112</f>
        <v>43051</v>
      </c>
      <c r="S325" s="17">
        <v>15</v>
      </c>
      <c r="T325" s="17">
        <v>8325</v>
      </c>
    </row>
    <row r="326" spans="1:20" x14ac:dyDescent="0.2">
      <c r="A326" s="11" t="s">
        <v>912</v>
      </c>
      <c r="B326" s="14" t="s">
        <v>19</v>
      </c>
      <c r="C326" s="11" t="s">
        <v>152</v>
      </c>
      <c r="D326" s="15">
        <v>375875723</v>
      </c>
      <c r="E326" s="11" t="s">
        <v>21</v>
      </c>
      <c r="F326" s="20">
        <v>37579</v>
      </c>
      <c r="G326" s="16" t="str">
        <f t="shared" si="10"/>
        <v>November</v>
      </c>
      <c r="H326" s="2">
        <f t="shared" ca="1" si="11"/>
        <v>16</v>
      </c>
      <c r="I326" s="17"/>
      <c r="J326" s="18">
        <v>86755</v>
      </c>
      <c r="K326" s="19">
        <v>3</v>
      </c>
      <c r="N326" s="11" t="s">
        <v>1121</v>
      </c>
      <c r="O326" s="11" t="s">
        <v>49</v>
      </c>
      <c r="P326" s="11" t="s">
        <v>65</v>
      </c>
      <c r="Q326" s="11" t="s">
        <v>120</v>
      </c>
      <c r="R326" s="20">
        <f>(42043+(3*365))+112</f>
        <v>43250</v>
      </c>
      <c r="S326" s="17">
        <v>1</v>
      </c>
      <c r="T326" s="17">
        <v>355</v>
      </c>
    </row>
    <row r="327" spans="1:20" x14ac:dyDescent="0.2">
      <c r="A327" s="11" t="s">
        <v>1034</v>
      </c>
      <c r="B327" s="14" t="s">
        <v>27</v>
      </c>
      <c r="C327" s="11" t="s">
        <v>59</v>
      </c>
      <c r="D327" s="15">
        <v>110184347</v>
      </c>
      <c r="E327" s="11" t="s">
        <v>29</v>
      </c>
      <c r="F327" s="20">
        <v>38109</v>
      </c>
      <c r="G327" s="16" t="str">
        <f t="shared" si="10"/>
        <v>May</v>
      </c>
      <c r="H327" s="2">
        <f t="shared" ca="1" si="11"/>
        <v>15</v>
      </c>
      <c r="I327" s="17" t="s">
        <v>47</v>
      </c>
      <c r="J327" s="18">
        <v>86103</v>
      </c>
      <c r="K327" s="19">
        <v>5</v>
      </c>
      <c r="N327" s="11" t="s">
        <v>573</v>
      </c>
      <c r="O327" s="11" t="s">
        <v>45</v>
      </c>
      <c r="P327" s="11" t="s">
        <v>40</v>
      </c>
      <c r="Q327" s="11" t="s">
        <v>34</v>
      </c>
      <c r="R327" s="20">
        <f>(41857+(3*365))+112</f>
        <v>43064</v>
      </c>
      <c r="S327" s="17">
        <v>15</v>
      </c>
      <c r="T327" s="17">
        <v>7140</v>
      </c>
    </row>
    <row r="328" spans="1:20" x14ac:dyDescent="0.2">
      <c r="A328" s="11" t="s">
        <v>1004</v>
      </c>
      <c r="B328" s="14" t="s">
        <v>36</v>
      </c>
      <c r="C328" s="11" t="s">
        <v>145</v>
      </c>
      <c r="D328" s="15">
        <v>687623890</v>
      </c>
      <c r="E328" s="11" t="s">
        <v>56</v>
      </c>
      <c r="F328" s="20">
        <v>37890</v>
      </c>
      <c r="G328" s="16" t="str">
        <f t="shared" si="10"/>
        <v>September</v>
      </c>
      <c r="H328" s="2">
        <f t="shared" ca="1" si="11"/>
        <v>15</v>
      </c>
      <c r="I328" s="17"/>
      <c r="J328" s="18">
        <v>31984</v>
      </c>
      <c r="K328" s="19">
        <v>4</v>
      </c>
      <c r="N328" s="11" t="s">
        <v>1571</v>
      </c>
      <c r="O328" s="11" t="s">
        <v>64</v>
      </c>
      <c r="P328" s="11" t="s">
        <v>65</v>
      </c>
      <c r="Q328" s="11" t="s">
        <v>41</v>
      </c>
      <c r="R328" s="20">
        <f>(42236+(3*365))+112</f>
        <v>43443</v>
      </c>
      <c r="S328" s="17">
        <v>13</v>
      </c>
      <c r="T328" s="17">
        <v>5930</v>
      </c>
    </row>
    <row r="329" spans="1:20" x14ac:dyDescent="0.2">
      <c r="A329" s="11" t="s">
        <v>791</v>
      </c>
      <c r="B329" s="14" t="s">
        <v>19</v>
      </c>
      <c r="C329" s="11" t="s">
        <v>86</v>
      </c>
      <c r="D329" s="15">
        <v>168791562</v>
      </c>
      <c r="E329" s="11" t="s">
        <v>29</v>
      </c>
      <c r="F329" s="20">
        <v>43217</v>
      </c>
      <c r="G329" s="16" t="str">
        <f t="shared" si="10"/>
        <v>April</v>
      </c>
      <c r="H329" s="2">
        <f t="shared" ca="1" si="11"/>
        <v>1</v>
      </c>
      <c r="I329" s="17" t="s">
        <v>38</v>
      </c>
      <c r="J329" s="18">
        <v>102303</v>
      </c>
      <c r="K329" s="19">
        <v>2</v>
      </c>
      <c r="N329" s="11" t="s">
        <v>756</v>
      </c>
      <c r="O329" s="11" t="s">
        <v>32</v>
      </c>
      <c r="P329" s="11" t="s">
        <v>65</v>
      </c>
      <c r="Q329" s="11" t="s">
        <v>41</v>
      </c>
      <c r="R329" s="20">
        <f>(41935+(3*365))+112</f>
        <v>43142</v>
      </c>
      <c r="S329" s="17">
        <v>13</v>
      </c>
      <c r="T329" s="17">
        <v>4095</v>
      </c>
    </row>
    <row r="330" spans="1:20" x14ac:dyDescent="0.2">
      <c r="A330" s="11" t="s">
        <v>1092</v>
      </c>
      <c r="B330" s="14" t="s">
        <v>51</v>
      </c>
      <c r="C330" s="11" t="s">
        <v>136</v>
      </c>
      <c r="D330" s="15">
        <v>343185481</v>
      </c>
      <c r="E330" s="11" t="s">
        <v>29</v>
      </c>
      <c r="F330" s="20">
        <v>38774</v>
      </c>
      <c r="G330" s="16" t="str">
        <f t="shared" si="10"/>
        <v>February</v>
      </c>
      <c r="H330" s="2">
        <f t="shared" ca="1" si="11"/>
        <v>13</v>
      </c>
      <c r="I330" s="17" t="s">
        <v>87</v>
      </c>
      <c r="J330" s="18">
        <v>99549</v>
      </c>
      <c r="K330" s="19">
        <v>4</v>
      </c>
      <c r="N330" s="11" t="s">
        <v>1495</v>
      </c>
      <c r="O330" s="11" t="s">
        <v>32</v>
      </c>
      <c r="P330" s="11" t="s">
        <v>24</v>
      </c>
      <c r="Q330" s="11" t="s">
        <v>25</v>
      </c>
      <c r="R330" s="20">
        <f>(42202+(3*365))+112</f>
        <v>43409</v>
      </c>
      <c r="S330" s="17">
        <v>2</v>
      </c>
      <c r="T330" s="17">
        <v>680</v>
      </c>
    </row>
    <row r="331" spans="1:20" x14ac:dyDescent="0.2">
      <c r="A331" s="11" t="s">
        <v>506</v>
      </c>
      <c r="B331" s="14" t="s">
        <v>27</v>
      </c>
      <c r="C331" s="11" t="s">
        <v>254</v>
      </c>
      <c r="D331" s="15">
        <v>868128171</v>
      </c>
      <c r="E331" s="11" t="s">
        <v>29</v>
      </c>
      <c r="F331" s="20">
        <v>36734</v>
      </c>
      <c r="G331" s="16" t="str">
        <f t="shared" si="10"/>
        <v>July</v>
      </c>
      <c r="H331" s="2">
        <f t="shared" ca="1" si="11"/>
        <v>18</v>
      </c>
      <c r="I331" s="17" t="s">
        <v>71</v>
      </c>
      <c r="J331" s="18">
        <v>101750</v>
      </c>
      <c r="K331" s="19">
        <v>2</v>
      </c>
      <c r="N331" s="11" t="s">
        <v>1251</v>
      </c>
      <c r="O331" s="11" t="s">
        <v>89</v>
      </c>
      <c r="P331" s="11" t="s">
        <v>24</v>
      </c>
      <c r="Q331" s="11" t="s">
        <v>120</v>
      </c>
      <c r="R331" s="20">
        <f>(42109+(3*365))+112</f>
        <v>43316</v>
      </c>
      <c r="S331" s="17">
        <v>12</v>
      </c>
      <c r="T331" s="17">
        <v>7090</v>
      </c>
    </row>
    <row r="332" spans="1:20" x14ac:dyDescent="0.2">
      <c r="A332" s="11" t="s">
        <v>1556</v>
      </c>
      <c r="B332" s="14" t="s">
        <v>19</v>
      </c>
      <c r="C332" s="11" t="s">
        <v>152</v>
      </c>
      <c r="D332" s="15">
        <v>671823263</v>
      </c>
      <c r="E332" s="11" t="s">
        <v>29</v>
      </c>
      <c r="F332" s="20">
        <v>43493</v>
      </c>
      <c r="G332" s="16" t="str">
        <f t="shared" si="10"/>
        <v>January</v>
      </c>
      <c r="H332" s="2">
        <f t="shared" ca="1" si="11"/>
        <v>0</v>
      </c>
      <c r="I332" s="17" t="s">
        <v>47</v>
      </c>
      <c r="J332" s="18">
        <v>116964</v>
      </c>
      <c r="K332" s="19">
        <v>3</v>
      </c>
      <c r="N332" s="11" t="s">
        <v>1425</v>
      </c>
      <c r="O332" s="11" t="s">
        <v>89</v>
      </c>
      <c r="P332" s="11" t="s">
        <v>65</v>
      </c>
      <c r="Q332" s="11" t="s">
        <v>34</v>
      </c>
      <c r="R332" s="20">
        <f>(42180+(3*365))+112</f>
        <v>43387</v>
      </c>
      <c r="S332" s="17">
        <v>17</v>
      </c>
      <c r="T332" s="17">
        <v>9945</v>
      </c>
    </row>
    <row r="333" spans="1:20" x14ac:dyDescent="0.2">
      <c r="A333" s="11" t="s">
        <v>1516</v>
      </c>
      <c r="B333" s="14" t="s">
        <v>36</v>
      </c>
      <c r="C333" s="11" t="s">
        <v>254</v>
      </c>
      <c r="D333" s="15">
        <v>443238477</v>
      </c>
      <c r="E333" s="11" t="s">
        <v>29</v>
      </c>
      <c r="F333" s="20">
        <v>42534</v>
      </c>
      <c r="G333" s="16" t="str">
        <f t="shared" si="10"/>
        <v>June</v>
      </c>
      <c r="H333" s="2">
        <f t="shared" ca="1" si="11"/>
        <v>2</v>
      </c>
      <c r="I333" s="17" t="s">
        <v>30</v>
      </c>
      <c r="J333" s="18">
        <v>108122</v>
      </c>
      <c r="K333" s="19">
        <v>2</v>
      </c>
      <c r="N333" s="11" t="s">
        <v>1581</v>
      </c>
      <c r="O333" s="11" t="s">
        <v>49</v>
      </c>
      <c r="P333" s="11" t="s">
        <v>65</v>
      </c>
      <c r="Q333" s="11" t="s">
        <v>25</v>
      </c>
      <c r="R333" s="20">
        <f>(42249+(3*365))+112</f>
        <v>43456</v>
      </c>
      <c r="S333" s="17">
        <v>5</v>
      </c>
      <c r="T333" s="17">
        <v>2070</v>
      </c>
    </row>
    <row r="334" spans="1:20" x14ac:dyDescent="0.2">
      <c r="A334" s="11" t="s">
        <v>1046</v>
      </c>
      <c r="B334" s="14" t="s">
        <v>19</v>
      </c>
      <c r="C334" s="11" t="s">
        <v>214</v>
      </c>
      <c r="D334" s="15">
        <v>371001908</v>
      </c>
      <c r="E334" s="11" t="s">
        <v>29</v>
      </c>
      <c r="F334" s="20">
        <v>38212</v>
      </c>
      <c r="G334" s="16" t="str">
        <f t="shared" si="10"/>
        <v>August</v>
      </c>
      <c r="H334" s="2">
        <f t="shared" ca="1" si="11"/>
        <v>14</v>
      </c>
      <c r="I334" s="17" t="s">
        <v>87</v>
      </c>
      <c r="J334" s="18">
        <v>61398</v>
      </c>
      <c r="K334" s="19">
        <v>4</v>
      </c>
      <c r="N334" s="11" t="s">
        <v>1273</v>
      </c>
      <c r="O334" s="11" t="s">
        <v>45</v>
      </c>
      <c r="P334" s="11" t="s">
        <v>24</v>
      </c>
      <c r="Q334" s="11" t="s">
        <v>25</v>
      </c>
      <c r="R334" s="20">
        <f>(42120+(3*365))+112</f>
        <v>43327</v>
      </c>
      <c r="S334" s="17">
        <v>9</v>
      </c>
      <c r="T334" s="17">
        <v>3025</v>
      </c>
    </row>
    <row r="335" spans="1:20" x14ac:dyDescent="0.2">
      <c r="A335" s="11" t="s">
        <v>721</v>
      </c>
      <c r="B335" s="14" t="s">
        <v>36</v>
      </c>
      <c r="C335" s="11" t="s">
        <v>214</v>
      </c>
      <c r="D335" s="15">
        <v>135965371</v>
      </c>
      <c r="E335" s="11" t="s">
        <v>29</v>
      </c>
      <c r="F335" s="20">
        <v>40792</v>
      </c>
      <c r="G335" s="16" t="str">
        <f t="shared" si="10"/>
        <v>September</v>
      </c>
      <c r="H335" s="2">
        <f t="shared" ca="1" si="11"/>
        <v>7</v>
      </c>
      <c r="I335" s="17" t="s">
        <v>30</v>
      </c>
      <c r="J335" s="18">
        <v>41742</v>
      </c>
      <c r="K335" s="19">
        <v>5</v>
      </c>
      <c r="N335" s="11" t="s">
        <v>241</v>
      </c>
      <c r="O335" s="11" t="s">
        <v>114</v>
      </c>
      <c r="P335" s="11" t="s">
        <v>40</v>
      </c>
      <c r="Q335" s="11" t="s">
        <v>219</v>
      </c>
      <c r="R335" s="20">
        <f>(41717+(3*365))+112</f>
        <v>42924</v>
      </c>
      <c r="S335" s="17">
        <v>11</v>
      </c>
      <c r="T335" s="21">
        <v>5095</v>
      </c>
    </row>
    <row r="336" spans="1:20" x14ac:dyDescent="0.2">
      <c r="A336" s="11" t="s">
        <v>1194</v>
      </c>
      <c r="B336" s="14" t="s">
        <v>83</v>
      </c>
      <c r="C336" s="11" t="s">
        <v>152</v>
      </c>
      <c r="D336" s="15">
        <v>733358713</v>
      </c>
      <c r="E336" s="11" t="s">
        <v>21</v>
      </c>
      <c r="F336" s="20">
        <v>38194</v>
      </c>
      <c r="G336" s="16" t="str">
        <f t="shared" si="10"/>
        <v>July</v>
      </c>
      <c r="H336" s="2">
        <f t="shared" ca="1" si="11"/>
        <v>14</v>
      </c>
      <c r="I336" s="17"/>
      <c r="J336" s="18">
        <v>118571</v>
      </c>
      <c r="K336" s="19">
        <v>2</v>
      </c>
      <c r="N336" s="11" t="s">
        <v>97</v>
      </c>
      <c r="O336" s="11" t="s">
        <v>54</v>
      </c>
      <c r="P336" s="11" t="s">
        <v>24</v>
      </c>
      <c r="Q336" s="11" t="s">
        <v>25</v>
      </c>
      <c r="R336" s="20">
        <f>(41663+(3*365))+112</f>
        <v>42870</v>
      </c>
      <c r="S336" s="17">
        <v>8</v>
      </c>
      <c r="T336" s="21">
        <v>4050</v>
      </c>
    </row>
    <row r="337" spans="1:20" x14ac:dyDescent="0.2">
      <c r="A337" s="11" t="s">
        <v>350</v>
      </c>
      <c r="B337" s="14" t="s">
        <v>27</v>
      </c>
      <c r="C337" s="11" t="s">
        <v>59</v>
      </c>
      <c r="D337" s="15">
        <v>575648597</v>
      </c>
      <c r="E337" s="11" t="s">
        <v>21</v>
      </c>
      <c r="F337" s="20">
        <v>40497</v>
      </c>
      <c r="G337" s="16" t="str">
        <f t="shared" si="10"/>
        <v>November</v>
      </c>
      <c r="H337" s="2">
        <f t="shared" ca="1" si="11"/>
        <v>8</v>
      </c>
      <c r="I337" s="17"/>
      <c r="J337" s="18">
        <v>43160</v>
      </c>
      <c r="K337" s="19">
        <v>5</v>
      </c>
      <c r="N337" s="11" t="s">
        <v>646</v>
      </c>
      <c r="O337" s="11" t="s">
        <v>64</v>
      </c>
      <c r="P337" s="11" t="s">
        <v>33</v>
      </c>
      <c r="Q337" s="11" t="s">
        <v>34</v>
      </c>
      <c r="R337" s="20">
        <f>(41889+(3*365))+112</f>
        <v>43096</v>
      </c>
      <c r="S337" s="17">
        <v>9</v>
      </c>
      <c r="T337" s="17">
        <v>3780</v>
      </c>
    </row>
    <row r="338" spans="1:20" x14ac:dyDescent="0.2">
      <c r="A338" s="11" t="s">
        <v>868</v>
      </c>
      <c r="B338" s="14" t="s">
        <v>83</v>
      </c>
      <c r="C338" s="11" t="s">
        <v>254</v>
      </c>
      <c r="D338" s="15">
        <v>542214575</v>
      </c>
      <c r="E338" s="11" t="s">
        <v>29</v>
      </c>
      <c r="F338" s="20">
        <v>37558</v>
      </c>
      <c r="G338" s="16" t="str">
        <f t="shared" si="10"/>
        <v>October</v>
      </c>
      <c r="H338" s="2">
        <f t="shared" ca="1" si="11"/>
        <v>16</v>
      </c>
      <c r="I338" s="17" t="s">
        <v>47</v>
      </c>
      <c r="J338" s="18">
        <v>117491</v>
      </c>
      <c r="K338" s="19">
        <v>3</v>
      </c>
      <c r="N338" s="11" t="s">
        <v>1263</v>
      </c>
      <c r="O338" s="11" t="s">
        <v>78</v>
      </c>
      <c r="P338" s="11" t="s">
        <v>65</v>
      </c>
      <c r="Q338" s="11" t="s">
        <v>34</v>
      </c>
      <c r="R338" s="20">
        <f>(42116+(3*365))+112</f>
        <v>43323</v>
      </c>
      <c r="S338" s="17">
        <v>7</v>
      </c>
      <c r="T338" s="17">
        <v>3658</v>
      </c>
    </row>
    <row r="339" spans="1:20" x14ac:dyDescent="0.2">
      <c r="A339" s="11" t="s">
        <v>882</v>
      </c>
      <c r="B339" s="14" t="s">
        <v>43</v>
      </c>
      <c r="C339" s="11" t="s">
        <v>249</v>
      </c>
      <c r="D339" s="15">
        <v>550291321</v>
      </c>
      <c r="E339" s="11" t="s">
        <v>21</v>
      </c>
      <c r="F339" s="20">
        <v>38903</v>
      </c>
      <c r="G339" s="16" t="str">
        <f t="shared" si="10"/>
        <v>July</v>
      </c>
      <c r="H339" s="2">
        <f t="shared" ca="1" si="11"/>
        <v>12</v>
      </c>
      <c r="I339" s="17"/>
      <c r="J339" s="18">
        <v>97848</v>
      </c>
      <c r="K339" s="19">
        <v>2</v>
      </c>
      <c r="N339" s="11" t="s">
        <v>1309</v>
      </c>
      <c r="O339" s="11" t="s">
        <v>89</v>
      </c>
      <c r="P339" s="11" t="s">
        <v>24</v>
      </c>
      <c r="Q339" s="11" t="s">
        <v>120</v>
      </c>
      <c r="R339" s="20">
        <f>(42134+(3*365))+112</f>
        <v>43341</v>
      </c>
      <c r="S339" s="17">
        <v>2</v>
      </c>
      <c r="T339" s="17">
        <v>750</v>
      </c>
    </row>
    <row r="340" spans="1:20" x14ac:dyDescent="0.2">
      <c r="A340" s="11" t="s">
        <v>467</v>
      </c>
      <c r="B340" s="14" t="s">
        <v>19</v>
      </c>
      <c r="C340" s="11" t="s">
        <v>214</v>
      </c>
      <c r="D340" s="15">
        <v>505966230</v>
      </c>
      <c r="E340" s="11" t="s">
        <v>29</v>
      </c>
      <c r="F340" s="20">
        <v>36849</v>
      </c>
      <c r="G340" s="16" t="str">
        <f t="shared" si="10"/>
        <v>November</v>
      </c>
      <c r="H340" s="2">
        <f t="shared" ca="1" si="11"/>
        <v>18</v>
      </c>
      <c r="I340" s="17" t="s">
        <v>30</v>
      </c>
      <c r="J340" s="18">
        <v>61425</v>
      </c>
      <c r="K340" s="19">
        <v>3</v>
      </c>
      <c r="N340" s="11" t="s">
        <v>424</v>
      </c>
      <c r="O340" s="11" t="s">
        <v>78</v>
      </c>
      <c r="P340" s="11" t="s">
        <v>24</v>
      </c>
      <c r="Q340" s="11" t="s">
        <v>41</v>
      </c>
      <c r="R340" s="20">
        <f>(41797+(3*365))+112</f>
        <v>43004</v>
      </c>
      <c r="S340" s="17">
        <v>9</v>
      </c>
      <c r="T340" s="17">
        <v>5375</v>
      </c>
    </row>
    <row r="341" spans="1:20" x14ac:dyDescent="0.2">
      <c r="A341" s="11" t="s">
        <v>1388</v>
      </c>
      <c r="B341" s="14" t="s">
        <v>19</v>
      </c>
      <c r="C341" s="11" t="s">
        <v>145</v>
      </c>
      <c r="D341" s="15">
        <v>668708287</v>
      </c>
      <c r="E341" s="11" t="s">
        <v>21</v>
      </c>
      <c r="F341" s="20">
        <v>38662</v>
      </c>
      <c r="G341" s="16" t="str">
        <f t="shared" si="10"/>
        <v>November</v>
      </c>
      <c r="H341" s="2">
        <f t="shared" ca="1" si="11"/>
        <v>13</v>
      </c>
      <c r="I341" s="17"/>
      <c r="J341" s="18">
        <v>116235</v>
      </c>
      <c r="K341" s="19">
        <v>4</v>
      </c>
      <c r="N341" s="11" t="s">
        <v>1564</v>
      </c>
      <c r="O341" s="11" t="s">
        <v>64</v>
      </c>
      <c r="P341" s="11" t="s">
        <v>65</v>
      </c>
      <c r="Q341" s="11" t="s">
        <v>120</v>
      </c>
      <c r="R341" s="20">
        <f>(42232+(3*365))+112</f>
        <v>43439</v>
      </c>
      <c r="S341" s="17">
        <v>8</v>
      </c>
      <c r="T341" s="17">
        <v>2745</v>
      </c>
    </row>
    <row r="342" spans="1:20" x14ac:dyDescent="0.2">
      <c r="A342" s="11" t="s">
        <v>793</v>
      </c>
      <c r="B342" s="14" t="s">
        <v>27</v>
      </c>
      <c r="C342" s="11" t="s">
        <v>152</v>
      </c>
      <c r="D342" s="15">
        <v>892040187</v>
      </c>
      <c r="E342" s="11" t="s">
        <v>29</v>
      </c>
      <c r="F342" s="20">
        <v>37142</v>
      </c>
      <c r="G342" s="16" t="str">
        <f t="shared" si="10"/>
        <v>September</v>
      </c>
      <c r="H342" s="2">
        <f t="shared" ca="1" si="11"/>
        <v>17</v>
      </c>
      <c r="I342" s="17" t="s">
        <v>30</v>
      </c>
      <c r="J342" s="18">
        <v>117747</v>
      </c>
      <c r="K342" s="19">
        <v>1</v>
      </c>
      <c r="N342" s="11" t="s">
        <v>1585</v>
      </c>
      <c r="O342" s="11" t="s">
        <v>78</v>
      </c>
      <c r="P342" s="11" t="s">
        <v>24</v>
      </c>
      <c r="Q342" s="11" t="s">
        <v>120</v>
      </c>
      <c r="R342" s="20">
        <f>(42253+(3*365))+112</f>
        <v>43460</v>
      </c>
      <c r="S342" s="17">
        <v>3</v>
      </c>
      <c r="T342" s="17">
        <v>1060</v>
      </c>
    </row>
    <row r="343" spans="1:20" x14ac:dyDescent="0.2">
      <c r="A343" s="11" t="s">
        <v>1028</v>
      </c>
      <c r="B343" s="14" t="s">
        <v>43</v>
      </c>
      <c r="C343" s="11" t="s">
        <v>52</v>
      </c>
      <c r="D343" s="15">
        <v>681596577</v>
      </c>
      <c r="E343" s="11" t="s">
        <v>21</v>
      </c>
      <c r="F343" s="20">
        <v>38006</v>
      </c>
      <c r="G343" s="16" t="str">
        <f t="shared" si="10"/>
        <v>January</v>
      </c>
      <c r="H343" s="2">
        <f t="shared" ca="1" si="11"/>
        <v>15</v>
      </c>
      <c r="I343" s="17"/>
      <c r="J343" s="18">
        <v>47601</v>
      </c>
      <c r="K343" s="19">
        <v>2</v>
      </c>
      <c r="N343" s="11" t="s">
        <v>712</v>
      </c>
      <c r="O343" s="11" t="s">
        <v>75</v>
      </c>
      <c r="P343" s="11" t="s">
        <v>33</v>
      </c>
      <c r="Q343" s="11" t="s">
        <v>219</v>
      </c>
      <c r="R343" s="20">
        <f>(41914+(3*365))+112</f>
        <v>43121</v>
      </c>
      <c r="S343" s="17">
        <v>12</v>
      </c>
      <c r="T343" s="17">
        <v>6035</v>
      </c>
    </row>
    <row r="344" spans="1:20" x14ac:dyDescent="0.2">
      <c r="A344" s="11" t="s">
        <v>267</v>
      </c>
      <c r="B344" s="14" t="s">
        <v>27</v>
      </c>
      <c r="C344" s="11" t="s">
        <v>265</v>
      </c>
      <c r="D344" s="15">
        <v>920505896</v>
      </c>
      <c r="E344" s="11" t="s">
        <v>21</v>
      </c>
      <c r="F344" s="20">
        <v>41611</v>
      </c>
      <c r="G344" s="16" t="str">
        <f t="shared" si="10"/>
        <v>December</v>
      </c>
      <c r="H344" s="2">
        <f t="shared" ca="1" si="11"/>
        <v>5</v>
      </c>
      <c r="I344" s="17"/>
      <c r="J344" s="18">
        <v>106461</v>
      </c>
      <c r="K344" s="19">
        <v>2</v>
      </c>
      <c r="N344" s="11" t="s">
        <v>1712</v>
      </c>
      <c r="O344" s="11" t="s">
        <v>64</v>
      </c>
      <c r="P344" s="11" t="s">
        <v>65</v>
      </c>
      <c r="Q344" s="11" t="s">
        <v>41</v>
      </c>
      <c r="R344" s="20">
        <f>(42354+(3*365))+112</f>
        <v>43561</v>
      </c>
      <c r="S344" s="17">
        <v>4</v>
      </c>
      <c r="T344" s="17">
        <v>1625</v>
      </c>
    </row>
    <row r="345" spans="1:20" x14ac:dyDescent="0.2">
      <c r="A345" s="11" t="s">
        <v>419</v>
      </c>
      <c r="B345" s="14" t="s">
        <v>27</v>
      </c>
      <c r="C345" s="11" t="s">
        <v>20</v>
      </c>
      <c r="D345" s="15">
        <v>951516517</v>
      </c>
      <c r="E345" s="11" t="s">
        <v>29</v>
      </c>
      <c r="F345" s="20">
        <v>36751</v>
      </c>
      <c r="G345" s="16" t="str">
        <f t="shared" si="10"/>
        <v>August</v>
      </c>
      <c r="H345" s="2">
        <f t="shared" ca="1" si="11"/>
        <v>18</v>
      </c>
      <c r="I345" s="17" t="s">
        <v>30</v>
      </c>
      <c r="J345" s="18">
        <v>96755</v>
      </c>
      <c r="K345" s="19">
        <v>4</v>
      </c>
      <c r="N345" s="11" t="s">
        <v>493</v>
      </c>
      <c r="O345" s="11" t="s">
        <v>23</v>
      </c>
      <c r="P345" s="11" t="s">
        <v>65</v>
      </c>
      <c r="Q345" s="11" t="s">
        <v>41</v>
      </c>
      <c r="R345" s="20">
        <f>(41825+(3*365))+112</f>
        <v>43032</v>
      </c>
      <c r="S345" s="17">
        <v>11</v>
      </c>
      <c r="T345" s="17">
        <v>4785</v>
      </c>
    </row>
    <row r="346" spans="1:20" x14ac:dyDescent="0.2">
      <c r="A346" s="11" t="s">
        <v>1188</v>
      </c>
      <c r="B346" s="14" t="s">
        <v>43</v>
      </c>
      <c r="C346" s="11" t="s">
        <v>145</v>
      </c>
      <c r="D346" s="15">
        <v>426014550</v>
      </c>
      <c r="E346" s="11" t="s">
        <v>29</v>
      </c>
      <c r="F346" s="20">
        <v>38307</v>
      </c>
      <c r="G346" s="16" t="str">
        <f t="shared" si="10"/>
        <v>November</v>
      </c>
      <c r="H346" s="2">
        <f t="shared" ca="1" si="11"/>
        <v>14</v>
      </c>
      <c r="I346" s="17" t="s">
        <v>71</v>
      </c>
      <c r="J346" s="18">
        <v>85003</v>
      </c>
      <c r="K346" s="19">
        <v>1</v>
      </c>
      <c r="N346" s="11" t="s">
        <v>1063</v>
      </c>
      <c r="O346" s="11" t="s">
        <v>75</v>
      </c>
      <c r="P346" s="11" t="s">
        <v>33</v>
      </c>
      <c r="Q346" s="11" t="s">
        <v>25</v>
      </c>
      <c r="R346" s="20">
        <f>(42026+(3*365))+112</f>
        <v>43233</v>
      </c>
      <c r="S346" s="17">
        <v>14</v>
      </c>
      <c r="T346" s="17">
        <v>5350</v>
      </c>
    </row>
    <row r="347" spans="1:20" x14ac:dyDescent="0.2">
      <c r="A347" s="11" t="s">
        <v>1264</v>
      </c>
      <c r="B347" s="14" t="s">
        <v>19</v>
      </c>
      <c r="C347" s="11" t="s">
        <v>145</v>
      </c>
      <c r="D347" s="15">
        <v>750581894</v>
      </c>
      <c r="E347" s="11" t="s">
        <v>21</v>
      </c>
      <c r="F347" s="20">
        <v>43206</v>
      </c>
      <c r="G347" s="16" t="str">
        <f t="shared" si="10"/>
        <v>April</v>
      </c>
      <c r="H347" s="2">
        <f t="shared" ca="1" si="11"/>
        <v>1</v>
      </c>
      <c r="I347" s="17"/>
      <c r="J347" s="18">
        <v>29133</v>
      </c>
      <c r="K347" s="19">
        <v>3</v>
      </c>
      <c r="N347" s="11" t="s">
        <v>1688</v>
      </c>
      <c r="O347" s="11" t="s">
        <v>78</v>
      </c>
      <c r="P347" s="11" t="s">
        <v>24</v>
      </c>
      <c r="Q347" s="11" t="s">
        <v>219</v>
      </c>
      <c r="R347" s="20">
        <f>(42339+(3*365))+112</f>
        <v>43546</v>
      </c>
      <c r="S347" s="17">
        <v>2</v>
      </c>
      <c r="T347" s="17">
        <v>1125</v>
      </c>
    </row>
    <row r="348" spans="1:20" x14ac:dyDescent="0.2">
      <c r="A348" s="11" t="s">
        <v>172</v>
      </c>
      <c r="B348" s="14" t="s">
        <v>27</v>
      </c>
      <c r="C348" s="11" t="s">
        <v>20</v>
      </c>
      <c r="D348" s="15">
        <v>411058865</v>
      </c>
      <c r="E348" s="11" t="s">
        <v>29</v>
      </c>
      <c r="F348" s="20">
        <v>39864</v>
      </c>
      <c r="G348" s="16" t="str">
        <f t="shared" si="10"/>
        <v>February</v>
      </c>
      <c r="H348" s="2">
        <f t="shared" ca="1" si="11"/>
        <v>10</v>
      </c>
      <c r="I348" s="17" t="s">
        <v>47</v>
      </c>
      <c r="J348" s="18">
        <v>36693</v>
      </c>
      <c r="K348" s="19">
        <v>4</v>
      </c>
      <c r="N348" s="11" t="s">
        <v>764</v>
      </c>
      <c r="O348" s="11" t="s">
        <v>45</v>
      </c>
      <c r="P348" s="11" t="s">
        <v>65</v>
      </c>
      <c r="Q348" s="11" t="s">
        <v>120</v>
      </c>
      <c r="R348" s="20">
        <f>(41935+(3*365))+112</f>
        <v>43142</v>
      </c>
      <c r="S348" s="17">
        <v>5</v>
      </c>
      <c r="T348" s="17">
        <v>1630</v>
      </c>
    </row>
    <row r="349" spans="1:20" x14ac:dyDescent="0.2">
      <c r="A349" s="11" t="s">
        <v>855</v>
      </c>
      <c r="B349" s="14" t="s">
        <v>19</v>
      </c>
      <c r="C349" s="11" t="s">
        <v>86</v>
      </c>
      <c r="D349" s="15">
        <v>796685092</v>
      </c>
      <c r="E349" s="11" t="s">
        <v>29</v>
      </c>
      <c r="F349" s="20">
        <v>39312</v>
      </c>
      <c r="G349" s="16" t="str">
        <f t="shared" si="10"/>
        <v>August</v>
      </c>
      <c r="H349" s="2">
        <f t="shared" ca="1" si="11"/>
        <v>11</v>
      </c>
      <c r="I349" s="17" t="s">
        <v>30</v>
      </c>
      <c r="J349" s="18">
        <v>58671</v>
      </c>
      <c r="K349" s="19">
        <v>5</v>
      </c>
      <c r="N349" s="11" t="s">
        <v>1225</v>
      </c>
      <c r="O349" s="11" t="s">
        <v>23</v>
      </c>
      <c r="P349" s="11" t="s">
        <v>33</v>
      </c>
      <c r="Q349" s="11" t="s">
        <v>25</v>
      </c>
      <c r="R349" s="20">
        <f>(42098+(3*365))+112</f>
        <v>43305</v>
      </c>
      <c r="S349" s="17">
        <v>15</v>
      </c>
      <c r="T349" s="17">
        <v>4530</v>
      </c>
    </row>
    <row r="350" spans="1:20" x14ac:dyDescent="0.2">
      <c r="A350" s="11" t="s">
        <v>26</v>
      </c>
      <c r="B350" s="14" t="s">
        <v>27</v>
      </c>
      <c r="C350" s="11" t="s">
        <v>28</v>
      </c>
      <c r="D350" s="15">
        <v>405297884</v>
      </c>
      <c r="E350" s="11" t="s">
        <v>29</v>
      </c>
      <c r="F350" s="20">
        <v>35927</v>
      </c>
      <c r="G350" s="16" t="str">
        <f t="shared" si="10"/>
        <v>May</v>
      </c>
      <c r="H350" s="2">
        <f t="shared" ca="1" si="11"/>
        <v>21</v>
      </c>
      <c r="I350" s="17" t="s">
        <v>30</v>
      </c>
      <c r="J350" s="18">
        <v>93231</v>
      </c>
      <c r="K350" s="19">
        <v>4</v>
      </c>
      <c r="N350" s="11" t="s">
        <v>935</v>
      </c>
      <c r="O350" s="11" t="s">
        <v>32</v>
      </c>
      <c r="P350" s="11" t="s">
        <v>33</v>
      </c>
      <c r="Q350" s="11" t="s">
        <v>120</v>
      </c>
      <c r="R350" s="20">
        <f>(41994+(3*365))+112</f>
        <v>43201</v>
      </c>
      <c r="S350" s="17">
        <v>11</v>
      </c>
      <c r="T350" s="17">
        <v>3610</v>
      </c>
    </row>
    <row r="351" spans="1:20" x14ac:dyDescent="0.2">
      <c r="A351" s="11" t="s">
        <v>715</v>
      </c>
      <c r="B351" s="14" t="s">
        <v>27</v>
      </c>
      <c r="C351" s="11" t="s">
        <v>86</v>
      </c>
      <c r="D351" s="15">
        <v>443476169</v>
      </c>
      <c r="E351" s="11" t="s">
        <v>29</v>
      </c>
      <c r="F351" s="20">
        <v>36923</v>
      </c>
      <c r="G351" s="16" t="str">
        <f t="shared" si="10"/>
        <v>February</v>
      </c>
      <c r="H351" s="2">
        <f t="shared" ca="1" si="11"/>
        <v>18</v>
      </c>
      <c r="I351" s="17" t="s">
        <v>38</v>
      </c>
      <c r="J351" s="18">
        <v>116829</v>
      </c>
      <c r="K351" s="19">
        <v>4</v>
      </c>
      <c r="N351" s="11" t="s">
        <v>1683</v>
      </c>
      <c r="O351" s="11" t="s">
        <v>54</v>
      </c>
      <c r="P351" s="11" t="s">
        <v>24</v>
      </c>
      <c r="Q351" s="11" t="s">
        <v>219</v>
      </c>
      <c r="R351" s="20">
        <f>(42333+(3*365))+112</f>
        <v>43540</v>
      </c>
      <c r="S351" s="17">
        <v>10</v>
      </c>
      <c r="T351" s="17">
        <v>5990</v>
      </c>
    </row>
    <row r="352" spans="1:20" x14ac:dyDescent="0.2">
      <c r="A352" s="11" t="s">
        <v>683</v>
      </c>
      <c r="B352" s="14" t="s">
        <v>83</v>
      </c>
      <c r="C352" s="11" t="s">
        <v>214</v>
      </c>
      <c r="D352" s="15">
        <v>647552282</v>
      </c>
      <c r="E352" s="11" t="s">
        <v>21</v>
      </c>
      <c r="F352" s="20">
        <v>37121</v>
      </c>
      <c r="G352" s="16" t="str">
        <f t="shared" si="10"/>
        <v>August</v>
      </c>
      <c r="H352" s="2">
        <f t="shared" ca="1" si="11"/>
        <v>17</v>
      </c>
      <c r="I352" s="17"/>
      <c r="J352" s="18">
        <v>47871</v>
      </c>
      <c r="K352" s="19">
        <v>3</v>
      </c>
      <c r="N352" s="11" t="s">
        <v>571</v>
      </c>
      <c r="O352" s="11" t="s">
        <v>89</v>
      </c>
      <c r="P352" s="11" t="s">
        <v>33</v>
      </c>
      <c r="Q352" s="11" t="s">
        <v>34</v>
      </c>
      <c r="R352" s="20">
        <f>(41857+(3*365))+112</f>
        <v>43064</v>
      </c>
      <c r="S352" s="17">
        <v>20</v>
      </c>
      <c r="T352" s="17">
        <v>6100</v>
      </c>
    </row>
    <row r="353" spans="1:20" x14ac:dyDescent="0.2">
      <c r="A353" s="11" t="s">
        <v>319</v>
      </c>
      <c r="B353" s="14" t="s">
        <v>51</v>
      </c>
      <c r="C353" s="11" t="s">
        <v>52</v>
      </c>
      <c r="D353" s="15">
        <v>843875501</v>
      </c>
      <c r="E353" s="11" t="s">
        <v>21</v>
      </c>
      <c r="F353" s="20">
        <v>39032</v>
      </c>
      <c r="G353" s="16" t="str">
        <f t="shared" si="10"/>
        <v>November</v>
      </c>
      <c r="H353" s="2">
        <f t="shared" ca="1" si="11"/>
        <v>12</v>
      </c>
      <c r="I353" s="17"/>
      <c r="J353" s="18">
        <v>44469</v>
      </c>
      <c r="K353" s="19">
        <v>5</v>
      </c>
      <c r="N353" s="11" t="s">
        <v>903</v>
      </c>
      <c r="O353" s="11" t="s">
        <v>89</v>
      </c>
      <c r="P353" s="11" t="s">
        <v>40</v>
      </c>
      <c r="Q353" s="11" t="s">
        <v>41</v>
      </c>
      <c r="R353" s="20">
        <f>(41980+(3*365))+112</f>
        <v>43187</v>
      </c>
      <c r="S353" s="17">
        <v>3</v>
      </c>
      <c r="T353" s="17">
        <v>1065</v>
      </c>
    </row>
    <row r="354" spans="1:20" x14ac:dyDescent="0.2">
      <c r="A354" s="11" t="s">
        <v>123</v>
      </c>
      <c r="B354" s="14" t="s">
        <v>43</v>
      </c>
      <c r="C354" s="11" t="s">
        <v>104</v>
      </c>
      <c r="D354" s="15">
        <v>460412180</v>
      </c>
      <c r="E354" s="11" t="s">
        <v>29</v>
      </c>
      <c r="F354" s="20">
        <v>42962</v>
      </c>
      <c r="G354" s="16" t="str">
        <f t="shared" si="10"/>
        <v>August</v>
      </c>
      <c r="H354" s="2">
        <f t="shared" ca="1" si="11"/>
        <v>1</v>
      </c>
      <c r="I354" s="17" t="s">
        <v>87</v>
      </c>
      <c r="J354" s="18">
        <v>69093</v>
      </c>
      <c r="K354" s="19">
        <v>3</v>
      </c>
      <c r="N354" s="11" t="s">
        <v>1151</v>
      </c>
      <c r="O354" s="11" t="s">
        <v>45</v>
      </c>
      <c r="P354" s="11" t="s">
        <v>24</v>
      </c>
      <c r="Q354" s="11" t="s">
        <v>41</v>
      </c>
      <c r="R354" s="20">
        <f>(42060+(3*365))+112</f>
        <v>43267</v>
      </c>
      <c r="S354" s="17">
        <v>11</v>
      </c>
      <c r="T354" s="17">
        <v>6125</v>
      </c>
    </row>
    <row r="355" spans="1:20" x14ac:dyDescent="0.2">
      <c r="A355" s="11" t="s">
        <v>996</v>
      </c>
      <c r="B355" s="14" t="s">
        <v>83</v>
      </c>
      <c r="C355" s="11" t="s">
        <v>254</v>
      </c>
      <c r="D355" s="15">
        <v>291803431</v>
      </c>
      <c r="E355" s="11" t="s">
        <v>21</v>
      </c>
      <c r="F355" s="20">
        <v>42639</v>
      </c>
      <c r="G355" s="16" t="str">
        <f t="shared" si="10"/>
        <v>September</v>
      </c>
      <c r="H355" s="2">
        <f t="shared" ca="1" si="11"/>
        <v>2</v>
      </c>
      <c r="I355" s="17"/>
      <c r="J355" s="18">
        <v>72900</v>
      </c>
      <c r="K355" s="19">
        <v>3</v>
      </c>
      <c r="N355" s="11" t="s">
        <v>1453</v>
      </c>
      <c r="O355" s="11" t="s">
        <v>49</v>
      </c>
      <c r="P355" s="11" t="s">
        <v>65</v>
      </c>
      <c r="Q355" s="11" t="s">
        <v>120</v>
      </c>
      <c r="R355" s="20">
        <f>(42188+(3*365))+112</f>
        <v>43395</v>
      </c>
      <c r="S355" s="17">
        <v>13</v>
      </c>
      <c r="T355" s="17">
        <v>4110</v>
      </c>
    </row>
    <row r="356" spans="1:20" x14ac:dyDescent="0.2">
      <c r="A356" s="11" t="s">
        <v>1120</v>
      </c>
      <c r="B356" s="14" t="s">
        <v>36</v>
      </c>
      <c r="C356" s="11" t="s">
        <v>136</v>
      </c>
      <c r="D356" s="15">
        <v>868364739</v>
      </c>
      <c r="E356" s="11" t="s">
        <v>80</v>
      </c>
      <c r="F356" s="20">
        <v>43149</v>
      </c>
      <c r="G356" s="16" t="str">
        <f t="shared" si="10"/>
        <v>February</v>
      </c>
      <c r="H356" s="2">
        <f t="shared" ca="1" si="11"/>
        <v>1</v>
      </c>
      <c r="I356" s="17" t="s">
        <v>47</v>
      </c>
      <c r="J356" s="18">
        <v>15944</v>
      </c>
      <c r="K356" s="19">
        <v>1</v>
      </c>
      <c r="N356" s="11" t="s">
        <v>347</v>
      </c>
      <c r="O356" s="11" t="s">
        <v>64</v>
      </c>
      <c r="P356" s="11" t="s">
        <v>33</v>
      </c>
      <c r="Q356" s="11" t="s">
        <v>120</v>
      </c>
      <c r="R356" s="20">
        <f>(41760+(3*365))+112</f>
        <v>42967</v>
      </c>
      <c r="S356" s="17">
        <v>2</v>
      </c>
      <c r="T356" s="17">
        <v>1180</v>
      </c>
    </row>
    <row r="357" spans="1:20" x14ac:dyDescent="0.2">
      <c r="A357" s="11" t="s">
        <v>725</v>
      </c>
      <c r="B357" s="14" t="s">
        <v>27</v>
      </c>
      <c r="C357" s="11" t="s">
        <v>86</v>
      </c>
      <c r="D357" s="15">
        <v>254201611</v>
      </c>
      <c r="E357" s="11" t="s">
        <v>29</v>
      </c>
      <c r="F357" s="20">
        <v>36890</v>
      </c>
      <c r="G357" s="16" t="str">
        <f t="shared" si="10"/>
        <v>December</v>
      </c>
      <c r="H357" s="2">
        <f t="shared" ca="1" si="11"/>
        <v>18</v>
      </c>
      <c r="I357" s="17" t="s">
        <v>38</v>
      </c>
      <c r="J357" s="18">
        <v>60993</v>
      </c>
      <c r="K357" s="19">
        <v>5</v>
      </c>
      <c r="N357" s="11" t="s">
        <v>1613</v>
      </c>
      <c r="O357" s="11" t="s">
        <v>117</v>
      </c>
      <c r="P357" s="11" t="s">
        <v>40</v>
      </c>
      <c r="Q357" s="11" t="s">
        <v>25</v>
      </c>
      <c r="R357" s="20">
        <f>(42277+(3*365))+112</f>
        <v>43484</v>
      </c>
      <c r="S357" s="17">
        <v>15</v>
      </c>
      <c r="T357" s="17">
        <v>5580</v>
      </c>
    </row>
    <row r="358" spans="1:20" x14ac:dyDescent="0.2">
      <c r="A358" s="11" t="s">
        <v>321</v>
      </c>
      <c r="B358" s="14" t="s">
        <v>83</v>
      </c>
      <c r="C358" s="11" t="s">
        <v>52</v>
      </c>
      <c r="D358" s="15">
        <v>581823751</v>
      </c>
      <c r="E358" s="11" t="s">
        <v>21</v>
      </c>
      <c r="F358" s="20">
        <v>40523</v>
      </c>
      <c r="G358" s="16" t="str">
        <f t="shared" si="10"/>
        <v>December</v>
      </c>
      <c r="H358" s="2">
        <f t="shared" ca="1" si="11"/>
        <v>8</v>
      </c>
      <c r="I358" s="17"/>
      <c r="J358" s="18">
        <v>99077</v>
      </c>
      <c r="K358" s="19">
        <v>2</v>
      </c>
      <c r="N358" s="11" t="s">
        <v>541</v>
      </c>
      <c r="O358" s="11" t="s">
        <v>125</v>
      </c>
      <c r="P358" s="11" t="s">
        <v>33</v>
      </c>
      <c r="Q358" s="11" t="s">
        <v>219</v>
      </c>
      <c r="R358" s="20">
        <f>(41845+(3*365))+112</f>
        <v>43052</v>
      </c>
      <c r="S358" s="17">
        <v>7</v>
      </c>
      <c r="T358" s="17">
        <v>4110</v>
      </c>
    </row>
    <row r="359" spans="1:20" x14ac:dyDescent="0.2">
      <c r="A359" s="11" t="s">
        <v>50</v>
      </c>
      <c r="B359" s="14" t="s">
        <v>51</v>
      </c>
      <c r="C359" s="11" t="s">
        <v>52</v>
      </c>
      <c r="D359" s="15">
        <v>938508346</v>
      </c>
      <c r="E359" s="11" t="s">
        <v>21</v>
      </c>
      <c r="F359" s="20">
        <v>36101</v>
      </c>
      <c r="G359" s="16" t="str">
        <f t="shared" si="10"/>
        <v>November</v>
      </c>
      <c r="H359" s="2">
        <f t="shared" ca="1" si="11"/>
        <v>20</v>
      </c>
      <c r="I359" s="17"/>
      <c r="J359" s="18">
        <v>108068</v>
      </c>
      <c r="K359" s="19">
        <v>3</v>
      </c>
      <c r="N359" s="11" t="s">
        <v>487</v>
      </c>
      <c r="O359" s="11" t="s">
        <v>32</v>
      </c>
      <c r="P359" s="11" t="s">
        <v>33</v>
      </c>
      <c r="Q359" s="11" t="s">
        <v>219</v>
      </c>
      <c r="R359" s="20">
        <f>(41819+(3*365))+112</f>
        <v>43026</v>
      </c>
      <c r="S359" s="17">
        <v>4</v>
      </c>
      <c r="T359" s="17">
        <v>2330</v>
      </c>
    </row>
    <row r="360" spans="1:20" x14ac:dyDescent="0.2">
      <c r="A360" s="11" t="s">
        <v>1012</v>
      </c>
      <c r="B360" s="14" t="s">
        <v>27</v>
      </c>
      <c r="C360" s="11" t="s">
        <v>62</v>
      </c>
      <c r="D360" s="15">
        <v>768681542</v>
      </c>
      <c r="E360" s="11" t="s">
        <v>29</v>
      </c>
      <c r="F360" s="20">
        <v>38320</v>
      </c>
      <c r="G360" s="16" t="str">
        <f t="shared" si="10"/>
        <v>November</v>
      </c>
      <c r="H360" s="2">
        <f t="shared" ca="1" si="11"/>
        <v>14</v>
      </c>
      <c r="I360" s="17" t="s">
        <v>47</v>
      </c>
      <c r="J360" s="18">
        <v>82121</v>
      </c>
      <c r="K360" s="19">
        <v>2</v>
      </c>
      <c r="N360" s="11" t="s">
        <v>989</v>
      </c>
      <c r="O360" s="11" t="s">
        <v>114</v>
      </c>
      <c r="P360" s="11" t="s">
        <v>40</v>
      </c>
      <c r="Q360" s="11" t="s">
        <v>34</v>
      </c>
      <c r="R360" s="20">
        <f>(42006+(3*365))+112</f>
        <v>43213</v>
      </c>
      <c r="S360" s="17">
        <v>9</v>
      </c>
      <c r="T360" s="17">
        <v>2858</v>
      </c>
    </row>
    <row r="361" spans="1:20" x14ac:dyDescent="0.2">
      <c r="A361" s="11" t="s">
        <v>291</v>
      </c>
      <c r="B361" s="14" t="s">
        <v>43</v>
      </c>
      <c r="C361" s="11" t="s">
        <v>101</v>
      </c>
      <c r="D361" s="15">
        <v>360904659</v>
      </c>
      <c r="E361" s="11" t="s">
        <v>29</v>
      </c>
      <c r="F361" s="20">
        <v>36444</v>
      </c>
      <c r="G361" s="16" t="str">
        <f t="shared" si="10"/>
        <v>October</v>
      </c>
      <c r="H361" s="2">
        <f t="shared" ca="1" si="11"/>
        <v>19</v>
      </c>
      <c r="I361" s="17" t="s">
        <v>30</v>
      </c>
      <c r="J361" s="18">
        <v>60237</v>
      </c>
      <c r="K361" s="19">
        <v>5</v>
      </c>
      <c r="N361" s="11" t="s">
        <v>391</v>
      </c>
      <c r="O361" s="11" t="s">
        <v>117</v>
      </c>
      <c r="P361" s="11" t="s">
        <v>40</v>
      </c>
      <c r="Q361" s="11" t="s">
        <v>34</v>
      </c>
      <c r="R361" s="20">
        <f>(41780+(3*365))+112</f>
        <v>42987</v>
      </c>
      <c r="S361" s="17">
        <v>15</v>
      </c>
      <c r="T361" s="17">
        <v>8220</v>
      </c>
    </row>
    <row r="362" spans="1:20" x14ac:dyDescent="0.2">
      <c r="A362" s="11" t="s">
        <v>1322</v>
      </c>
      <c r="B362" s="14" t="s">
        <v>19</v>
      </c>
      <c r="C362" s="11" t="s">
        <v>145</v>
      </c>
      <c r="D362" s="15">
        <v>548704405</v>
      </c>
      <c r="E362" s="11" t="s">
        <v>21</v>
      </c>
      <c r="F362" s="20">
        <v>39262</v>
      </c>
      <c r="G362" s="16" t="str">
        <f t="shared" si="10"/>
        <v>June</v>
      </c>
      <c r="H362" s="2">
        <f t="shared" ca="1" si="11"/>
        <v>11</v>
      </c>
      <c r="I362" s="17"/>
      <c r="J362" s="18">
        <v>82080</v>
      </c>
      <c r="K362" s="19">
        <v>4</v>
      </c>
      <c r="N362" s="11" t="s">
        <v>1079</v>
      </c>
      <c r="O362" s="11" t="s">
        <v>125</v>
      </c>
      <c r="P362" s="11" t="s">
        <v>33</v>
      </c>
      <c r="Q362" s="11" t="s">
        <v>120</v>
      </c>
      <c r="R362" s="20">
        <f>(42033+(3*365))+112</f>
        <v>43240</v>
      </c>
      <c r="S362" s="17">
        <v>15</v>
      </c>
      <c r="T362" s="17">
        <v>8415</v>
      </c>
    </row>
    <row r="363" spans="1:20" x14ac:dyDescent="0.2">
      <c r="A363" s="11" t="s">
        <v>640</v>
      </c>
      <c r="B363" s="14" t="s">
        <v>27</v>
      </c>
      <c r="C363" s="11" t="s">
        <v>641</v>
      </c>
      <c r="D363" s="15">
        <v>183135788</v>
      </c>
      <c r="E363" s="11" t="s">
        <v>21</v>
      </c>
      <c r="F363" s="20">
        <v>36859</v>
      </c>
      <c r="G363" s="16" t="str">
        <f t="shared" si="10"/>
        <v>November</v>
      </c>
      <c r="H363" s="2">
        <f t="shared" ca="1" si="11"/>
        <v>18</v>
      </c>
      <c r="I363" s="17"/>
      <c r="J363" s="18">
        <v>82026</v>
      </c>
      <c r="K363" s="19">
        <v>2</v>
      </c>
      <c r="N363" s="11" t="s">
        <v>730</v>
      </c>
      <c r="O363" s="11" t="s">
        <v>54</v>
      </c>
      <c r="P363" s="11" t="s">
        <v>24</v>
      </c>
      <c r="Q363" s="11" t="s">
        <v>219</v>
      </c>
      <c r="R363" s="20">
        <f>(41921+(3*365))+112</f>
        <v>43128</v>
      </c>
      <c r="S363" s="17">
        <v>6</v>
      </c>
      <c r="T363" s="17">
        <v>3040</v>
      </c>
    </row>
    <row r="364" spans="1:20" x14ac:dyDescent="0.2">
      <c r="A364" s="11" t="s">
        <v>461</v>
      </c>
      <c r="B364" s="14" t="s">
        <v>83</v>
      </c>
      <c r="C364" s="11" t="s">
        <v>214</v>
      </c>
      <c r="D364" s="15">
        <v>620336005</v>
      </c>
      <c r="E364" s="11" t="s">
        <v>29</v>
      </c>
      <c r="F364" s="20">
        <v>41233</v>
      </c>
      <c r="G364" s="16" t="str">
        <f t="shared" si="10"/>
        <v>November</v>
      </c>
      <c r="H364" s="2">
        <f t="shared" ca="1" si="11"/>
        <v>6</v>
      </c>
      <c r="I364" s="17" t="s">
        <v>47</v>
      </c>
      <c r="J364" s="18">
        <v>55431</v>
      </c>
      <c r="K364" s="19">
        <v>3</v>
      </c>
      <c r="N364" s="11" t="s">
        <v>1011</v>
      </c>
      <c r="O364" s="11" t="s">
        <v>78</v>
      </c>
      <c r="P364" s="11" t="s">
        <v>33</v>
      </c>
      <c r="Q364" s="11" t="s">
        <v>41</v>
      </c>
      <c r="R364" s="20">
        <f>(42012+(3*365))+112</f>
        <v>43219</v>
      </c>
      <c r="S364" s="17">
        <v>11</v>
      </c>
      <c r="T364" s="17">
        <v>6085</v>
      </c>
    </row>
    <row r="365" spans="1:20" x14ac:dyDescent="0.2">
      <c r="A365" s="11" t="s">
        <v>439</v>
      </c>
      <c r="B365" s="14" t="s">
        <v>27</v>
      </c>
      <c r="C365" s="11" t="s">
        <v>52</v>
      </c>
      <c r="D365" s="15">
        <v>685953695</v>
      </c>
      <c r="E365" s="11" t="s">
        <v>29</v>
      </c>
      <c r="F365" s="20">
        <v>36679</v>
      </c>
      <c r="G365" s="16" t="str">
        <f t="shared" si="10"/>
        <v>June</v>
      </c>
      <c r="H365" s="2">
        <f t="shared" ca="1" si="11"/>
        <v>19</v>
      </c>
      <c r="I365" s="17" t="s">
        <v>30</v>
      </c>
      <c r="J365" s="18">
        <v>111726</v>
      </c>
      <c r="K365" s="19">
        <v>4</v>
      </c>
      <c r="N365" s="11" t="s">
        <v>332</v>
      </c>
      <c r="O365" s="11" t="s">
        <v>78</v>
      </c>
      <c r="P365" s="11" t="s">
        <v>65</v>
      </c>
      <c r="Q365" s="11" t="s">
        <v>34</v>
      </c>
      <c r="R365" s="20">
        <f>(41755+(3*365))+112</f>
        <v>42962</v>
      </c>
      <c r="S365" s="17">
        <v>10</v>
      </c>
      <c r="T365" s="17">
        <v>5980</v>
      </c>
    </row>
    <row r="366" spans="1:20" x14ac:dyDescent="0.2">
      <c r="A366" s="11" t="s">
        <v>984</v>
      </c>
      <c r="B366" s="14" t="s">
        <v>83</v>
      </c>
      <c r="C366" s="11" t="s">
        <v>136</v>
      </c>
      <c r="D366" s="15">
        <v>445693854</v>
      </c>
      <c r="E366" s="11" t="s">
        <v>21</v>
      </c>
      <c r="F366" s="20">
        <v>37771</v>
      </c>
      <c r="G366" s="16" t="str">
        <f t="shared" si="10"/>
        <v>May</v>
      </c>
      <c r="H366" s="2">
        <f t="shared" ca="1" si="11"/>
        <v>16</v>
      </c>
      <c r="I366" s="17"/>
      <c r="J366" s="18">
        <v>103775</v>
      </c>
      <c r="K366" s="19">
        <v>5</v>
      </c>
      <c r="N366" s="11" t="s">
        <v>304</v>
      </c>
      <c r="O366" s="11" t="s">
        <v>49</v>
      </c>
      <c r="P366" s="11" t="s">
        <v>33</v>
      </c>
      <c r="Q366" s="11" t="s">
        <v>25</v>
      </c>
      <c r="R366" s="20">
        <f>(41745+(3*365))+112</f>
        <v>42952</v>
      </c>
      <c r="S366" s="17">
        <v>4</v>
      </c>
      <c r="T366" s="17">
        <v>1660</v>
      </c>
    </row>
    <row r="367" spans="1:20" x14ac:dyDescent="0.2">
      <c r="A367" s="11" t="s">
        <v>1186</v>
      </c>
      <c r="B367" s="14" t="s">
        <v>19</v>
      </c>
      <c r="C367" s="11" t="s">
        <v>136</v>
      </c>
      <c r="D367" s="15">
        <v>358017400</v>
      </c>
      <c r="E367" s="11" t="s">
        <v>56</v>
      </c>
      <c r="F367" s="20">
        <v>39236</v>
      </c>
      <c r="G367" s="16" t="str">
        <f t="shared" si="10"/>
        <v>June</v>
      </c>
      <c r="H367" s="2">
        <f t="shared" ca="1" si="11"/>
        <v>12</v>
      </c>
      <c r="I367" s="17"/>
      <c r="J367" s="18">
        <v>48670</v>
      </c>
      <c r="K367" s="19">
        <v>5</v>
      </c>
      <c r="N367" s="11" t="s">
        <v>397</v>
      </c>
      <c r="O367" s="11" t="s">
        <v>125</v>
      </c>
      <c r="P367" s="11" t="s">
        <v>40</v>
      </c>
      <c r="Q367" s="11" t="s">
        <v>41</v>
      </c>
      <c r="R367" s="20">
        <f>(41784+(3*365))+112</f>
        <v>42991</v>
      </c>
      <c r="S367" s="17">
        <v>4</v>
      </c>
      <c r="T367" s="17">
        <v>1330</v>
      </c>
    </row>
    <row r="368" spans="1:20" x14ac:dyDescent="0.2">
      <c r="A368" s="11" t="s">
        <v>18</v>
      </c>
      <c r="B368" s="14" t="s">
        <v>19</v>
      </c>
      <c r="C368" s="11" t="s">
        <v>20</v>
      </c>
      <c r="D368" s="15">
        <v>513140687</v>
      </c>
      <c r="E368" s="11" t="s">
        <v>21</v>
      </c>
      <c r="F368" s="20">
        <v>36084</v>
      </c>
      <c r="G368" s="16" t="str">
        <f t="shared" si="10"/>
        <v>October</v>
      </c>
      <c r="H368" s="2">
        <f t="shared" ca="1" si="11"/>
        <v>20</v>
      </c>
      <c r="I368" s="17"/>
      <c r="J368" s="18">
        <v>57969</v>
      </c>
      <c r="K368" s="19">
        <v>1</v>
      </c>
      <c r="N368" s="11" t="s">
        <v>1025</v>
      </c>
      <c r="O368" s="11" t="s">
        <v>114</v>
      </c>
      <c r="P368" s="11" t="s">
        <v>33</v>
      </c>
      <c r="Q368" s="11" t="s">
        <v>219</v>
      </c>
      <c r="R368" s="20">
        <f>(42015+(3*365))+112</f>
        <v>43222</v>
      </c>
      <c r="S368" s="17">
        <v>15</v>
      </c>
      <c r="T368" s="17">
        <v>7575</v>
      </c>
    </row>
    <row r="369" spans="1:20" x14ac:dyDescent="0.2">
      <c r="A369" s="11" t="s">
        <v>544</v>
      </c>
      <c r="B369" s="14" t="s">
        <v>43</v>
      </c>
      <c r="C369" s="11" t="s">
        <v>214</v>
      </c>
      <c r="D369" s="15">
        <v>488831244</v>
      </c>
      <c r="E369" s="11" t="s">
        <v>80</v>
      </c>
      <c r="F369" s="20">
        <v>40476</v>
      </c>
      <c r="G369" s="16" t="str">
        <f t="shared" si="10"/>
        <v>October</v>
      </c>
      <c r="H369" s="2">
        <f t="shared" ca="1" si="11"/>
        <v>8</v>
      </c>
      <c r="I369" s="17" t="s">
        <v>47</v>
      </c>
      <c r="J369" s="18">
        <v>33021</v>
      </c>
      <c r="K369" s="19">
        <v>1</v>
      </c>
      <c r="N369" s="11" t="s">
        <v>875</v>
      </c>
      <c r="O369" s="11" t="s">
        <v>125</v>
      </c>
      <c r="P369" s="11" t="s">
        <v>65</v>
      </c>
      <c r="Q369" s="11" t="s">
        <v>120</v>
      </c>
      <c r="R369" s="20">
        <f>(41970+(3*365))+112</f>
        <v>43177</v>
      </c>
      <c r="S369" s="17">
        <v>14</v>
      </c>
      <c r="T369" s="17">
        <v>5740</v>
      </c>
    </row>
    <row r="370" spans="1:20" x14ac:dyDescent="0.2">
      <c r="A370" s="11" t="s">
        <v>79</v>
      </c>
      <c r="B370" s="14" t="s">
        <v>19</v>
      </c>
      <c r="C370" s="11" t="s">
        <v>62</v>
      </c>
      <c r="D370" s="15">
        <v>781913936</v>
      </c>
      <c r="E370" s="11" t="s">
        <v>80</v>
      </c>
      <c r="F370" s="20">
        <v>40638</v>
      </c>
      <c r="G370" s="16" t="str">
        <f t="shared" si="10"/>
        <v>April</v>
      </c>
      <c r="H370" s="2">
        <f t="shared" ca="1" si="11"/>
        <v>8</v>
      </c>
      <c r="I370" s="17" t="s">
        <v>71</v>
      </c>
      <c r="J370" s="18">
        <v>23942</v>
      </c>
      <c r="K370" s="19">
        <v>3</v>
      </c>
      <c r="N370" s="11" t="s">
        <v>237</v>
      </c>
      <c r="O370" s="11" t="s">
        <v>117</v>
      </c>
      <c r="P370" s="11" t="s">
        <v>65</v>
      </c>
      <c r="Q370" s="11" t="s">
        <v>41</v>
      </c>
      <c r="R370" s="20">
        <f>(41715+(3*365))+112</f>
        <v>42922</v>
      </c>
      <c r="S370" s="17">
        <v>11</v>
      </c>
      <c r="T370" s="21">
        <v>4555</v>
      </c>
    </row>
    <row r="371" spans="1:20" x14ac:dyDescent="0.2">
      <c r="A371" s="11" t="s">
        <v>149</v>
      </c>
      <c r="B371" s="14" t="s">
        <v>27</v>
      </c>
      <c r="C371" s="11" t="s">
        <v>145</v>
      </c>
      <c r="D371" s="15">
        <v>693055639</v>
      </c>
      <c r="E371" s="11" t="s">
        <v>29</v>
      </c>
      <c r="F371" s="20">
        <v>36078</v>
      </c>
      <c r="G371" s="16" t="str">
        <f t="shared" si="10"/>
        <v>October</v>
      </c>
      <c r="H371" s="2">
        <f t="shared" ca="1" si="11"/>
        <v>20</v>
      </c>
      <c r="I371" s="17" t="s">
        <v>47</v>
      </c>
      <c r="J371" s="18">
        <v>72765</v>
      </c>
      <c r="K371" s="19">
        <v>5</v>
      </c>
      <c r="N371" s="11" t="s">
        <v>102</v>
      </c>
      <c r="O371" s="11" t="s">
        <v>45</v>
      </c>
      <c r="P371" s="11" t="s">
        <v>33</v>
      </c>
      <c r="Q371" s="11" t="s">
        <v>41</v>
      </c>
      <c r="R371" s="20">
        <f>(41667+(3*365))+112</f>
        <v>42874</v>
      </c>
      <c r="S371" s="17">
        <v>13</v>
      </c>
      <c r="T371" s="21">
        <v>5550</v>
      </c>
    </row>
    <row r="372" spans="1:20" x14ac:dyDescent="0.2">
      <c r="A372" s="11" t="s">
        <v>1044</v>
      </c>
      <c r="B372" s="14" t="s">
        <v>19</v>
      </c>
      <c r="C372" s="11" t="s">
        <v>136</v>
      </c>
      <c r="D372" s="15">
        <v>978154935</v>
      </c>
      <c r="E372" s="11" t="s">
        <v>29</v>
      </c>
      <c r="F372" s="20">
        <v>39051</v>
      </c>
      <c r="G372" s="16" t="str">
        <f t="shared" si="10"/>
        <v>November</v>
      </c>
      <c r="H372" s="2">
        <f t="shared" ca="1" si="11"/>
        <v>12</v>
      </c>
      <c r="I372" s="17" t="s">
        <v>38</v>
      </c>
      <c r="J372" s="18">
        <v>62586</v>
      </c>
      <c r="K372" s="19">
        <v>5</v>
      </c>
      <c r="N372" s="11" t="s">
        <v>613</v>
      </c>
      <c r="O372" s="11" t="s">
        <v>49</v>
      </c>
      <c r="P372" s="11" t="s">
        <v>40</v>
      </c>
      <c r="Q372" s="11" t="s">
        <v>120</v>
      </c>
      <c r="R372" s="20">
        <f>(41874+(3*365))+112</f>
        <v>43081</v>
      </c>
      <c r="S372" s="17">
        <v>13</v>
      </c>
      <c r="T372" s="17">
        <v>4405</v>
      </c>
    </row>
    <row r="373" spans="1:20" x14ac:dyDescent="0.2">
      <c r="A373" s="11" t="s">
        <v>898</v>
      </c>
      <c r="B373" s="14" t="s">
        <v>36</v>
      </c>
      <c r="C373" s="11" t="s">
        <v>249</v>
      </c>
      <c r="D373" s="15">
        <v>917195248</v>
      </c>
      <c r="E373" s="11" t="s">
        <v>56</v>
      </c>
      <c r="F373" s="20">
        <v>40683</v>
      </c>
      <c r="G373" s="16" t="str">
        <f t="shared" si="10"/>
        <v>May</v>
      </c>
      <c r="H373" s="2">
        <f t="shared" ca="1" si="11"/>
        <v>8</v>
      </c>
      <c r="I373" s="17"/>
      <c r="J373" s="18">
        <v>14909</v>
      </c>
      <c r="K373" s="19">
        <v>2</v>
      </c>
      <c r="N373" s="11" t="s">
        <v>1483</v>
      </c>
      <c r="O373" s="11" t="s">
        <v>78</v>
      </c>
      <c r="P373" s="11" t="s">
        <v>24</v>
      </c>
      <c r="Q373" s="11" t="s">
        <v>34</v>
      </c>
      <c r="R373" s="20">
        <f>(42197+(3*365))+112</f>
        <v>43404</v>
      </c>
      <c r="S373" s="17">
        <v>13</v>
      </c>
      <c r="T373" s="17">
        <v>5801</v>
      </c>
    </row>
    <row r="374" spans="1:20" x14ac:dyDescent="0.2">
      <c r="A374" s="11" t="s">
        <v>765</v>
      </c>
      <c r="B374" s="14" t="s">
        <v>51</v>
      </c>
      <c r="C374" s="11" t="s">
        <v>145</v>
      </c>
      <c r="D374" s="15">
        <v>462461365</v>
      </c>
      <c r="E374" s="11" t="s">
        <v>29</v>
      </c>
      <c r="F374" s="20">
        <v>36877</v>
      </c>
      <c r="G374" s="16" t="str">
        <f t="shared" si="10"/>
        <v>December</v>
      </c>
      <c r="H374" s="2">
        <f t="shared" ca="1" si="11"/>
        <v>18</v>
      </c>
      <c r="I374" s="17" t="s">
        <v>30</v>
      </c>
      <c r="J374" s="18">
        <v>60899</v>
      </c>
      <c r="K374" s="19">
        <v>2</v>
      </c>
      <c r="N374" s="11" t="s">
        <v>1101</v>
      </c>
      <c r="O374" s="11" t="s">
        <v>45</v>
      </c>
      <c r="P374" s="11" t="s">
        <v>33</v>
      </c>
      <c r="Q374" s="11" t="s">
        <v>120</v>
      </c>
      <c r="R374" s="20">
        <f>(42039+(3*365))+112</f>
        <v>43246</v>
      </c>
      <c r="S374" s="17">
        <v>13</v>
      </c>
      <c r="T374" s="17">
        <v>7295</v>
      </c>
    </row>
    <row r="375" spans="1:20" x14ac:dyDescent="0.2">
      <c r="A375" s="11" t="s">
        <v>1288</v>
      </c>
      <c r="B375" s="14" t="s">
        <v>27</v>
      </c>
      <c r="C375" s="11" t="s">
        <v>145</v>
      </c>
      <c r="D375" s="15">
        <v>708082156</v>
      </c>
      <c r="E375" s="11" t="s">
        <v>29</v>
      </c>
      <c r="F375" s="20">
        <v>39168</v>
      </c>
      <c r="G375" s="16" t="str">
        <f t="shared" si="10"/>
        <v>March</v>
      </c>
      <c r="H375" s="2">
        <f t="shared" ca="1" si="11"/>
        <v>12</v>
      </c>
      <c r="I375" s="17" t="s">
        <v>47</v>
      </c>
      <c r="J375" s="18">
        <v>93420</v>
      </c>
      <c r="K375" s="19">
        <v>4</v>
      </c>
      <c r="N375" s="11" t="s">
        <v>1487</v>
      </c>
      <c r="O375" s="11" t="s">
        <v>54</v>
      </c>
      <c r="P375" s="11" t="s">
        <v>24</v>
      </c>
      <c r="Q375" s="11" t="s">
        <v>219</v>
      </c>
      <c r="R375" s="20">
        <f>(42200+(3*365))+112</f>
        <v>43407</v>
      </c>
      <c r="S375" s="17">
        <v>3</v>
      </c>
      <c r="T375" s="17">
        <v>1540</v>
      </c>
    </row>
    <row r="376" spans="1:20" x14ac:dyDescent="0.2">
      <c r="A376" s="11" t="s">
        <v>108</v>
      </c>
      <c r="B376" s="14" t="s">
        <v>43</v>
      </c>
      <c r="C376" s="11" t="s">
        <v>101</v>
      </c>
      <c r="D376" s="15">
        <v>671360508</v>
      </c>
      <c r="E376" s="11" t="s">
        <v>80</v>
      </c>
      <c r="F376" s="20">
        <v>36016</v>
      </c>
      <c r="G376" s="16" t="str">
        <f t="shared" si="10"/>
        <v>August</v>
      </c>
      <c r="H376" s="2">
        <f t="shared" ca="1" si="11"/>
        <v>20</v>
      </c>
      <c r="I376" s="17" t="s">
        <v>87</v>
      </c>
      <c r="J376" s="18">
        <v>53487</v>
      </c>
      <c r="K376" s="19">
        <v>5</v>
      </c>
      <c r="N376" s="11" t="s">
        <v>1035</v>
      </c>
      <c r="O376" s="11" t="s">
        <v>49</v>
      </c>
      <c r="P376" s="11" t="s">
        <v>65</v>
      </c>
      <c r="Q376" s="11" t="s">
        <v>219</v>
      </c>
      <c r="R376" s="20">
        <f>(42018+(3*365))+112</f>
        <v>43225</v>
      </c>
      <c r="S376" s="17">
        <v>1</v>
      </c>
      <c r="T376" s="17">
        <v>440</v>
      </c>
    </row>
    <row r="377" spans="1:20" x14ac:dyDescent="0.2">
      <c r="A377" s="11" t="s">
        <v>691</v>
      </c>
      <c r="B377" s="14" t="s">
        <v>19</v>
      </c>
      <c r="C377" s="11" t="s">
        <v>214</v>
      </c>
      <c r="D377" s="15">
        <v>527185620</v>
      </c>
      <c r="E377" s="11" t="s">
        <v>29</v>
      </c>
      <c r="F377" s="20">
        <v>43126</v>
      </c>
      <c r="G377" s="16" t="str">
        <f t="shared" si="10"/>
        <v>January</v>
      </c>
      <c r="H377" s="2">
        <f t="shared" ca="1" si="11"/>
        <v>1</v>
      </c>
      <c r="I377" s="17" t="s">
        <v>30</v>
      </c>
      <c r="J377" s="18">
        <v>47655</v>
      </c>
      <c r="K377" s="19">
        <v>5</v>
      </c>
      <c r="N377" s="11" t="s">
        <v>479</v>
      </c>
      <c r="O377" s="11" t="s">
        <v>23</v>
      </c>
      <c r="P377" s="11" t="s">
        <v>24</v>
      </c>
      <c r="Q377" s="11" t="s">
        <v>41</v>
      </c>
      <c r="R377" s="20">
        <f>(41818+(3*365))+112</f>
        <v>43025</v>
      </c>
      <c r="S377" s="17">
        <v>7</v>
      </c>
      <c r="T377" s="17">
        <v>2730</v>
      </c>
    </row>
    <row r="378" spans="1:20" x14ac:dyDescent="0.2">
      <c r="A378" s="11" t="s">
        <v>1206</v>
      </c>
      <c r="B378" s="14" t="s">
        <v>36</v>
      </c>
      <c r="C378" s="11" t="s">
        <v>152</v>
      </c>
      <c r="D378" s="15">
        <v>758001890</v>
      </c>
      <c r="E378" s="11" t="s">
        <v>80</v>
      </c>
      <c r="F378" s="20">
        <v>38153</v>
      </c>
      <c r="G378" s="16" t="str">
        <f t="shared" si="10"/>
        <v>June</v>
      </c>
      <c r="H378" s="2">
        <f t="shared" ca="1" si="11"/>
        <v>14</v>
      </c>
      <c r="I378" s="17" t="s">
        <v>30</v>
      </c>
      <c r="J378" s="18">
        <v>51442</v>
      </c>
      <c r="K378" s="19">
        <v>2</v>
      </c>
      <c r="N378" s="11" t="s">
        <v>22</v>
      </c>
      <c r="O378" s="11" t="s">
        <v>23</v>
      </c>
      <c r="P378" s="11" t="s">
        <v>24</v>
      </c>
      <c r="Q378" s="11" t="s">
        <v>25</v>
      </c>
      <c r="R378" s="20">
        <f>(41645+(3*365))+112</f>
        <v>42852</v>
      </c>
      <c r="S378" s="17">
        <v>2</v>
      </c>
      <c r="T378" s="21">
        <v>795</v>
      </c>
    </row>
    <row r="379" spans="1:20" x14ac:dyDescent="0.2">
      <c r="A379" s="11" t="s">
        <v>781</v>
      </c>
      <c r="B379" s="14" t="s">
        <v>19</v>
      </c>
      <c r="C379" s="11" t="s">
        <v>86</v>
      </c>
      <c r="D379" s="15">
        <v>393290045</v>
      </c>
      <c r="E379" s="11" t="s">
        <v>80</v>
      </c>
      <c r="F379" s="20">
        <v>40022</v>
      </c>
      <c r="G379" s="16" t="str">
        <f t="shared" si="10"/>
        <v>July</v>
      </c>
      <c r="H379" s="2">
        <f t="shared" ca="1" si="11"/>
        <v>9</v>
      </c>
      <c r="I379" s="17" t="s">
        <v>87</v>
      </c>
      <c r="J379" s="18">
        <v>63848</v>
      </c>
      <c r="K379" s="19">
        <v>4</v>
      </c>
      <c r="N379" s="11" t="s">
        <v>1523</v>
      </c>
      <c r="O379" s="11" t="s">
        <v>32</v>
      </c>
      <c r="P379" s="11" t="s">
        <v>33</v>
      </c>
      <c r="Q379" s="11" t="s">
        <v>34</v>
      </c>
      <c r="R379" s="20">
        <f>(42216+(3*365))+112</f>
        <v>43423</v>
      </c>
      <c r="S379" s="17">
        <v>8</v>
      </c>
      <c r="T379" s="17">
        <v>3507</v>
      </c>
    </row>
    <row r="380" spans="1:20" x14ac:dyDescent="0.2">
      <c r="A380" s="11" t="s">
        <v>331</v>
      </c>
      <c r="B380" s="14" t="s">
        <v>27</v>
      </c>
      <c r="C380" s="11" t="s">
        <v>52</v>
      </c>
      <c r="D380" s="15">
        <v>694800128</v>
      </c>
      <c r="E380" s="11" t="s">
        <v>29</v>
      </c>
      <c r="F380" s="20">
        <v>39125</v>
      </c>
      <c r="G380" s="16" t="str">
        <f t="shared" si="10"/>
        <v>February</v>
      </c>
      <c r="H380" s="2">
        <f t="shared" ca="1" si="11"/>
        <v>12</v>
      </c>
      <c r="I380" s="17" t="s">
        <v>30</v>
      </c>
      <c r="J380" s="18">
        <v>82796</v>
      </c>
      <c r="K380" s="19">
        <v>1</v>
      </c>
      <c r="N380" s="11" t="s">
        <v>1205</v>
      </c>
      <c r="O380" s="11" t="s">
        <v>64</v>
      </c>
      <c r="P380" s="11" t="s">
        <v>65</v>
      </c>
      <c r="Q380" s="11" t="s">
        <v>120</v>
      </c>
      <c r="R380" s="20">
        <f>(42091+(3*365))+112</f>
        <v>43298</v>
      </c>
      <c r="S380" s="17">
        <v>4</v>
      </c>
      <c r="T380" s="17">
        <v>1600</v>
      </c>
    </row>
    <row r="381" spans="1:20" x14ac:dyDescent="0.2">
      <c r="A381" s="11" t="s">
        <v>582</v>
      </c>
      <c r="B381" s="14" t="s">
        <v>43</v>
      </c>
      <c r="C381" s="11" t="s">
        <v>214</v>
      </c>
      <c r="D381" s="15">
        <v>328787467</v>
      </c>
      <c r="E381" s="11" t="s">
        <v>56</v>
      </c>
      <c r="F381" s="20">
        <v>41943</v>
      </c>
      <c r="G381" s="16" t="str">
        <f t="shared" si="10"/>
        <v>October</v>
      </c>
      <c r="H381" s="2">
        <f t="shared" ca="1" si="11"/>
        <v>4</v>
      </c>
      <c r="I381" s="17"/>
      <c r="J381" s="18">
        <v>19462</v>
      </c>
      <c r="K381" s="19">
        <v>4</v>
      </c>
      <c r="N381" s="11" t="s">
        <v>925</v>
      </c>
      <c r="O381" s="11" t="s">
        <v>45</v>
      </c>
      <c r="P381" s="11" t="s">
        <v>33</v>
      </c>
      <c r="Q381" s="11" t="s">
        <v>34</v>
      </c>
      <c r="R381" s="20">
        <f>(41991+(3*365))+112</f>
        <v>43198</v>
      </c>
      <c r="S381" s="17">
        <v>13</v>
      </c>
      <c r="T381" s="17">
        <v>6541</v>
      </c>
    </row>
    <row r="382" spans="1:20" x14ac:dyDescent="0.2">
      <c r="A382" s="11" t="s">
        <v>936</v>
      </c>
      <c r="B382" s="14" t="s">
        <v>43</v>
      </c>
      <c r="C382" s="11" t="s">
        <v>59</v>
      </c>
      <c r="D382" s="15">
        <v>870601943</v>
      </c>
      <c r="E382" s="11" t="s">
        <v>21</v>
      </c>
      <c r="F382" s="20">
        <v>37617</v>
      </c>
      <c r="G382" s="16" t="str">
        <f t="shared" si="10"/>
        <v>December</v>
      </c>
      <c r="H382" s="2">
        <f t="shared" ca="1" si="11"/>
        <v>16</v>
      </c>
      <c r="I382" s="17"/>
      <c r="J382" s="18">
        <v>60804</v>
      </c>
      <c r="K382" s="19">
        <v>5</v>
      </c>
      <c r="N382" s="11" t="s">
        <v>1345</v>
      </c>
      <c r="O382" s="11" t="s">
        <v>54</v>
      </c>
      <c r="P382" s="11" t="s">
        <v>24</v>
      </c>
      <c r="Q382" s="11" t="s">
        <v>34</v>
      </c>
      <c r="R382" s="20">
        <f>(42148+(3*365))+112</f>
        <v>43355</v>
      </c>
      <c r="S382" s="17">
        <v>7</v>
      </c>
      <c r="T382" s="17">
        <v>3413</v>
      </c>
    </row>
    <row r="383" spans="1:20" x14ac:dyDescent="0.2">
      <c r="A383" s="11" t="s">
        <v>287</v>
      </c>
      <c r="B383" s="14" t="s">
        <v>27</v>
      </c>
      <c r="C383" s="11" t="s">
        <v>101</v>
      </c>
      <c r="D383" s="15">
        <v>292693795</v>
      </c>
      <c r="E383" s="11" t="s">
        <v>29</v>
      </c>
      <c r="F383" s="20">
        <v>36136</v>
      </c>
      <c r="G383" s="16" t="str">
        <f t="shared" si="10"/>
        <v>December</v>
      </c>
      <c r="H383" s="2">
        <f t="shared" ca="1" si="11"/>
        <v>20</v>
      </c>
      <c r="I383" s="17" t="s">
        <v>47</v>
      </c>
      <c r="J383" s="18">
        <v>118733</v>
      </c>
      <c r="K383" s="19">
        <v>4</v>
      </c>
      <c r="N383" s="11" t="s">
        <v>163</v>
      </c>
      <c r="O383" s="11" t="s">
        <v>49</v>
      </c>
      <c r="P383" s="11" t="s">
        <v>40</v>
      </c>
      <c r="Q383" s="11" t="s">
        <v>34</v>
      </c>
      <c r="R383" s="20">
        <f>(41682+(3*365))+112</f>
        <v>42889</v>
      </c>
      <c r="S383" s="17">
        <v>8</v>
      </c>
      <c r="T383" s="17">
        <v>2853</v>
      </c>
    </row>
    <row r="384" spans="1:20" x14ac:dyDescent="0.2">
      <c r="A384" s="11" t="s">
        <v>600</v>
      </c>
      <c r="B384" s="14" t="s">
        <v>43</v>
      </c>
      <c r="C384" s="11" t="s">
        <v>214</v>
      </c>
      <c r="D384" s="15">
        <v>772163640</v>
      </c>
      <c r="E384" s="11" t="s">
        <v>29</v>
      </c>
      <c r="F384" s="20">
        <v>39300</v>
      </c>
      <c r="G384" s="16" t="str">
        <f t="shared" si="10"/>
        <v>August</v>
      </c>
      <c r="H384" s="2">
        <f t="shared" ca="1" si="11"/>
        <v>11</v>
      </c>
      <c r="I384" s="17" t="s">
        <v>47</v>
      </c>
      <c r="J384" s="18">
        <v>90828</v>
      </c>
      <c r="K384" s="19">
        <v>3</v>
      </c>
      <c r="N384" s="11" t="s">
        <v>1630</v>
      </c>
      <c r="O384" s="11" t="s">
        <v>45</v>
      </c>
      <c r="P384" s="11" t="s">
        <v>33</v>
      </c>
      <c r="Q384" s="11" t="s">
        <v>219</v>
      </c>
      <c r="R384" s="20">
        <f>(42286+(3*365))+112</f>
        <v>43493</v>
      </c>
      <c r="S384" s="17">
        <v>12</v>
      </c>
      <c r="T384" s="17">
        <v>6070</v>
      </c>
    </row>
    <row r="385" spans="1:20" x14ac:dyDescent="0.2">
      <c r="A385" s="11" t="s">
        <v>1180</v>
      </c>
      <c r="B385" s="14" t="s">
        <v>19</v>
      </c>
      <c r="C385" s="11" t="s">
        <v>136</v>
      </c>
      <c r="D385" s="15">
        <v>548283920</v>
      </c>
      <c r="E385" s="11" t="s">
        <v>21</v>
      </c>
      <c r="F385" s="20">
        <v>39153</v>
      </c>
      <c r="G385" s="16" t="str">
        <f t="shared" si="10"/>
        <v>March</v>
      </c>
      <c r="H385" s="2">
        <f t="shared" ca="1" si="11"/>
        <v>12</v>
      </c>
      <c r="I385" s="17"/>
      <c r="J385" s="18">
        <v>78287</v>
      </c>
      <c r="K385" s="19">
        <v>5</v>
      </c>
      <c r="N385" s="11" t="s">
        <v>1707</v>
      </c>
      <c r="O385" s="11" t="s">
        <v>114</v>
      </c>
      <c r="P385" s="11" t="s">
        <v>65</v>
      </c>
      <c r="Q385" s="11" t="s">
        <v>120</v>
      </c>
      <c r="R385" s="20">
        <f>(42353+(3*365))+112</f>
        <v>43560</v>
      </c>
      <c r="S385" s="17">
        <v>6</v>
      </c>
      <c r="T385" s="17">
        <v>2485</v>
      </c>
    </row>
    <row r="386" spans="1:20" x14ac:dyDescent="0.2">
      <c r="A386" s="11" t="s">
        <v>1402</v>
      </c>
      <c r="B386" s="14" t="s">
        <v>51</v>
      </c>
      <c r="C386" s="11" t="s">
        <v>152</v>
      </c>
      <c r="D386" s="15">
        <v>900160539</v>
      </c>
      <c r="E386" s="11" t="s">
        <v>80</v>
      </c>
      <c r="F386" s="20">
        <v>39221</v>
      </c>
      <c r="G386" s="16" t="str">
        <f t="shared" ref="G386:G449" si="12">CHOOSE(MONTH(F386),"January","February","March","April","May","June","July","August","September","October","November","December")</f>
        <v>May</v>
      </c>
      <c r="H386" s="2">
        <f t="shared" ref="H386:H449" ca="1" si="13">DATEDIF(F386,TODAY(),"Y")</f>
        <v>12</v>
      </c>
      <c r="I386" s="17" t="s">
        <v>38</v>
      </c>
      <c r="J386" s="18">
        <v>26764</v>
      </c>
      <c r="K386" s="19">
        <v>2</v>
      </c>
      <c r="N386" s="11" t="s">
        <v>1489</v>
      </c>
      <c r="O386" s="11" t="s">
        <v>23</v>
      </c>
      <c r="P386" s="11" t="s">
        <v>24</v>
      </c>
      <c r="Q386" s="11" t="s">
        <v>25</v>
      </c>
      <c r="R386" s="20">
        <f>(42200+(3*365))+112</f>
        <v>43407</v>
      </c>
      <c r="S386" s="17">
        <v>12</v>
      </c>
      <c r="T386" s="17">
        <v>4670</v>
      </c>
    </row>
    <row r="387" spans="1:20" x14ac:dyDescent="0.2">
      <c r="A387" s="11" t="s">
        <v>151</v>
      </c>
      <c r="B387" s="14" t="s">
        <v>27</v>
      </c>
      <c r="C387" s="11" t="s">
        <v>152</v>
      </c>
      <c r="D387" s="15">
        <v>904497673</v>
      </c>
      <c r="E387" s="11" t="s">
        <v>21</v>
      </c>
      <c r="F387" s="20">
        <v>36000</v>
      </c>
      <c r="G387" s="16" t="str">
        <f t="shared" si="12"/>
        <v>July</v>
      </c>
      <c r="H387" s="2">
        <f t="shared" ca="1" si="13"/>
        <v>20</v>
      </c>
      <c r="I387" s="17"/>
      <c r="J387" s="18">
        <v>31509</v>
      </c>
      <c r="K387" s="19">
        <v>4</v>
      </c>
      <c r="N387" s="11" t="s">
        <v>848</v>
      </c>
      <c r="O387" s="11" t="s">
        <v>49</v>
      </c>
      <c r="P387" s="11" t="s">
        <v>33</v>
      </c>
      <c r="Q387" s="11" t="s">
        <v>34</v>
      </c>
      <c r="R387" s="20">
        <f>(41966+(3*365))+112</f>
        <v>43173</v>
      </c>
      <c r="S387" s="17">
        <v>8</v>
      </c>
      <c r="T387" s="17">
        <v>3667</v>
      </c>
    </row>
    <row r="388" spans="1:20" x14ac:dyDescent="0.2">
      <c r="A388" s="11" t="s">
        <v>538</v>
      </c>
      <c r="B388" s="14" t="s">
        <v>43</v>
      </c>
      <c r="C388" s="11" t="s">
        <v>136</v>
      </c>
      <c r="D388" s="15">
        <v>378882665</v>
      </c>
      <c r="E388" s="11" t="s">
        <v>80</v>
      </c>
      <c r="F388" s="20">
        <v>36527</v>
      </c>
      <c r="G388" s="16" t="str">
        <f t="shared" si="12"/>
        <v>January</v>
      </c>
      <c r="H388" s="2">
        <f t="shared" ca="1" si="13"/>
        <v>19</v>
      </c>
      <c r="I388" s="17" t="s">
        <v>47</v>
      </c>
      <c r="J388" s="18">
        <v>62613</v>
      </c>
      <c r="K388" s="19">
        <v>3</v>
      </c>
      <c r="N388" s="11" t="s">
        <v>658</v>
      </c>
      <c r="O388" s="11" t="s">
        <v>23</v>
      </c>
      <c r="P388" s="11" t="s">
        <v>24</v>
      </c>
      <c r="Q388" s="11" t="s">
        <v>25</v>
      </c>
      <c r="R388" s="20">
        <f>(41893+(3*365))+112</f>
        <v>43100</v>
      </c>
      <c r="S388" s="17">
        <v>1</v>
      </c>
      <c r="T388" s="17">
        <v>570</v>
      </c>
    </row>
    <row r="389" spans="1:20" x14ac:dyDescent="0.2">
      <c r="A389" s="11" t="s">
        <v>1214</v>
      </c>
      <c r="B389" s="14" t="s">
        <v>19</v>
      </c>
      <c r="C389" s="11" t="s">
        <v>152</v>
      </c>
      <c r="D389" s="15">
        <v>793256568</v>
      </c>
      <c r="E389" s="11" t="s">
        <v>29</v>
      </c>
      <c r="F389" s="20">
        <v>38220</v>
      </c>
      <c r="G389" s="16" t="str">
        <f t="shared" si="12"/>
        <v>August</v>
      </c>
      <c r="H389" s="2">
        <f t="shared" ca="1" si="13"/>
        <v>14</v>
      </c>
      <c r="I389" s="17" t="s">
        <v>47</v>
      </c>
      <c r="J389" s="18">
        <v>36626</v>
      </c>
      <c r="K389" s="19">
        <v>5</v>
      </c>
      <c r="N389" s="11" t="s">
        <v>1634</v>
      </c>
      <c r="O389" s="11" t="s">
        <v>78</v>
      </c>
      <c r="P389" s="11" t="s">
        <v>24</v>
      </c>
      <c r="Q389" s="11" t="s">
        <v>219</v>
      </c>
      <c r="R389" s="20">
        <f>(42290+(3*365))+112</f>
        <v>43497</v>
      </c>
      <c r="S389" s="17">
        <v>1</v>
      </c>
      <c r="T389" s="17">
        <v>330</v>
      </c>
    </row>
    <row r="390" spans="1:20" x14ac:dyDescent="0.2">
      <c r="A390" s="11" t="s">
        <v>1476</v>
      </c>
      <c r="B390" s="14" t="s">
        <v>19</v>
      </c>
      <c r="C390" s="11" t="s">
        <v>254</v>
      </c>
      <c r="D390" s="15">
        <v>972086665</v>
      </c>
      <c r="E390" s="11" t="s">
        <v>29</v>
      </c>
      <c r="F390" s="20">
        <v>41083</v>
      </c>
      <c r="G390" s="16" t="str">
        <f t="shared" si="12"/>
        <v>June</v>
      </c>
      <c r="H390" s="2">
        <f t="shared" ca="1" si="13"/>
        <v>6</v>
      </c>
      <c r="I390" s="17" t="s">
        <v>30</v>
      </c>
      <c r="J390" s="18">
        <v>116370</v>
      </c>
      <c r="K390" s="19">
        <v>3</v>
      </c>
      <c r="N390" s="11" t="s">
        <v>266</v>
      </c>
      <c r="O390" s="11" t="s">
        <v>64</v>
      </c>
      <c r="P390" s="11" t="s">
        <v>24</v>
      </c>
      <c r="Q390" s="11" t="s">
        <v>41</v>
      </c>
      <c r="R390" s="20">
        <f>(41729+(3*365))+112</f>
        <v>42936</v>
      </c>
      <c r="S390" s="17">
        <v>15</v>
      </c>
      <c r="T390" s="17">
        <v>5235</v>
      </c>
    </row>
    <row r="391" spans="1:20" x14ac:dyDescent="0.2">
      <c r="A391" s="11" t="s">
        <v>944</v>
      </c>
      <c r="B391" s="14" t="s">
        <v>43</v>
      </c>
      <c r="C391" s="11" t="s">
        <v>254</v>
      </c>
      <c r="D391" s="15">
        <v>623823805</v>
      </c>
      <c r="E391" s="11" t="s">
        <v>56</v>
      </c>
      <c r="F391" s="20">
        <v>43259</v>
      </c>
      <c r="G391" s="16" t="str">
        <f t="shared" si="12"/>
        <v>June</v>
      </c>
      <c r="H391" s="2">
        <f t="shared" ca="1" si="13"/>
        <v>0</v>
      </c>
      <c r="I391" s="17"/>
      <c r="J391" s="18">
        <v>20326</v>
      </c>
      <c r="K391" s="19">
        <v>5</v>
      </c>
      <c r="N391" s="11" t="s">
        <v>1609</v>
      </c>
      <c r="O391" s="11" t="s">
        <v>45</v>
      </c>
      <c r="P391" s="11" t="s">
        <v>24</v>
      </c>
      <c r="Q391" s="11" t="s">
        <v>219</v>
      </c>
      <c r="R391" s="20">
        <f>(42273+(3*365))+112</f>
        <v>43480</v>
      </c>
      <c r="S391" s="17">
        <v>7</v>
      </c>
      <c r="T391" s="17">
        <v>3880</v>
      </c>
    </row>
    <row r="392" spans="1:20" x14ac:dyDescent="0.2">
      <c r="A392" s="11" t="s">
        <v>866</v>
      </c>
      <c r="B392" s="14" t="s">
        <v>19</v>
      </c>
      <c r="C392" s="11" t="s">
        <v>249</v>
      </c>
      <c r="D392" s="15">
        <v>332302868</v>
      </c>
      <c r="E392" s="11" t="s">
        <v>29</v>
      </c>
      <c r="F392" s="20">
        <v>39031</v>
      </c>
      <c r="G392" s="16" t="str">
        <f t="shared" si="12"/>
        <v>November</v>
      </c>
      <c r="H392" s="2">
        <f t="shared" ca="1" si="13"/>
        <v>12</v>
      </c>
      <c r="I392" s="17" t="s">
        <v>30</v>
      </c>
      <c r="J392" s="18">
        <v>31752</v>
      </c>
      <c r="K392" s="19">
        <v>2</v>
      </c>
      <c r="N392" s="11" t="s">
        <v>635</v>
      </c>
      <c r="O392" s="11" t="s">
        <v>64</v>
      </c>
      <c r="P392" s="11" t="s">
        <v>24</v>
      </c>
      <c r="Q392" s="11" t="s">
        <v>34</v>
      </c>
      <c r="R392" s="20">
        <f>(41886+(3*365))+112</f>
        <v>43093</v>
      </c>
      <c r="S392" s="17">
        <v>11</v>
      </c>
      <c r="T392" s="17">
        <v>3731</v>
      </c>
    </row>
    <row r="393" spans="1:20" x14ac:dyDescent="0.2">
      <c r="A393" s="11" t="s">
        <v>437</v>
      </c>
      <c r="B393" s="14" t="s">
        <v>27</v>
      </c>
      <c r="C393" s="11" t="s">
        <v>205</v>
      </c>
      <c r="D393" s="15">
        <v>875920441</v>
      </c>
      <c r="E393" s="11" t="s">
        <v>80</v>
      </c>
      <c r="F393" s="20">
        <v>40361</v>
      </c>
      <c r="G393" s="16" t="str">
        <f t="shared" si="12"/>
        <v>July</v>
      </c>
      <c r="H393" s="2">
        <f t="shared" ca="1" si="13"/>
        <v>8</v>
      </c>
      <c r="I393" s="17" t="s">
        <v>71</v>
      </c>
      <c r="J393" s="18">
        <v>69930</v>
      </c>
      <c r="K393" s="19">
        <v>1</v>
      </c>
      <c r="N393" s="11" t="s">
        <v>698</v>
      </c>
      <c r="O393" s="11" t="s">
        <v>54</v>
      </c>
      <c r="P393" s="11" t="s">
        <v>40</v>
      </c>
      <c r="Q393" s="11" t="s">
        <v>219</v>
      </c>
      <c r="R393" s="20">
        <f>(41907+(3*365))+112</f>
        <v>43114</v>
      </c>
      <c r="S393" s="17">
        <v>4</v>
      </c>
      <c r="T393" s="17">
        <v>2070</v>
      </c>
    </row>
    <row r="394" spans="1:20" x14ac:dyDescent="0.2">
      <c r="A394" s="11" t="s">
        <v>1528</v>
      </c>
      <c r="B394" s="14" t="s">
        <v>27</v>
      </c>
      <c r="C394" s="11" t="s">
        <v>152</v>
      </c>
      <c r="D394" s="15">
        <v>177324163</v>
      </c>
      <c r="E394" s="11" t="s">
        <v>29</v>
      </c>
      <c r="F394" s="20">
        <v>40666</v>
      </c>
      <c r="G394" s="16" t="str">
        <f t="shared" si="12"/>
        <v>May</v>
      </c>
      <c r="H394" s="2">
        <f t="shared" ca="1" si="13"/>
        <v>8</v>
      </c>
      <c r="I394" s="17" t="s">
        <v>30</v>
      </c>
      <c r="J394" s="18">
        <v>64814</v>
      </c>
      <c r="K394" s="19">
        <v>3</v>
      </c>
      <c r="N394" s="11" t="s">
        <v>1726</v>
      </c>
      <c r="O394" s="11" t="s">
        <v>125</v>
      </c>
      <c r="P394" s="11" t="s">
        <v>33</v>
      </c>
      <c r="Q394" s="11" t="s">
        <v>41</v>
      </c>
      <c r="R394" s="20">
        <f>(42368+(3*365))+112</f>
        <v>43575</v>
      </c>
      <c r="S394" s="17">
        <v>11</v>
      </c>
      <c r="T394" s="17">
        <v>5895</v>
      </c>
    </row>
    <row r="395" spans="1:20" x14ac:dyDescent="0.2">
      <c r="A395" s="11" t="s">
        <v>160</v>
      </c>
      <c r="B395" s="14" t="s">
        <v>83</v>
      </c>
      <c r="C395" s="4" t="s">
        <v>62</v>
      </c>
      <c r="D395" s="22">
        <v>415076748</v>
      </c>
      <c r="E395" s="4" t="s">
        <v>56</v>
      </c>
      <c r="F395" s="20">
        <v>36338</v>
      </c>
      <c r="G395" s="16" t="str">
        <f t="shared" si="12"/>
        <v>June</v>
      </c>
      <c r="H395" s="2">
        <f t="shared" ca="1" si="13"/>
        <v>19</v>
      </c>
      <c r="I395" s="17" t="s">
        <v>47</v>
      </c>
      <c r="J395" s="18">
        <v>39245</v>
      </c>
      <c r="K395" s="19">
        <v>3</v>
      </c>
      <c r="N395" s="11" t="s">
        <v>901</v>
      </c>
      <c r="O395" s="11" t="s">
        <v>23</v>
      </c>
      <c r="P395" s="11" t="s">
        <v>40</v>
      </c>
      <c r="Q395" s="11" t="s">
        <v>219</v>
      </c>
      <c r="R395" s="20">
        <f>(41979+(3*365))+112</f>
        <v>43186</v>
      </c>
      <c r="S395" s="17">
        <v>13</v>
      </c>
      <c r="T395" s="17">
        <v>5575</v>
      </c>
    </row>
    <row r="396" spans="1:20" x14ac:dyDescent="0.2">
      <c r="A396" s="11" t="s">
        <v>1372</v>
      </c>
      <c r="B396" s="14" t="s">
        <v>27</v>
      </c>
      <c r="C396" s="11" t="s">
        <v>136</v>
      </c>
      <c r="D396" s="15">
        <v>302170290</v>
      </c>
      <c r="E396" s="11" t="s">
        <v>29</v>
      </c>
      <c r="F396" s="20">
        <v>38384</v>
      </c>
      <c r="G396" s="16" t="str">
        <f t="shared" si="12"/>
        <v>February</v>
      </c>
      <c r="H396" s="2">
        <f t="shared" ca="1" si="13"/>
        <v>14</v>
      </c>
      <c r="I396" s="17" t="s">
        <v>47</v>
      </c>
      <c r="J396" s="18">
        <v>85415</v>
      </c>
      <c r="K396" s="19">
        <v>1</v>
      </c>
      <c r="N396" s="11" t="s">
        <v>247</v>
      </c>
      <c r="O396" s="11" t="s">
        <v>45</v>
      </c>
      <c r="P396" s="11" t="s">
        <v>65</v>
      </c>
      <c r="Q396" s="11" t="s">
        <v>25</v>
      </c>
      <c r="R396" s="20">
        <f>(41719+(3*365))+112</f>
        <v>42926</v>
      </c>
      <c r="S396" s="17">
        <v>12</v>
      </c>
      <c r="T396" s="17">
        <v>5615</v>
      </c>
    </row>
    <row r="397" spans="1:20" x14ac:dyDescent="0.2">
      <c r="A397" s="11" t="s">
        <v>839</v>
      </c>
      <c r="B397" s="14" t="s">
        <v>27</v>
      </c>
      <c r="C397" s="11" t="s">
        <v>86</v>
      </c>
      <c r="D397" s="15">
        <v>157257652</v>
      </c>
      <c r="E397" s="11" t="s">
        <v>21</v>
      </c>
      <c r="F397" s="20">
        <v>39559</v>
      </c>
      <c r="G397" s="16" t="str">
        <f t="shared" si="12"/>
        <v>April</v>
      </c>
      <c r="H397" s="2">
        <f t="shared" ca="1" si="13"/>
        <v>11</v>
      </c>
      <c r="I397" s="17"/>
      <c r="J397" s="18">
        <v>67770</v>
      </c>
      <c r="K397" s="19">
        <v>4</v>
      </c>
      <c r="N397" s="11" t="s">
        <v>1725</v>
      </c>
      <c r="O397" s="11" t="s">
        <v>64</v>
      </c>
      <c r="P397" s="11" t="s">
        <v>40</v>
      </c>
      <c r="Q397" s="11" t="s">
        <v>25</v>
      </c>
      <c r="R397" s="20">
        <f>(42367+(3*365))+112</f>
        <v>43574</v>
      </c>
      <c r="S397" s="17">
        <v>8</v>
      </c>
      <c r="T397" s="17">
        <v>4070</v>
      </c>
    </row>
    <row r="398" spans="1:20" x14ac:dyDescent="0.2">
      <c r="A398" s="11" t="s">
        <v>1192</v>
      </c>
      <c r="B398" s="14" t="s">
        <v>19</v>
      </c>
      <c r="C398" s="11" t="s">
        <v>136</v>
      </c>
      <c r="D398" s="15">
        <v>330879921</v>
      </c>
      <c r="E398" s="11" t="s">
        <v>29</v>
      </c>
      <c r="F398" s="20">
        <v>38944</v>
      </c>
      <c r="G398" s="16" t="str">
        <f t="shared" si="12"/>
        <v>August</v>
      </c>
      <c r="H398" s="2">
        <f t="shared" ca="1" si="13"/>
        <v>12</v>
      </c>
      <c r="I398" s="17" t="s">
        <v>38</v>
      </c>
      <c r="J398" s="18">
        <v>73683</v>
      </c>
      <c r="K398" s="19">
        <v>4</v>
      </c>
      <c r="N398" s="11" t="s">
        <v>1535</v>
      </c>
      <c r="O398" s="11" t="s">
        <v>64</v>
      </c>
      <c r="P398" s="11" t="s">
        <v>24</v>
      </c>
      <c r="Q398" s="11" t="s">
        <v>25</v>
      </c>
      <c r="R398" s="20">
        <f>(42221+(3*365))+112</f>
        <v>43428</v>
      </c>
      <c r="S398" s="17">
        <v>10</v>
      </c>
      <c r="T398" s="17">
        <v>5330</v>
      </c>
    </row>
    <row r="399" spans="1:20" x14ac:dyDescent="0.2">
      <c r="A399" s="11" t="s">
        <v>735</v>
      </c>
      <c r="B399" s="14" t="s">
        <v>19</v>
      </c>
      <c r="C399" s="11" t="s">
        <v>136</v>
      </c>
      <c r="D399" s="15">
        <v>558903229</v>
      </c>
      <c r="E399" s="11" t="s">
        <v>29</v>
      </c>
      <c r="F399" s="20">
        <v>36917</v>
      </c>
      <c r="G399" s="16" t="str">
        <f t="shared" si="12"/>
        <v>January</v>
      </c>
      <c r="H399" s="2">
        <f t="shared" ca="1" si="13"/>
        <v>18</v>
      </c>
      <c r="I399" s="17" t="s">
        <v>47</v>
      </c>
      <c r="J399" s="18">
        <v>31482</v>
      </c>
      <c r="K399" s="19">
        <v>4</v>
      </c>
      <c r="N399" s="11" t="s">
        <v>1681</v>
      </c>
      <c r="O399" s="11" t="s">
        <v>23</v>
      </c>
      <c r="P399" s="11" t="s">
        <v>24</v>
      </c>
      <c r="Q399" s="11" t="s">
        <v>41</v>
      </c>
      <c r="R399" s="20">
        <f>(42332+(3*365))+112</f>
        <v>43539</v>
      </c>
      <c r="S399" s="17">
        <v>10</v>
      </c>
      <c r="T399" s="17">
        <v>4330</v>
      </c>
    </row>
    <row r="400" spans="1:20" x14ac:dyDescent="0.2">
      <c r="A400" s="11" t="s">
        <v>400</v>
      </c>
      <c r="B400" s="14" t="s">
        <v>19</v>
      </c>
      <c r="C400" s="11" t="s">
        <v>59</v>
      </c>
      <c r="D400" s="15">
        <v>736688620</v>
      </c>
      <c r="E400" s="11" t="s">
        <v>80</v>
      </c>
      <c r="F400" s="20">
        <v>42624</v>
      </c>
      <c r="G400" s="16" t="str">
        <f t="shared" si="12"/>
        <v>September</v>
      </c>
      <c r="H400" s="2">
        <f t="shared" ca="1" si="13"/>
        <v>2</v>
      </c>
      <c r="I400" s="17" t="s">
        <v>47</v>
      </c>
      <c r="J400" s="18">
        <v>53345</v>
      </c>
      <c r="K400" s="19">
        <v>5</v>
      </c>
      <c r="N400" s="11" t="s">
        <v>93</v>
      </c>
      <c r="O400" s="11" t="s">
        <v>89</v>
      </c>
      <c r="P400" s="11" t="s">
        <v>40</v>
      </c>
      <c r="Q400" s="11" t="s">
        <v>41</v>
      </c>
      <c r="R400" s="20">
        <f>(41661+(3*365))+112</f>
        <v>42868</v>
      </c>
      <c r="S400" s="17">
        <v>4</v>
      </c>
      <c r="T400" s="21">
        <v>1250</v>
      </c>
    </row>
    <row r="401" spans="1:20" x14ac:dyDescent="0.2">
      <c r="A401" s="11" t="s">
        <v>1038</v>
      </c>
      <c r="B401" s="14" t="s">
        <v>27</v>
      </c>
      <c r="C401" s="11" t="s">
        <v>59</v>
      </c>
      <c r="D401" s="15">
        <v>393051351</v>
      </c>
      <c r="E401" s="11" t="s">
        <v>80</v>
      </c>
      <c r="F401" s="20">
        <v>38042</v>
      </c>
      <c r="G401" s="16" t="str">
        <f t="shared" si="12"/>
        <v>February</v>
      </c>
      <c r="H401" s="2">
        <f t="shared" ca="1" si="13"/>
        <v>15</v>
      </c>
      <c r="I401" s="17" t="s">
        <v>71</v>
      </c>
      <c r="J401" s="18">
        <v>44327</v>
      </c>
      <c r="K401" s="19">
        <v>2</v>
      </c>
      <c r="N401" s="11" t="s">
        <v>1197</v>
      </c>
      <c r="O401" s="11" t="s">
        <v>49</v>
      </c>
      <c r="P401" s="11" t="s">
        <v>40</v>
      </c>
      <c r="Q401" s="11" t="s">
        <v>219</v>
      </c>
      <c r="R401" s="20">
        <f>(42088+(3*365))+112</f>
        <v>43295</v>
      </c>
      <c r="S401" s="17">
        <v>10</v>
      </c>
      <c r="T401" s="17">
        <v>4030</v>
      </c>
    </row>
    <row r="402" spans="1:20" x14ac:dyDescent="0.2">
      <c r="A402" s="11" t="s">
        <v>817</v>
      </c>
      <c r="B402" s="14" t="s">
        <v>19</v>
      </c>
      <c r="C402" s="11" t="s">
        <v>86</v>
      </c>
      <c r="D402" s="15">
        <v>649234799</v>
      </c>
      <c r="E402" s="11" t="s">
        <v>29</v>
      </c>
      <c r="F402" s="20">
        <v>43065</v>
      </c>
      <c r="G402" s="16" t="str">
        <f t="shared" si="12"/>
        <v>November</v>
      </c>
      <c r="H402" s="2">
        <f t="shared" ca="1" si="13"/>
        <v>1</v>
      </c>
      <c r="I402" s="17" t="s">
        <v>30</v>
      </c>
      <c r="J402" s="18">
        <v>61101</v>
      </c>
      <c r="K402" s="19">
        <v>4</v>
      </c>
      <c r="N402" s="11" t="s">
        <v>349</v>
      </c>
      <c r="O402" s="11" t="s">
        <v>23</v>
      </c>
      <c r="P402" s="11" t="s">
        <v>40</v>
      </c>
      <c r="Q402" s="11" t="s">
        <v>120</v>
      </c>
      <c r="R402" s="20">
        <f>(41760+(3*365))+112</f>
        <v>42967</v>
      </c>
      <c r="S402" s="17">
        <v>11</v>
      </c>
      <c r="T402" s="17">
        <v>6225</v>
      </c>
    </row>
    <row r="403" spans="1:20" x14ac:dyDescent="0.2">
      <c r="A403" s="11" t="s">
        <v>719</v>
      </c>
      <c r="B403" s="14" t="s">
        <v>43</v>
      </c>
      <c r="C403" s="11" t="s">
        <v>214</v>
      </c>
      <c r="D403" s="15">
        <v>470935648</v>
      </c>
      <c r="E403" s="11" t="s">
        <v>21</v>
      </c>
      <c r="F403" s="20">
        <v>41393</v>
      </c>
      <c r="G403" s="16" t="str">
        <f t="shared" si="12"/>
        <v>April</v>
      </c>
      <c r="H403" s="2">
        <f t="shared" ca="1" si="13"/>
        <v>6</v>
      </c>
      <c r="I403" s="17"/>
      <c r="J403" s="18">
        <v>53568</v>
      </c>
      <c r="K403" s="19">
        <v>1</v>
      </c>
      <c r="N403" s="11" t="s">
        <v>1727</v>
      </c>
      <c r="O403" s="11" t="s">
        <v>125</v>
      </c>
      <c r="P403" s="11" t="s">
        <v>65</v>
      </c>
      <c r="Q403" s="11" t="s">
        <v>25</v>
      </c>
      <c r="R403" s="20">
        <f>(42369+(3*365))+112</f>
        <v>43576</v>
      </c>
      <c r="S403" s="17">
        <v>14</v>
      </c>
      <c r="T403" s="17">
        <v>4590</v>
      </c>
    </row>
    <row r="404" spans="1:20" x14ac:dyDescent="0.2">
      <c r="A404" s="11" t="s">
        <v>271</v>
      </c>
      <c r="B404" s="14" t="s">
        <v>51</v>
      </c>
      <c r="C404" s="11" t="s">
        <v>265</v>
      </c>
      <c r="D404" s="15">
        <v>640301378</v>
      </c>
      <c r="E404" s="11" t="s">
        <v>80</v>
      </c>
      <c r="F404" s="20">
        <v>43361</v>
      </c>
      <c r="G404" s="16" t="str">
        <f t="shared" si="12"/>
        <v>September</v>
      </c>
      <c r="H404" s="2">
        <f t="shared" ca="1" si="13"/>
        <v>0</v>
      </c>
      <c r="I404" s="17" t="s">
        <v>30</v>
      </c>
      <c r="J404" s="18">
        <v>62411</v>
      </c>
      <c r="K404" s="19">
        <v>2</v>
      </c>
      <c r="N404" s="11" t="s">
        <v>858</v>
      </c>
      <c r="O404" s="11" t="s">
        <v>89</v>
      </c>
      <c r="P404" s="11" t="s">
        <v>40</v>
      </c>
      <c r="Q404" s="11" t="s">
        <v>219</v>
      </c>
      <c r="R404" s="20">
        <f>(41967+(3*365))+112</f>
        <v>43174</v>
      </c>
      <c r="S404" s="17">
        <v>15</v>
      </c>
      <c r="T404" s="17">
        <v>7725</v>
      </c>
    </row>
    <row r="405" spans="1:20" x14ac:dyDescent="0.2">
      <c r="A405" s="11" t="s">
        <v>1098</v>
      </c>
      <c r="B405" s="14" t="s">
        <v>51</v>
      </c>
      <c r="C405" s="11" t="s">
        <v>86</v>
      </c>
      <c r="D405" s="15">
        <v>634954970</v>
      </c>
      <c r="E405" s="11" t="s">
        <v>29</v>
      </c>
      <c r="F405" s="20">
        <v>38138</v>
      </c>
      <c r="G405" s="16" t="str">
        <f t="shared" si="12"/>
        <v>May</v>
      </c>
      <c r="H405" s="2">
        <f t="shared" ca="1" si="13"/>
        <v>15</v>
      </c>
      <c r="I405" s="17" t="s">
        <v>47</v>
      </c>
      <c r="J405" s="18">
        <v>77706</v>
      </c>
      <c r="K405" s="19">
        <v>4</v>
      </c>
      <c r="N405" s="11" t="s">
        <v>1706</v>
      </c>
      <c r="O405" s="11" t="s">
        <v>45</v>
      </c>
      <c r="P405" s="11" t="s">
        <v>33</v>
      </c>
      <c r="Q405" s="11" t="s">
        <v>34</v>
      </c>
      <c r="R405" s="20">
        <f>(42353+(3*365))+112</f>
        <v>43560</v>
      </c>
      <c r="S405" s="17">
        <v>13</v>
      </c>
      <c r="T405" s="17">
        <v>7231</v>
      </c>
    </row>
    <row r="406" spans="1:20" x14ac:dyDescent="0.2">
      <c r="A406" s="11" t="s">
        <v>449</v>
      </c>
      <c r="B406" s="14" t="s">
        <v>51</v>
      </c>
      <c r="C406" s="11" t="s">
        <v>59</v>
      </c>
      <c r="D406" s="15">
        <v>993867417</v>
      </c>
      <c r="E406" s="11" t="s">
        <v>29</v>
      </c>
      <c r="F406" s="20">
        <v>36779</v>
      </c>
      <c r="G406" s="16" t="str">
        <f t="shared" si="12"/>
        <v>September</v>
      </c>
      <c r="H406" s="2">
        <f t="shared" ca="1" si="13"/>
        <v>18</v>
      </c>
      <c r="I406" s="17" t="s">
        <v>30</v>
      </c>
      <c r="J406" s="18">
        <v>62559</v>
      </c>
      <c r="K406" s="19">
        <v>5</v>
      </c>
      <c r="N406" s="11" t="s">
        <v>834</v>
      </c>
      <c r="O406" s="11" t="s">
        <v>125</v>
      </c>
      <c r="P406" s="11" t="s">
        <v>40</v>
      </c>
      <c r="Q406" s="11" t="s">
        <v>25</v>
      </c>
      <c r="R406" s="20">
        <f>(41963+(3*365))+112</f>
        <v>43170</v>
      </c>
      <c r="S406" s="17">
        <v>10</v>
      </c>
      <c r="T406" s="17">
        <v>3820</v>
      </c>
    </row>
    <row r="407" spans="1:20" x14ac:dyDescent="0.2">
      <c r="A407" s="11" t="s">
        <v>1448</v>
      </c>
      <c r="B407" s="14" t="s">
        <v>27</v>
      </c>
      <c r="C407" s="11" t="s">
        <v>214</v>
      </c>
      <c r="D407" s="15">
        <v>130619578</v>
      </c>
      <c r="E407" s="11" t="s">
        <v>21</v>
      </c>
      <c r="F407" s="20">
        <v>39574</v>
      </c>
      <c r="G407" s="16" t="str">
        <f t="shared" si="12"/>
        <v>May</v>
      </c>
      <c r="H407" s="2">
        <f t="shared" ca="1" si="13"/>
        <v>11</v>
      </c>
      <c r="I407" s="17"/>
      <c r="J407" s="18">
        <v>120852</v>
      </c>
      <c r="K407" s="19">
        <v>5</v>
      </c>
      <c r="N407" s="11" t="s">
        <v>786</v>
      </c>
      <c r="O407" s="11" t="s">
        <v>49</v>
      </c>
      <c r="P407" s="11" t="s">
        <v>24</v>
      </c>
      <c r="Q407" s="11" t="s">
        <v>41</v>
      </c>
      <c r="R407" s="20">
        <f>(41943+(3*365))+112</f>
        <v>43150</v>
      </c>
      <c r="S407" s="17">
        <v>9</v>
      </c>
      <c r="T407" s="17">
        <v>3085</v>
      </c>
    </row>
    <row r="408" spans="1:20" x14ac:dyDescent="0.2">
      <c r="A408" s="11" t="s">
        <v>831</v>
      </c>
      <c r="B408" s="14" t="s">
        <v>36</v>
      </c>
      <c r="C408" s="11" t="s">
        <v>214</v>
      </c>
      <c r="D408" s="15">
        <v>165917010</v>
      </c>
      <c r="E408" s="11" t="s">
        <v>21</v>
      </c>
      <c r="F408" s="20">
        <v>37527</v>
      </c>
      <c r="G408" s="16" t="str">
        <f t="shared" si="12"/>
        <v>September</v>
      </c>
      <c r="H408" s="2">
        <f t="shared" ca="1" si="13"/>
        <v>16</v>
      </c>
      <c r="I408" s="17"/>
      <c r="J408" s="18">
        <v>108932</v>
      </c>
      <c r="K408" s="19">
        <v>3</v>
      </c>
      <c r="N408" s="11" t="s">
        <v>742</v>
      </c>
      <c r="O408" s="11" t="s">
        <v>64</v>
      </c>
      <c r="P408" s="11" t="s">
        <v>65</v>
      </c>
      <c r="Q408" s="11" t="s">
        <v>120</v>
      </c>
      <c r="R408" s="20">
        <f>(41928+(3*365))+112</f>
        <v>43135</v>
      </c>
      <c r="S408" s="17">
        <v>2</v>
      </c>
      <c r="T408" s="17">
        <v>640</v>
      </c>
    </row>
    <row r="409" spans="1:20" x14ac:dyDescent="0.2">
      <c r="A409" s="11" t="s">
        <v>1036</v>
      </c>
      <c r="B409" s="14" t="s">
        <v>19</v>
      </c>
      <c r="C409" s="11" t="s">
        <v>136</v>
      </c>
      <c r="D409" s="15">
        <v>737152868</v>
      </c>
      <c r="E409" s="11" t="s">
        <v>29</v>
      </c>
      <c r="F409" s="20">
        <v>39529</v>
      </c>
      <c r="G409" s="16" t="str">
        <f t="shared" si="12"/>
        <v>March</v>
      </c>
      <c r="H409" s="2">
        <f t="shared" ca="1" si="13"/>
        <v>11</v>
      </c>
      <c r="I409" s="17" t="s">
        <v>71</v>
      </c>
      <c r="J409" s="18">
        <v>65246</v>
      </c>
      <c r="K409" s="19">
        <v>1</v>
      </c>
      <c r="N409" s="11" t="s">
        <v>1351</v>
      </c>
      <c r="O409" s="11" t="s">
        <v>54</v>
      </c>
      <c r="P409" s="11" t="s">
        <v>65</v>
      </c>
      <c r="Q409" s="11" t="s">
        <v>25</v>
      </c>
      <c r="R409" s="20">
        <f>(42150+(3*365))+112</f>
        <v>43357</v>
      </c>
      <c r="S409" s="17">
        <v>13</v>
      </c>
      <c r="T409" s="17">
        <v>4005</v>
      </c>
    </row>
    <row r="410" spans="1:20" x14ac:dyDescent="0.2">
      <c r="A410" s="11" t="s">
        <v>463</v>
      </c>
      <c r="B410" s="14" t="s">
        <v>19</v>
      </c>
      <c r="C410" s="11" t="s">
        <v>214</v>
      </c>
      <c r="D410" s="15">
        <v>854806695</v>
      </c>
      <c r="E410" s="11" t="s">
        <v>29</v>
      </c>
      <c r="F410" s="20">
        <v>36577</v>
      </c>
      <c r="G410" s="16" t="str">
        <f t="shared" si="12"/>
        <v>February</v>
      </c>
      <c r="H410" s="2">
        <f t="shared" ca="1" si="13"/>
        <v>19</v>
      </c>
      <c r="I410" s="17" t="s">
        <v>30</v>
      </c>
      <c r="J410" s="18">
        <v>35357</v>
      </c>
      <c r="K410" s="19">
        <v>5</v>
      </c>
      <c r="N410" s="11" t="s">
        <v>199</v>
      </c>
      <c r="O410" s="11" t="s">
        <v>45</v>
      </c>
      <c r="P410" s="11" t="s">
        <v>24</v>
      </c>
      <c r="Q410" s="11" t="s">
        <v>120</v>
      </c>
      <c r="R410" s="20">
        <f>(41693+(3*365))+112</f>
        <v>42900</v>
      </c>
      <c r="S410" s="17">
        <v>12</v>
      </c>
      <c r="T410" s="21">
        <v>4655</v>
      </c>
    </row>
    <row r="411" spans="1:20" x14ac:dyDescent="0.2">
      <c r="A411" s="11" t="s">
        <v>315</v>
      </c>
      <c r="B411" s="14" t="s">
        <v>43</v>
      </c>
      <c r="C411" s="11" t="s">
        <v>136</v>
      </c>
      <c r="D411" s="15">
        <v>433314045</v>
      </c>
      <c r="E411" s="11" t="s">
        <v>21</v>
      </c>
      <c r="F411" s="20">
        <v>36494</v>
      </c>
      <c r="G411" s="16" t="str">
        <f t="shared" si="12"/>
        <v>November</v>
      </c>
      <c r="H411" s="2">
        <f t="shared" ca="1" si="13"/>
        <v>19</v>
      </c>
      <c r="I411" s="17"/>
      <c r="J411" s="18">
        <v>64247</v>
      </c>
      <c r="K411" s="19">
        <v>3</v>
      </c>
      <c r="N411" s="11" t="s">
        <v>1551</v>
      </c>
      <c r="O411" s="11" t="s">
        <v>125</v>
      </c>
      <c r="P411" s="11" t="s">
        <v>65</v>
      </c>
      <c r="Q411" s="11" t="s">
        <v>41</v>
      </c>
      <c r="R411" s="20">
        <f>(42228+(3*365))+112</f>
        <v>43435</v>
      </c>
      <c r="S411" s="17">
        <v>11</v>
      </c>
      <c r="T411" s="17">
        <v>3775</v>
      </c>
    </row>
    <row r="412" spans="1:20" x14ac:dyDescent="0.2">
      <c r="A412" s="11" t="s">
        <v>1100</v>
      </c>
      <c r="B412" s="14" t="s">
        <v>83</v>
      </c>
      <c r="C412" s="11" t="s">
        <v>249</v>
      </c>
      <c r="D412" s="15">
        <v>303641529</v>
      </c>
      <c r="E412" s="11" t="s">
        <v>80</v>
      </c>
      <c r="F412" s="20">
        <v>38006</v>
      </c>
      <c r="G412" s="16" t="str">
        <f t="shared" si="12"/>
        <v>January</v>
      </c>
      <c r="H412" s="2">
        <f t="shared" ca="1" si="13"/>
        <v>15</v>
      </c>
      <c r="I412" s="17" t="s">
        <v>47</v>
      </c>
      <c r="J412" s="18">
        <v>66697</v>
      </c>
      <c r="K412" s="19">
        <v>4</v>
      </c>
      <c r="N412" s="11" t="s">
        <v>1247</v>
      </c>
      <c r="O412" s="11" t="s">
        <v>64</v>
      </c>
      <c r="P412" s="11" t="s">
        <v>40</v>
      </c>
      <c r="Q412" s="11" t="s">
        <v>25</v>
      </c>
      <c r="R412" s="20">
        <f>(42106+(3*365))+112</f>
        <v>43313</v>
      </c>
      <c r="S412" s="17">
        <v>4</v>
      </c>
      <c r="T412" s="17">
        <v>1940</v>
      </c>
    </row>
    <row r="413" spans="1:20" x14ac:dyDescent="0.2">
      <c r="A413" s="11" t="s">
        <v>140</v>
      </c>
      <c r="B413" s="14" t="s">
        <v>19</v>
      </c>
      <c r="C413" s="11" t="s">
        <v>136</v>
      </c>
      <c r="D413" s="15">
        <v>456809622</v>
      </c>
      <c r="E413" s="11" t="s">
        <v>29</v>
      </c>
      <c r="F413" s="20">
        <v>35954</v>
      </c>
      <c r="G413" s="16" t="str">
        <f t="shared" si="12"/>
        <v>June</v>
      </c>
      <c r="H413" s="2">
        <f t="shared" ca="1" si="13"/>
        <v>20</v>
      </c>
      <c r="I413" s="17" t="s">
        <v>47</v>
      </c>
      <c r="J413" s="18">
        <v>64908</v>
      </c>
      <c r="K413" s="19">
        <v>2</v>
      </c>
      <c r="N413" s="11" t="s">
        <v>1229</v>
      </c>
      <c r="O413" s="11" t="s">
        <v>23</v>
      </c>
      <c r="P413" s="11" t="s">
        <v>33</v>
      </c>
      <c r="Q413" s="11" t="s">
        <v>219</v>
      </c>
      <c r="R413" s="20">
        <f>(42101+(3*365))+112</f>
        <v>43308</v>
      </c>
      <c r="S413" s="17">
        <v>9</v>
      </c>
      <c r="T413" s="17">
        <v>4435</v>
      </c>
    </row>
    <row r="414" spans="1:20" x14ac:dyDescent="0.2">
      <c r="A414" s="11" t="s">
        <v>516</v>
      </c>
      <c r="B414" s="14" t="s">
        <v>19</v>
      </c>
      <c r="C414" s="11" t="s">
        <v>214</v>
      </c>
      <c r="D414" s="15">
        <v>995858336</v>
      </c>
      <c r="E414" s="11" t="s">
        <v>21</v>
      </c>
      <c r="F414" s="20">
        <v>43326</v>
      </c>
      <c r="G414" s="16" t="str">
        <f t="shared" si="12"/>
        <v>August</v>
      </c>
      <c r="H414" s="2">
        <f t="shared" ca="1" si="13"/>
        <v>0</v>
      </c>
      <c r="I414" s="17"/>
      <c r="J414" s="18">
        <v>51084</v>
      </c>
      <c r="K414" s="19">
        <v>1</v>
      </c>
      <c r="N414" s="11" t="s">
        <v>1673</v>
      </c>
      <c r="O414" s="11" t="s">
        <v>78</v>
      </c>
      <c r="P414" s="11" t="s">
        <v>65</v>
      </c>
      <c r="Q414" s="11" t="s">
        <v>34</v>
      </c>
      <c r="R414" s="20">
        <f>(42327+(3*365))+112</f>
        <v>43534</v>
      </c>
      <c r="S414" s="17">
        <v>19</v>
      </c>
      <c r="T414" s="17">
        <v>6955</v>
      </c>
    </row>
    <row r="415" spans="1:20" x14ac:dyDescent="0.2">
      <c r="A415" s="11" t="s">
        <v>892</v>
      </c>
      <c r="B415" s="14" t="s">
        <v>43</v>
      </c>
      <c r="C415" s="11" t="s">
        <v>249</v>
      </c>
      <c r="D415" s="15">
        <v>261486180</v>
      </c>
      <c r="E415" s="11" t="s">
        <v>21</v>
      </c>
      <c r="F415" s="20">
        <v>40092</v>
      </c>
      <c r="G415" s="16" t="str">
        <f t="shared" si="12"/>
        <v>October</v>
      </c>
      <c r="H415" s="2">
        <f t="shared" ca="1" si="13"/>
        <v>9</v>
      </c>
      <c r="I415" s="17"/>
      <c r="J415" s="18">
        <v>39879</v>
      </c>
      <c r="K415" s="19">
        <v>3</v>
      </c>
      <c r="N415" s="11" t="s">
        <v>543</v>
      </c>
      <c r="O415" s="11" t="s">
        <v>45</v>
      </c>
      <c r="P415" s="11" t="s">
        <v>65</v>
      </c>
      <c r="Q415" s="11" t="s">
        <v>34</v>
      </c>
      <c r="R415" s="20">
        <f>(41845+(3*365))+112</f>
        <v>43052</v>
      </c>
      <c r="S415" s="17">
        <v>7</v>
      </c>
      <c r="T415" s="17">
        <v>3308</v>
      </c>
    </row>
    <row r="416" spans="1:20" x14ac:dyDescent="0.2">
      <c r="A416" s="11" t="s">
        <v>392</v>
      </c>
      <c r="B416" s="14" t="s">
        <v>19</v>
      </c>
      <c r="C416" s="11" t="s">
        <v>152</v>
      </c>
      <c r="D416" s="15">
        <v>111616346</v>
      </c>
      <c r="E416" s="11" t="s">
        <v>21</v>
      </c>
      <c r="F416" s="20">
        <v>36362</v>
      </c>
      <c r="G416" s="16" t="str">
        <f t="shared" si="12"/>
        <v>July</v>
      </c>
      <c r="H416" s="2">
        <f t="shared" ca="1" si="13"/>
        <v>19</v>
      </c>
      <c r="I416" s="17"/>
      <c r="J416" s="18">
        <v>82531</v>
      </c>
      <c r="K416" s="19">
        <v>4</v>
      </c>
      <c r="N416" s="11" t="s">
        <v>561</v>
      </c>
      <c r="O416" s="11" t="s">
        <v>75</v>
      </c>
      <c r="P416" s="11" t="s">
        <v>65</v>
      </c>
      <c r="Q416" s="11" t="s">
        <v>120</v>
      </c>
      <c r="R416" s="20">
        <f>(41851+(3*365))+112</f>
        <v>43058</v>
      </c>
      <c r="S416" s="17">
        <v>8</v>
      </c>
      <c r="T416" s="17">
        <v>3335</v>
      </c>
    </row>
    <row r="417" spans="1:20" x14ac:dyDescent="0.2">
      <c r="A417" s="11" t="s">
        <v>226</v>
      </c>
      <c r="B417" s="14" t="s">
        <v>27</v>
      </c>
      <c r="C417" s="11" t="s">
        <v>86</v>
      </c>
      <c r="D417" s="15">
        <v>751878224</v>
      </c>
      <c r="E417" s="11" t="s">
        <v>29</v>
      </c>
      <c r="F417" s="20">
        <v>36462</v>
      </c>
      <c r="G417" s="16" t="str">
        <f t="shared" si="12"/>
        <v>October</v>
      </c>
      <c r="H417" s="2">
        <f t="shared" ca="1" si="13"/>
        <v>19</v>
      </c>
      <c r="I417" s="17" t="s">
        <v>87</v>
      </c>
      <c r="J417" s="18">
        <v>117612</v>
      </c>
      <c r="K417" s="19">
        <v>3</v>
      </c>
      <c r="N417" s="11" t="s">
        <v>1669</v>
      </c>
      <c r="O417" s="11" t="s">
        <v>32</v>
      </c>
      <c r="P417" s="11" t="s">
        <v>33</v>
      </c>
      <c r="Q417" s="11" t="s">
        <v>120</v>
      </c>
      <c r="R417" s="20">
        <f>(42323+(3*365))+112</f>
        <v>43530</v>
      </c>
      <c r="S417" s="17">
        <v>13</v>
      </c>
      <c r="T417" s="17">
        <v>4825</v>
      </c>
    </row>
    <row r="418" spans="1:20" x14ac:dyDescent="0.2">
      <c r="A418" s="11" t="s">
        <v>638</v>
      </c>
      <c r="B418" s="14" t="s">
        <v>36</v>
      </c>
      <c r="C418" s="11" t="s">
        <v>152</v>
      </c>
      <c r="D418" s="15">
        <v>616055292</v>
      </c>
      <c r="E418" s="11" t="s">
        <v>29</v>
      </c>
      <c r="F418" s="20">
        <v>36777</v>
      </c>
      <c r="G418" s="16" t="str">
        <f t="shared" si="12"/>
        <v>September</v>
      </c>
      <c r="H418" s="2">
        <f t="shared" ca="1" si="13"/>
        <v>18</v>
      </c>
      <c r="I418" s="17" t="s">
        <v>38</v>
      </c>
      <c r="J418" s="18">
        <v>43416</v>
      </c>
      <c r="K418" s="19">
        <v>3</v>
      </c>
      <c r="N418" s="11" t="s">
        <v>88</v>
      </c>
      <c r="O418" s="11" t="s">
        <v>89</v>
      </c>
      <c r="P418" s="11" t="s">
        <v>65</v>
      </c>
      <c r="Q418" s="11" t="s">
        <v>34</v>
      </c>
      <c r="R418" s="20">
        <f>(41656+(3*365))+112</f>
        <v>42863</v>
      </c>
      <c r="S418" s="17">
        <v>14</v>
      </c>
      <c r="T418" s="17">
        <v>8384</v>
      </c>
    </row>
    <row r="419" spans="1:20" x14ac:dyDescent="0.2">
      <c r="A419" s="11" t="s">
        <v>1478</v>
      </c>
      <c r="B419" s="14" t="s">
        <v>27</v>
      </c>
      <c r="C419" s="11" t="s">
        <v>152</v>
      </c>
      <c r="D419" s="15">
        <v>800685434</v>
      </c>
      <c r="E419" s="11" t="s">
        <v>29</v>
      </c>
      <c r="F419" s="20">
        <v>39812</v>
      </c>
      <c r="G419" s="16" t="str">
        <f t="shared" si="12"/>
        <v>December</v>
      </c>
      <c r="H419" s="2">
        <f t="shared" ca="1" si="13"/>
        <v>10</v>
      </c>
      <c r="I419" s="17" t="s">
        <v>71</v>
      </c>
      <c r="J419" s="18">
        <v>67406</v>
      </c>
      <c r="K419" s="19">
        <v>1</v>
      </c>
      <c r="N419" s="11" t="s">
        <v>716</v>
      </c>
      <c r="O419" s="11" t="s">
        <v>78</v>
      </c>
      <c r="P419" s="11" t="s">
        <v>33</v>
      </c>
      <c r="Q419" s="11" t="s">
        <v>34</v>
      </c>
      <c r="R419" s="20">
        <f>(41916+(3*365))+112</f>
        <v>43123</v>
      </c>
      <c r="S419" s="17">
        <v>19</v>
      </c>
      <c r="T419" s="17">
        <v>5849</v>
      </c>
    </row>
    <row r="420" spans="1:20" x14ac:dyDescent="0.2">
      <c r="A420" s="11" t="s">
        <v>112</v>
      </c>
      <c r="B420" s="14" t="s">
        <v>27</v>
      </c>
      <c r="C420" s="11" t="s">
        <v>101</v>
      </c>
      <c r="D420" s="15">
        <v>174483231</v>
      </c>
      <c r="E420" s="11" t="s">
        <v>29</v>
      </c>
      <c r="F420" s="20">
        <v>36042</v>
      </c>
      <c r="G420" s="16" t="str">
        <f t="shared" si="12"/>
        <v>September</v>
      </c>
      <c r="H420" s="2">
        <f t="shared" ca="1" si="13"/>
        <v>20</v>
      </c>
      <c r="I420" s="17" t="s">
        <v>47</v>
      </c>
      <c r="J420" s="18">
        <v>55269</v>
      </c>
      <c r="K420" s="19">
        <v>3</v>
      </c>
      <c r="N420" s="11" t="s">
        <v>1245</v>
      </c>
      <c r="O420" s="11" t="s">
        <v>32</v>
      </c>
      <c r="P420" s="11" t="s">
        <v>33</v>
      </c>
      <c r="Q420" s="11" t="s">
        <v>34</v>
      </c>
      <c r="R420" s="20">
        <f>(42106+(3*365))+112</f>
        <v>43313</v>
      </c>
      <c r="S420" s="17">
        <v>8</v>
      </c>
      <c r="T420" s="17">
        <v>3787</v>
      </c>
    </row>
    <row r="421" spans="1:20" x14ac:dyDescent="0.2">
      <c r="A421" s="11" t="s">
        <v>540</v>
      </c>
      <c r="B421" s="14" t="s">
        <v>19</v>
      </c>
      <c r="C421" s="11" t="s">
        <v>136</v>
      </c>
      <c r="D421" s="15">
        <v>638495756</v>
      </c>
      <c r="E421" s="11" t="s">
        <v>21</v>
      </c>
      <c r="F421" s="20">
        <v>36805</v>
      </c>
      <c r="G421" s="16" t="str">
        <f t="shared" si="12"/>
        <v>October</v>
      </c>
      <c r="H421" s="2">
        <f t="shared" ca="1" si="13"/>
        <v>18</v>
      </c>
      <c r="I421" s="17"/>
      <c r="J421" s="18">
        <v>60372</v>
      </c>
      <c r="K421" s="19">
        <v>2</v>
      </c>
      <c r="N421" s="11" t="s">
        <v>1517</v>
      </c>
      <c r="O421" s="11" t="s">
        <v>32</v>
      </c>
      <c r="P421" s="11" t="s">
        <v>40</v>
      </c>
      <c r="Q421" s="11" t="s">
        <v>25</v>
      </c>
      <c r="R421" s="20">
        <f>(42213+(3*365))+112</f>
        <v>43420</v>
      </c>
      <c r="S421" s="17">
        <v>10</v>
      </c>
      <c r="T421" s="17">
        <v>5100</v>
      </c>
    </row>
    <row r="422" spans="1:20" x14ac:dyDescent="0.2">
      <c r="A422" s="11" t="s">
        <v>1224</v>
      </c>
      <c r="B422" s="14" t="s">
        <v>19</v>
      </c>
      <c r="C422" s="11" t="s">
        <v>104</v>
      </c>
      <c r="D422" s="15">
        <v>243350742</v>
      </c>
      <c r="E422" s="11" t="s">
        <v>56</v>
      </c>
      <c r="F422" s="20">
        <v>38530</v>
      </c>
      <c r="G422" s="16" t="str">
        <f t="shared" si="12"/>
        <v>June</v>
      </c>
      <c r="H422" s="2">
        <f t="shared" ca="1" si="13"/>
        <v>13</v>
      </c>
      <c r="I422" s="17"/>
      <c r="J422" s="18">
        <v>27038</v>
      </c>
      <c r="K422" s="19">
        <v>4</v>
      </c>
      <c r="N422" s="11" t="s">
        <v>780</v>
      </c>
      <c r="O422" s="11" t="s">
        <v>117</v>
      </c>
      <c r="P422" s="11" t="s">
        <v>65</v>
      </c>
      <c r="Q422" s="11" t="s">
        <v>219</v>
      </c>
      <c r="R422" s="20">
        <f>(41941+(3*365))+112</f>
        <v>43148</v>
      </c>
      <c r="S422" s="17">
        <v>5</v>
      </c>
      <c r="T422" s="17">
        <v>2540</v>
      </c>
    </row>
    <row r="423" spans="1:20" x14ac:dyDescent="0.2">
      <c r="A423" s="11" t="s">
        <v>526</v>
      </c>
      <c r="B423" s="14" t="s">
        <v>19</v>
      </c>
      <c r="C423" s="11" t="s">
        <v>214</v>
      </c>
      <c r="D423" s="15">
        <v>914326052</v>
      </c>
      <c r="E423" s="11" t="s">
        <v>29</v>
      </c>
      <c r="F423" s="20">
        <v>39391</v>
      </c>
      <c r="G423" s="16" t="str">
        <f t="shared" si="12"/>
        <v>November</v>
      </c>
      <c r="H423" s="2">
        <f t="shared" ca="1" si="13"/>
        <v>11</v>
      </c>
      <c r="I423" s="17" t="s">
        <v>47</v>
      </c>
      <c r="J423" s="18">
        <v>102859</v>
      </c>
      <c r="K423" s="19">
        <v>4</v>
      </c>
      <c r="N423" s="11" t="s">
        <v>525</v>
      </c>
      <c r="O423" s="11" t="s">
        <v>23</v>
      </c>
      <c r="P423" s="11" t="s">
        <v>24</v>
      </c>
      <c r="Q423" s="11" t="s">
        <v>34</v>
      </c>
      <c r="R423" s="20">
        <f>(41839+(3*365))+112</f>
        <v>43046</v>
      </c>
      <c r="S423" s="17">
        <v>8</v>
      </c>
      <c r="T423" s="17">
        <v>2693</v>
      </c>
    </row>
    <row r="424" spans="1:20" x14ac:dyDescent="0.2">
      <c r="A424" s="11" t="s">
        <v>1244</v>
      </c>
      <c r="B424" s="14" t="s">
        <v>27</v>
      </c>
      <c r="C424" s="11" t="s">
        <v>20</v>
      </c>
      <c r="D424" s="15">
        <v>571120098</v>
      </c>
      <c r="E424" s="11" t="s">
        <v>29</v>
      </c>
      <c r="F424" s="20">
        <v>38685</v>
      </c>
      <c r="G424" s="16" t="str">
        <f t="shared" si="12"/>
        <v>November</v>
      </c>
      <c r="H424" s="2">
        <f t="shared" ca="1" si="13"/>
        <v>13</v>
      </c>
      <c r="I424" s="17" t="s">
        <v>47</v>
      </c>
      <c r="J424" s="18">
        <v>82391</v>
      </c>
      <c r="K424" s="19">
        <v>3</v>
      </c>
      <c r="N424" s="11" t="s">
        <v>983</v>
      </c>
      <c r="O424" s="11" t="s">
        <v>89</v>
      </c>
      <c r="P424" s="11" t="s">
        <v>33</v>
      </c>
      <c r="Q424" s="11" t="s">
        <v>25</v>
      </c>
      <c r="R424" s="20">
        <f>(42006+(3*365))+112</f>
        <v>43213</v>
      </c>
      <c r="S424" s="17">
        <v>11</v>
      </c>
      <c r="T424" s="17">
        <v>4180</v>
      </c>
    </row>
    <row r="425" spans="1:20" x14ac:dyDescent="0.2">
      <c r="A425" s="11" t="s">
        <v>1394</v>
      </c>
      <c r="B425" s="14" t="s">
        <v>43</v>
      </c>
      <c r="C425" s="11" t="s">
        <v>152</v>
      </c>
      <c r="D425" s="15">
        <v>210491464</v>
      </c>
      <c r="E425" s="11" t="s">
        <v>29</v>
      </c>
      <c r="F425" s="20">
        <v>42458</v>
      </c>
      <c r="G425" s="16" t="str">
        <f t="shared" si="12"/>
        <v>March</v>
      </c>
      <c r="H425" s="2">
        <f t="shared" ca="1" si="13"/>
        <v>3</v>
      </c>
      <c r="I425" s="17" t="s">
        <v>47</v>
      </c>
      <c r="J425" s="18">
        <v>107163</v>
      </c>
      <c r="K425" s="19">
        <v>5</v>
      </c>
      <c r="N425" s="11" t="s">
        <v>965</v>
      </c>
      <c r="O425" s="11" t="s">
        <v>64</v>
      </c>
      <c r="P425" s="11" t="s">
        <v>40</v>
      </c>
      <c r="Q425" s="11" t="s">
        <v>34</v>
      </c>
      <c r="R425" s="20">
        <f>(42002+(3*365))+112</f>
        <v>43209</v>
      </c>
      <c r="S425" s="17">
        <v>20</v>
      </c>
      <c r="T425" s="17">
        <v>6600</v>
      </c>
    </row>
    <row r="426" spans="1:20" x14ac:dyDescent="0.2">
      <c r="A426" s="11" t="s">
        <v>138</v>
      </c>
      <c r="B426" s="14" t="s">
        <v>27</v>
      </c>
      <c r="C426" s="11" t="s">
        <v>136</v>
      </c>
      <c r="D426" s="15">
        <v>528258211</v>
      </c>
      <c r="E426" s="11" t="s">
        <v>29</v>
      </c>
      <c r="F426" s="20">
        <v>35984</v>
      </c>
      <c r="G426" s="16" t="str">
        <f t="shared" si="12"/>
        <v>July</v>
      </c>
      <c r="H426" s="2">
        <f t="shared" ca="1" si="13"/>
        <v>20</v>
      </c>
      <c r="I426" s="17" t="s">
        <v>38</v>
      </c>
      <c r="J426" s="18">
        <v>62249</v>
      </c>
      <c r="K426" s="19">
        <v>4</v>
      </c>
      <c r="N426" s="11" t="s">
        <v>1666</v>
      </c>
      <c r="O426" s="11" t="s">
        <v>64</v>
      </c>
      <c r="P426" s="11" t="s">
        <v>65</v>
      </c>
      <c r="Q426" s="11" t="s">
        <v>41</v>
      </c>
      <c r="R426" s="20">
        <f>(42321+(3*365))+112</f>
        <v>43528</v>
      </c>
      <c r="S426" s="17">
        <v>7</v>
      </c>
      <c r="T426" s="17">
        <v>3040</v>
      </c>
    </row>
    <row r="427" spans="1:20" x14ac:dyDescent="0.2">
      <c r="A427" s="11" t="s">
        <v>58</v>
      </c>
      <c r="B427" s="14" t="s">
        <v>19</v>
      </c>
      <c r="C427" s="11" t="s">
        <v>59</v>
      </c>
      <c r="D427" s="15">
        <v>113699123</v>
      </c>
      <c r="E427" s="11" t="s">
        <v>29</v>
      </c>
      <c r="F427" s="20">
        <v>35973</v>
      </c>
      <c r="G427" s="16" t="str">
        <f t="shared" si="12"/>
        <v>June</v>
      </c>
      <c r="H427" s="2">
        <f t="shared" ca="1" si="13"/>
        <v>20</v>
      </c>
      <c r="I427" s="17" t="s">
        <v>38</v>
      </c>
      <c r="J427" s="18">
        <v>47736</v>
      </c>
      <c r="K427" s="19">
        <v>5</v>
      </c>
      <c r="N427" s="11" t="s">
        <v>1553</v>
      </c>
      <c r="O427" s="11" t="s">
        <v>64</v>
      </c>
      <c r="P427" s="11" t="s">
        <v>65</v>
      </c>
      <c r="Q427" s="11" t="s">
        <v>25</v>
      </c>
      <c r="R427" s="20">
        <f>(42228+(3*365))+112</f>
        <v>43435</v>
      </c>
      <c r="S427" s="17">
        <v>12</v>
      </c>
      <c r="T427" s="17">
        <v>4610</v>
      </c>
    </row>
    <row r="428" spans="1:20" x14ac:dyDescent="0.2">
      <c r="A428" s="11" t="s">
        <v>1544</v>
      </c>
      <c r="B428" s="14" t="s">
        <v>36</v>
      </c>
      <c r="C428" s="11" t="s">
        <v>405</v>
      </c>
      <c r="D428" s="15">
        <v>443926890</v>
      </c>
      <c r="E428" s="11" t="s">
        <v>29</v>
      </c>
      <c r="F428" s="20">
        <v>40540</v>
      </c>
      <c r="G428" s="16" t="str">
        <f t="shared" si="12"/>
        <v>December</v>
      </c>
      <c r="H428" s="2">
        <f t="shared" ca="1" si="13"/>
        <v>8</v>
      </c>
      <c r="I428" s="17" t="s">
        <v>30</v>
      </c>
      <c r="J428" s="18">
        <v>57780</v>
      </c>
      <c r="K428" s="19">
        <v>5</v>
      </c>
      <c r="N428" s="11" t="s">
        <v>808</v>
      </c>
      <c r="O428" s="11" t="s">
        <v>49</v>
      </c>
      <c r="P428" s="11" t="s">
        <v>65</v>
      </c>
      <c r="Q428" s="11" t="s">
        <v>25</v>
      </c>
      <c r="R428" s="20">
        <f>(41952+(3*365))+112</f>
        <v>43159</v>
      </c>
      <c r="S428" s="17">
        <v>11</v>
      </c>
      <c r="T428" s="17">
        <v>5190</v>
      </c>
    </row>
    <row r="429" spans="1:20" x14ac:dyDescent="0.2">
      <c r="A429" s="11" t="s">
        <v>176</v>
      </c>
      <c r="B429" s="14" t="s">
        <v>19</v>
      </c>
      <c r="C429" s="11" t="s">
        <v>20</v>
      </c>
      <c r="D429" s="15">
        <v>873100939</v>
      </c>
      <c r="E429" s="11" t="s">
        <v>29</v>
      </c>
      <c r="F429" s="20">
        <v>42941</v>
      </c>
      <c r="G429" s="16" t="str">
        <f t="shared" si="12"/>
        <v>July</v>
      </c>
      <c r="H429" s="2">
        <f t="shared" ca="1" si="13"/>
        <v>1</v>
      </c>
      <c r="I429" s="17" t="s">
        <v>47</v>
      </c>
      <c r="J429" s="18">
        <v>56012</v>
      </c>
      <c r="K429" s="19">
        <v>5</v>
      </c>
      <c r="N429" s="11" t="s">
        <v>1073</v>
      </c>
      <c r="O429" s="11" t="s">
        <v>117</v>
      </c>
      <c r="P429" s="11" t="s">
        <v>65</v>
      </c>
      <c r="Q429" s="11" t="s">
        <v>120</v>
      </c>
      <c r="R429" s="20">
        <f>(42029+(3*365))+112</f>
        <v>43236</v>
      </c>
      <c r="S429" s="17">
        <v>11</v>
      </c>
      <c r="T429" s="17">
        <v>5775</v>
      </c>
    </row>
    <row r="430" spans="1:20" x14ac:dyDescent="0.2">
      <c r="A430" s="11" t="s">
        <v>1480</v>
      </c>
      <c r="B430" s="14" t="s">
        <v>27</v>
      </c>
      <c r="C430" s="11" t="s">
        <v>152</v>
      </c>
      <c r="D430" s="15">
        <v>380304349</v>
      </c>
      <c r="E430" s="11" t="s">
        <v>29</v>
      </c>
      <c r="F430" s="20">
        <v>39405</v>
      </c>
      <c r="G430" s="16" t="str">
        <f t="shared" si="12"/>
        <v>November</v>
      </c>
      <c r="H430" s="2">
        <f t="shared" ca="1" si="13"/>
        <v>11</v>
      </c>
      <c r="I430" s="17" t="s">
        <v>30</v>
      </c>
      <c r="J430" s="18">
        <v>47871</v>
      </c>
      <c r="K430" s="19">
        <v>1</v>
      </c>
      <c r="N430" s="11" t="s">
        <v>1125</v>
      </c>
      <c r="O430" s="11" t="s">
        <v>117</v>
      </c>
      <c r="P430" s="11" t="s">
        <v>33</v>
      </c>
      <c r="Q430" s="11" t="s">
        <v>34</v>
      </c>
      <c r="R430" s="20">
        <f>(42047+(3*365))+112</f>
        <v>43254</v>
      </c>
      <c r="S430" s="17">
        <v>11</v>
      </c>
      <c r="T430" s="17">
        <v>5619</v>
      </c>
    </row>
    <row r="431" spans="1:20" x14ac:dyDescent="0.2">
      <c r="A431" s="11" t="s">
        <v>207</v>
      </c>
      <c r="B431" s="14" t="s">
        <v>43</v>
      </c>
      <c r="C431" s="11" t="s">
        <v>20</v>
      </c>
      <c r="D431" s="15">
        <v>339398339</v>
      </c>
      <c r="E431" s="11" t="s">
        <v>29</v>
      </c>
      <c r="F431" s="20">
        <v>38821</v>
      </c>
      <c r="G431" s="16" t="str">
        <f t="shared" si="12"/>
        <v>April</v>
      </c>
      <c r="H431" s="3">
        <f t="shared" ca="1" si="13"/>
        <v>13</v>
      </c>
      <c r="I431" s="21" t="s">
        <v>38</v>
      </c>
      <c r="J431" s="18">
        <v>46953</v>
      </c>
      <c r="K431" s="19">
        <v>4</v>
      </c>
      <c r="N431" s="11" t="s">
        <v>1667</v>
      </c>
      <c r="O431" s="11" t="s">
        <v>32</v>
      </c>
      <c r="P431" s="11" t="s">
        <v>40</v>
      </c>
      <c r="Q431" s="11" t="s">
        <v>41</v>
      </c>
      <c r="R431" s="20">
        <f>(42322+(3*365))+112</f>
        <v>43529</v>
      </c>
      <c r="S431" s="17">
        <v>10</v>
      </c>
      <c r="T431" s="17">
        <v>5790</v>
      </c>
    </row>
    <row r="432" spans="1:20" x14ac:dyDescent="0.2">
      <c r="A432" s="11" t="s">
        <v>610</v>
      </c>
      <c r="B432" s="14" t="s">
        <v>27</v>
      </c>
      <c r="C432" s="11" t="s">
        <v>214</v>
      </c>
      <c r="D432" s="15">
        <v>914330398</v>
      </c>
      <c r="E432" s="11" t="s">
        <v>29</v>
      </c>
      <c r="F432" s="20">
        <v>41677</v>
      </c>
      <c r="G432" s="16" t="str">
        <f t="shared" si="12"/>
        <v>February</v>
      </c>
      <c r="H432" s="2">
        <f t="shared" ca="1" si="13"/>
        <v>5</v>
      </c>
      <c r="I432" s="17" t="s">
        <v>30</v>
      </c>
      <c r="J432" s="18">
        <v>88722</v>
      </c>
      <c r="K432" s="19">
        <v>1</v>
      </c>
      <c r="N432" s="11" t="s">
        <v>1371</v>
      </c>
      <c r="O432" s="11" t="s">
        <v>114</v>
      </c>
      <c r="P432" s="11" t="s">
        <v>65</v>
      </c>
      <c r="Q432" s="11" t="s">
        <v>219</v>
      </c>
      <c r="R432" s="20">
        <f>(42155+(3*365))+112</f>
        <v>43362</v>
      </c>
      <c r="S432" s="17">
        <v>12</v>
      </c>
      <c r="T432" s="17">
        <v>6130</v>
      </c>
    </row>
    <row r="433" spans="1:20" x14ac:dyDescent="0.2">
      <c r="A433" s="11" t="s">
        <v>1420</v>
      </c>
      <c r="B433" s="14" t="s">
        <v>43</v>
      </c>
      <c r="C433" s="11" t="s">
        <v>152</v>
      </c>
      <c r="D433" s="15">
        <v>262585858</v>
      </c>
      <c r="E433" s="11" t="s">
        <v>80</v>
      </c>
      <c r="F433" s="20">
        <v>38374</v>
      </c>
      <c r="G433" s="16" t="str">
        <f t="shared" si="12"/>
        <v>January</v>
      </c>
      <c r="H433" s="2">
        <f t="shared" ca="1" si="13"/>
        <v>14</v>
      </c>
      <c r="I433" s="17" t="s">
        <v>87</v>
      </c>
      <c r="J433" s="18">
        <v>18482</v>
      </c>
      <c r="K433" s="19">
        <v>5</v>
      </c>
      <c r="N433" s="11" t="s">
        <v>748</v>
      </c>
      <c r="O433" s="11" t="s">
        <v>64</v>
      </c>
      <c r="P433" s="11" t="s">
        <v>40</v>
      </c>
      <c r="Q433" s="11" t="s">
        <v>25</v>
      </c>
      <c r="R433" s="20">
        <f>(41929+(3*365))+112</f>
        <v>43136</v>
      </c>
      <c r="S433" s="17">
        <v>3</v>
      </c>
      <c r="T433" s="17">
        <v>1040</v>
      </c>
    </row>
    <row r="434" spans="1:20" x14ac:dyDescent="0.2">
      <c r="A434" s="11" t="s">
        <v>536</v>
      </c>
      <c r="B434" s="14" t="s">
        <v>83</v>
      </c>
      <c r="C434" s="11" t="s">
        <v>214</v>
      </c>
      <c r="D434" s="15">
        <v>504914685</v>
      </c>
      <c r="E434" s="11" t="s">
        <v>29</v>
      </c>
      <c r="F434" s="20">
        <v>38940</v>
      </c>
      <c r="G434" s="16" t="str">
        <f t="shared" si="12"/>
        <v>August</v>
      </c>
      <c r="H434" s="2">
        <f t="shared" ca="1" si="13"/>
        <v>12</v>
      </c>
      <c r="I434" s="17" t="s">
        <v>47</v>
      </c>
      <c r="J434" s="18">
        <v>44834</v>
      </c>
      <c r="K434" s="19">
        <v>4</v>
      </c>
      <c r="N434" s="11" t="s">
        <v>720</v>
      </c>
      <c r="O434" s="11" t="s">
        <v>125</v>
      </c>
      <c r="P434" s="11" t="s">
        <v>40</v>
      </c>
      <c r="Q434" s="11" t="s">
        <v>34</v>
      </c>
      <c r="R434" s="20">
        <f>(41916+(3*365))+112</f>
        <v>43123</v>
      </c>
      <c r="S434" s="17">
        <v>20</v>
      </c>
      <c r="T434" s="17">
        <v>7580</v>
      </c>
    </row>
    <row r="435" spans="1:20" x14ac:dyDescent="0.2">
      <c r="A435" s="11" t="s">
        <v>767</v>
      </c>
      <c r="B435" s="14" t="s">
        <v>43</v>
      </c>
      <c r="C435" s="11" t="s">
        <v>86</v>
      </c>
      <c r="D435" s="15">
        <v>259330447</v>
      </c>
      <c r="E435" s="11" t="s">
        <v>21</v>
      </c>
      <c r="F435" s="20">
        <v>39048</v>
      </c>
      <c r="G435" s="16" t="str">
        <f t="shared" si="12"/>
        <v>November</v>
      </c>
      <c r="H435" s="2">
        <f t="shared" ca="1" si="13"/>
        <v>12</v>
      </c>
      <c r="I435" s="17"/>
      <c r="J435" s="18">
        <v>64287</v>
      </c>
      <c r="K435" s="19">
        <v>5</v>
      </c>
      <c r="N435" s="11" t="s">
        <v>1618</v>
      </c>
      <c r="O435" s="11" t="s">
        <v>78</v>
      </c>
      <c r="P435" s="11" t="s">
        <v>33</v>
      </c>
      <c r="Q435" s="11" t="s">
        <v>25</v>
      </c>
      <c r="R435" s="20">
        <f>(42279+(3*365))+112</f>
        <v>43486</v>
      </c>
      <c r="S435" s="17">
        <v>9</v>
      </c>
      <c r="T435" s="17">
        <v>3590</v>
      </c>
    </row>
    <row r="436" spans="1:20" x14ac:dyDescent="0.2">
      <c r="A436" s="11" t="s">
        <v>884</v>
      </c>
      <c r="B436" s="14" t="s">
        <v>19</v>
      </c>
      <c r="C436" s="11" t="s">
        <v>249</v>
      </c>
      <c r="D436" s="15">
        <v>221364716</v>
      </c>
      <c r="E436" s="11" t="s">
        <v>29</v>
      </c>
      <c r="F436" s="20">
        <v>39754</v>
      </c>
      <c r="G436" s="16" t="str">
        <f t="shared" si="12"/>
        <v>November</v>
      </c>
      <c r="H436" s="2">
        <f t="shared" ca="1" si="13"/>
        <v>10</v>
      </c>
      <c r="I436" s="17" t="s">
        <v>47</v>
      </c>
      <c r="J436" s="18">
        <v>96957</v>
      </c>
      <c r="K436" s="19">
        <v>2</v>
      </c>
      <c r="N436" s="11" t="s">
        <v>1644</v>
      </c>
      <c r="O436" s="11" t="s">
        <v>114</v>
      </c>
      <c r="P436" s="11" t="s">
        <v>33</v>
      </c>
      <c r="Q436" s="11" t="s">
        <v>25</v>
      </c>
      <c r="R436" s="20">
        <f>(42305+(3*365))+112</f>
        <v>43512</v>
      </c>
      <c r="S436" s="17">
        <v>5</v>
      </c>
      <c r="T436" s="17">
        <v>1925</v>
      </c>
    </row>
    <row r="437" spans="1:20" x14ac:dyDescent="0.2">
      <c r="A437" s="11" t="s">
        <v>872</v>
      </c>
      <c r="B437" s="14" t="s">
        <v>27</v>
      </c>
      <c r="C437" s="11" t="s">
        <v>249</v>
      </c>
      <c r="D437" s="15">
        <v>167646549</v>
      </c>
      <c r="E437" s="11" t="s">
        <v>21</v>
      </c>
      <c r="F437" s="20">
        <v>40659</v>
      </c>
      <c r="G437" s="16" t="str">
        <f t="shared" si="12"/>
        <v>April</v>
      </c>
      <c r="H437" s="2">
        <f t="shared" ca="1" si="13"/>
        <v>8</v>
      </c>
      <c r="I437" s="17"/>
      <c r="J437" s="18">
        <v>105435</v>
      </c>
      <c r="K437" s="19">
        <v>3</v>
      </c>
      <c r="N437" s="11" t="s">
        <v>1699</v>
      </c>
      <c r="O437" s="11" t="s">
        <v>23</v>
      </c>
      <c r="P437" s="11" t="s">
        <v>33</v>
      </c>
      <c r="Q437" s="11" t="s">
        <v>41</v>
      </c>
      <c r="R437" s="20">
        <f>(42349+(3*365))+112</f>
        <v>43556</v>
      </c>
      <c r="S437" s="17">
        <v>15</v>
      </c>
      <c r="T437" s="17">
        <v>8730</v>
      </c>
    </row>
    <row r="438" spans="1:20" x14ac:dyDescent="0.2">
      <c r="A438" s="11" t="s">
        <v>158</v>
      </c>
      <c r="B438" s="14" t="s">
        <v>19</v>
      </c>
      <c r="C438" s="4" t="s">
        <v>62</v>
      </c>
      <c r="D438" s="22">
        <v>535539723</v>
      </c>
      <c r="E438" s="4" t="s">
        <v>80</v>
      </c>
      <c r="F438" s="20">
        <v>36330</v>
      </c>
      <c r="G438" s="16" t="str">
        <f t="shared" si="12"/>
        <v>June</v>
      </c>
      <c r="H438" s="2">
        <f t="shared" ca="1" si="13"/>
        <v>19</v>
      </c>
      <c r="I438" s="17" t="s">
        <v>87</v>
      </c>
      <c r="J438" s="18">
        <v>41101</v>
      </c>
      <c r="K438" s="19">
        <v>1</v>
      </c>
      <c r="N438" s="11" t="s">
        <v>957</v>
      </c>
      <c r="O438" s="11" t="s">
        <v>23</v>
      </c>
      <c r="P438" s="11" t="s">
        <v>33</v>
      </c>
      <c r="Q438" s="11" t="s">
        <v>41</v>
      </c>
      <c r="R438" s="20">
        <f>(42001+(3*365))+112</f>
        <v>43208</v>
      </c>
      <c r="S438" s="17">
        <v>3</v>
      </c>
      <c r="T438" s="17">
        <v>1645</v>
      </c>
    </row>
    <row r="439" spans="1:20" x14ac:dyDescent="0.2">
      <c r="A439" s="11" t="s">
        <v>711</v>
      </c>
      <c r="B439" s="14" t="s">
        <v>27</v>
      </c>
      <c r="C439" s="11" t="s">
        <v>214</v>
      </c>
      <c r="D439" s="15">
        <v>337370590</v>
      </c>
      <c r="E439" s="11" t="s">
        <v>21</v>
      </c>
      <c r="F439" s="20">
        <v>40900</v>
      </c>
      <c r="G439" s="16" t="str">
        <f t="shared" si="12"/>
        <v>December</v>
      </c>
      <c r="H439" s="2">
        <f t="shared" ca="1" si="13"/>
        <v>7</v>
      </c>
      <c r="I439" s="17"/>
      <c r="J439" s="18">
        <v>77504</v>
      </c>
      <c r="K439" s="19">
        <v>2</v>
      </c>
      <c r="N439" s="11" t="s">
        <v>1674</v>
      </c>
      <c r="O439" s="11" t="s">
        <v>45</v>
      </c>
      <c r="P439" s="11" t="s">
        <v>24</v>
      </c>
      <c r="Q439" s="11" t="s">
        <v>219</v>
      </c>
      <c r="R439" s="20">
        <f>(42327+(3*365))+112</f>
        <v>43534</v>
      </c>
      <c r="S439" s="17">
        <v>3</v>
      </c>
      <c r="T439" s="17">
        <v>1530</v>
      </c>
    </row>
    <row r="440" spans="1:20" x14ac:dyDescent="0.2">
      <c r="A440" s="11" t="s">
        <v>970</v>
      </c>
      <c r="B440" s="14" t="s">
        <v>27</v>
      </c>
      <c r="C440" s="11" t="s">
        <v>86</v>
      </c>
      <c r="D440" s="15">
        <v>385074661</v>
      </c>
      <c r="E440" s="11" t="s">
        <v>29</v>
      </c>
      <c r="F440" s="20">
        <v>37731</v>
      </c>
      <c r="G440" s="16" t="str">
        <f t="shared" si="12"/>
        <v>April</v>
      </c>
      <c r="H440" s="2">
        <f t="shared" ca="1" si="13"/>
        <v>16</v>
      </c>
      <c r="I440" s="17" t="s">
        <v>71</v>
      </c>
      <c r="J440" s="18">
        <v>90342</v>
      </c>
      <c r="K440" s="19">
        <v>2</v>
      </c>
      <c r="N440" s="11" t="s">
        <v>1616</v>
      </c>
      <c r="O440" s="11" t="s">
        <v>54</v>
      </c>
      <c r="P440" s="11" t="s">
        <v>40</v>
      </c>
      <c r="Q440" s="11" t="s">
        <v>25</v>
      </c>
      <c r="R440" s="20">
        <f>(42278+(3*365))+112</f>
        <v>43485</v>
      </c>
      <c r="S440" s="17">
        <v>4</v>
      </c>
      <c r="T440" s="17">
        <v>1275</v>
      </c>
    </row>
    <row r="441" spans="1:20" x14ac:dyDescent="0.2">
      <c r="A441" s="11" t="s">
        <v>620</v>
      </c>
      <c r="B441" s="14" t="s">
        <v>19</v>
      </c>
      <c r="C441" s="11" t="s">
        <v>152</v>
      </c>
      <c r="D441" s="15">
        <v>595022550</v>
      </c>
      <c r="E441" s="11" t="s">
        <v>29</v>
      </c>
      <c r="F441" s="20">
        <v>36813</v>
      </c>
      <c r="G441" s="16" t="str">
        <f t="shared" si="12"/>
        <v>October</v>
      </c>
      <c r="H441" s="2">
        <f t="shared" ca="1" si="13"/>
        <v>18</v>
      </c>
      <c r="I441" s="17" t="s">
        <v>87</v>
      </c>
      <c r="J441" s="18">
        <v>80312</v>
      </c>
      <c r="K441" s="19">
        <v>3</v>
      </c>
      <c r="N441" s="11" t="s">
        <v>728</v>
      </c>
      <c r="O441" s="11" t="s">
        <v>114</v>
      </c>
      <c r="P441" s="11" t="s">
        <v>33</v>
      </c>
      <c r="Q441" s="11" t="s">
        <v>41</v>
      </c>
      <c r="R441" s="20">
        <f>(41921+(3*365))+112</f>
        <v>43128</v>
      </c>
      <c r="S441" s="17">
        <v>4</v>
      </c>
      <c r="T441" s="17">
        <v>2325</v>
      </c>
    </row>
    <row r="442" spans="1:20" x14ac:dyDescent="0.2">
      <c r="A442" s="11" t="s">
        <v>1126</v>
      </c>
      <c r="B442" s="14" t="s">
        <v>43</v>
      </c>
      <c r="C442" s="11" t="s">
        <v>864</v>
      </c>
      <c r="D442" s="15">
        <v>252582122</v>
      </c>
      <c r="E442" s="11" t="s">
        <v>21</v>
      </c>
      <c r="F442" s="20">
        <v>38307</v>
      </c>
      <c r="G442" s="16" t="str">
        <f t="shared" si="12"/>
        <v>November</v>
      </c>
      <c r="H442" s="2">
        <f t="shared" ca="1" si="13"/>
        <v>14</v>
      </c>
      <c r="I442" s="17"/>
      <c r="J442" s="18">
        <v>33912</v>
      </c>
      <c r="K442" s="19">
        <v>2</v>
      </c>
      <c r="N442" s="11" t="s">
        <v>617</v>
      </c>
      <c r="O442" s="11" t="s">
        <v>64</v>
      </c>
      <c r="P442" s="11" t="s">
        <v>40</v>
      </c>
      <c r="Q442" s="11" t="s">
        <v>41</v>
      </c>
      <c r="R442" s="20">
        <f>(41876+(3*365))+112</f>
        <v>43083</v>
      </c>
      <c r="S442" s="17">
        <v>4</v>
      </c>
      <c r="T442" s="17">
        <v>1580</v>
      </c>
    </row>
    <row r="443" spans="1:20" x14ac:dyDescent="0.2">
      <c r="A443" s="11" t="s">
        <v>843</v>
      </c>
      <c r="B443" s="14" t="s">
        <v>83</v>
      </c>
      <c r="C443" s="11" t="s">
        <v>86</v>
      </c>
      <c r="D443" s="15">
        <v>168147877</v>
      </c>
      <c r="E443" s="11" t="s">
        <v>80</v>
      </c>
      <c r="F443" s="20">
        <v>39997</v>
      </c>
      <c r="G443" s="16" t="str">
        <f t="shared" si="12"/>
        <v>July</v>
      </c>
      <c r="H443" s="2">
        <f t="shared" ca="1" si="13"/>
        <v>9</v>
      </c>
      <c r="I443" s="17" t="s">
        <v>71</v>
      </c>
      <c r="J443" s="18">
        <v>21479</v>
      </c>
      <c r="K443" s="19">
        <v>3</v>
      </c>
      <c r="N443" s="11" t="s">
        <v>169</v>
      </c>
      <c r="O443" s="11" t="s">
        <v>117</v>
      </c>
      <c r="P443" s="11" t="s">
        <v>40</v>
      </c>
      <c r="Q443" s="11" t="s">
        <v>34</v>
      </c>
      <c r="R443" s="20">
        <f>(41682+(3*365))+112</f>
        <v>42889</v>
      </c>
      <c r="S443" s="17">
        <v>13</v>
      </c>
      <c r="T443" s="17">
        <v>5371</v>
      </c>
    </row>
    <row r="444" spans="1:20" x14ac:dyDescent="0.2">
      <c r="A444" s="11" t="s">
        <v>681</v>
      </c>
      <c r="B444" s="14" t="s">
        <v>36</v>
      </c>
      <c r="C444" s="11" t="s">
        <v>214</v>
      </c>
      <c r="D444" s="15">
        <v>292993080</v>
      </c>
      <c r="E444" s="11" t="s">
        <v>29</v>
      </c>
      <c r="F444" s="20">
        <v>42311</v>
      </c>
      <c r="G444" s="16" t="str">
        <f t="shared" si="12"/>
        <v>November</v>
      </c>
      <c r="H444" s="2">
        <f t="shared" ca="1" si="13"/>
        <v>3</v>
      </c>
      <c r="I444" s="17" t="s">
        <v>30</v>
      </c>
      <c r="J444" s="18">
        <v>80217</v>
      </c>
      <c r="K444" s="19">
        <v>4</v>
      </c>
      <c r="N444" s="11" t="s">
        <v>1691</v>
      </c>
      <c r="O444" s="11" t="s">
        <v>64</v>
      </c>
      <c r="P444" s="11" t="s">
        <v>33</v>
      </c>
      <c r="Q444" s="11" t="s">
        <v>41</v>
      </c>
      <c r="R444" s="20">
        <f>(42342+(3*365))+112</f>
        <v>43549</v>
      </c>
      <c r="S444" s="17">
        <v>9</v>
      </c>
      <c r="T444" s="17">
        <v>3095</v>
      </c>
    </row>
    <row r="445" spans="1:20" x14ac:dyDescent="0.2">
      <c r="A445" s="11" t="s">
        <v>1076</v>
      </c>
      <c r="B445" s="14" t="s">
        <v>83</v>
      </c>
      <c r="C445" s="11" t="s">
        <v>136</v>
      </c>
      <c r="D445" s="15">
        <v>886332647</v>
      </c>
      <c r="E445" s="11" t="s">
        <v>29</v>
      </c>
      <c r="F445" s="20">
        <v>40704</v>
      </c>
      <c r="G445" s="16" t="str">
        <f t="shared" si="12"/>
        <v>June</v>
      </c>
      <c r="H445" s="2">
        <f t="shared" ca="1" si="13"/>
        <v>7</v>
      </c>
      <c r="I445" s="17" t="s">
        <v>87</v>
      </c>
      <c r="J445" s="18">
        <v>103829</v>
      </c>
      <c r="K445" s="19">
        <v>2</v>
      </c>
      <c r="N445" s="11" t="s">
        <v>1717</v>
      </c>
      <c r="O445" s="11" t="s">
        <v>54</v>
      </c>
      <c r="P445" s="11" t="s">
        <v>24</v>
      </c>
      <c r="Q445" s="11" t="s">
        <v>25</v>
      </c>
      <c r="R445" s="20">
        <f>(42360+(3*365))+112</f>
        <v>43567</v>
      </c>
      <c r="S445" s="17">
        <v>15</v>
      </c>
      <c r="T445" s="17">
        <v>8670</v>
      </c>
    </row>
    <row r="446" spans="1:20" x14ac:dyDescent="0.2">
      <c r="A446" s="11" t="s">
        <v>325</v>
      </c>
      <c r="B446" s="14" t="s">
        <v>19</v>
      </c>
      <c r="C446" s="11" t="s">
        <v>136</v>
      </c>
      <c r="D446" s="15">
        <v>462650472</v>
      </c>
      <c r="E446" s="11" t="s">
        <v>21</v>
      </c>
      <c r="F446" s="20">
        <v>36258</v>
      </c>
      <c r="G446" s="16" t="str">
        <f t="shared" si="12"/>
        <v>April</v>
      </c>
      <c r="H446" s="2">
        <f t="shared" ca="1" si="13"/>
        <v>20</v>
      </c>
      <c r="I446" s="17"/>
      <c r="J446" s="18">
        <v>107163</v>
      </c>
      <c r="K446" s="19">
        <v>1</v>
      </c>
      <c r="N446" s="11" t="s">
        <v>553</v>
      </c>
      <c r="O446" s="11" t="s">
        <v>125</v>
      </c>
      <c r="P446" s="11" t="s">
        <v>33</v>
      </c>
      <c r="Q446" s="11" t="s">
        <v>25</v>
      </c>
      <c r="R446" s="20">
        <f>(41848+(3*365))+112</f>
        <v>43055</v>
      </c>
      <c r="S446" s="17">
        <v>2</v>
      </c>
      <c r="T446" s="17">
        <v>1125</v>
      </c>
    </row>
    <row r="447" spans="1:20" x14ac:dyDescent="0.2">
      <c r="A447" s="11" t="s">
        <v>934</v>
      </c>
      <c r="B447" s="14" t="s">
        <v>27</v>
      </c>
      <c r="C447" s="11" t="s">
        <v>59</v>
      </c>
      <c r="D447" s="15">
        <v>425598783</v>
      </c>
      <c r="E447" s="11" t="s">
        <v>80</v>
      </c>
      <c r="F447" s="20">
        <v>37926</v>
      </c>
      <c r="G447" s="16" t="str">
        <f t="shared" si="12"/>
        <v>November</v>
      </c>
      <c r="H447" s="2">
        <f t="shared" ca="1" si="13"/>
        <v>15</v>
      </c>
      <c r="I447" s="17" t="s">
        <v>71</v>
      </c>
      <c r="J447" s="18">
        <v>28647</v>
      </c>
      <c r="K447" s="19">
        <v>3</v>
      </c>
      <c r="N447" s="11" t="s">
        <v>1165</v>
      </c>
      <c r="O447" s="11" t="s">
        <v>117</v>
      </c>
      <c r="P447" s="11" t="s">
        <v>24</v>
      </c>
      <c r="Q447" s="11" t="s">
        <v>219</v>
      </c>
      <c r="R447" s="20">
        <f>(42066+(3*365))+112</f>
        <v>43273</v>
      </c>
      <c r="S447" s="17">
        <v>12</v>
      </c>
      <c r="T447" s="17">
        <v>6480</v>
      </c>
    </row>
    <row r="448" spans="1:20" x14ac:dyDescent="0.2">
      <c r="A448" s="11" t="s">
        <v>687</v>
      </c>
      <c r="B448" s="14" t="s">
        <v>43</v>
      </c>
      <c r="C448" s="11" t="s">
        <v>214</v>
      </c>
      <c r="D448" s="15">
        <v>427260216</v>
      </c>
      <c r="E448" s="11" t="s">
        <v>80</v>
      </c>
      <c r="F448" s="20">
        <v>37019</v>
      </c>
      <c r="G448" s="16" t="str">
        <f t="shared" si="12"/>
        <v>May</v>
      </c>
      <c r="H448" s="2">
        <f t="shared" ca="1" si="13"/>
        <v>18</v>
      </c>
      <c r="I448" s="17" t="s">
        <v>87</v>
      </c>
      <c r="J448" s="18">
        <v>25508</v>
      </c>
      <c r="K448" s="19">
        <v>4</v>
      </c>
      <c r="N448" s="11" t="s">
        <v>322</v>
      </c>
      <c r="O448" s="11" t="s">
        <v>49</v>
      </c>
      <c r="P448" s="11" t="s">
        <v>33</v>
      </c>
      <c r="Q448" s="11" t="s">
        <v>25</v>
      </c>
      <c r="R448" s="20">
        <f>(41752+(3*365))+112</f>
        <v>42959</v>
      </c>
      <c r="S448" s="17">
        <v>8</v>
      </c>
      <c r="T448" s="17">
        <v>2480</v>
      </c>
    </row>
    <row r="449" spans="1:20" x14ac:dyDescent="0.2">
      <c r="A449" s="11" t="s">
        <v>661</v>
      </c>
      <c r="B449" s="14" t="s">
        <v>27</v>
      </c>
      <c r="C449" s="11" t="s">
        <v>214</v>
      </c>
      <c r="D449" s="15">
        <v>249929042</v>
      </c>
      <c r="E449" s="11" t="s">
        <v>29</v>
      </c>
      <c r="F449" s="20">
        <v>41520</v>
      </c>
      <c r="G449" s="16" t="str">
        <f t="shared" si="12"/>
        <v>September</v>
      </c>
      <c r="H449" s="2">
        <f t="shared" ca="1" si="13"/>
        <v>5</v>
      </c>
      <c r="I449" s="17" t="s">
        <v>47</v>
      </c>
      <c r="J449" s="18">
        <v>82431</v>
      </c>
      <c r="K449" s="19">
        <v>5</v>
      </c>
      <c r="N449" s="11" t="s">
        <v>648</v>
      </c>
      <c r="O449" s="11" t="s">
        <v>125</v>
      </c>
      <c r="P449" s="11" t="s">
        <v>65</v>
      </c>
      <c r="Q449" s="11" t="s">
        <v>25</v>
      </c>
      <c r="R449" s="20">
        <f>(41889+(3*365))+112</f>
        <v>43096</v>
      </c>
      <c r="S449" s="17">
        <v>1</v>
      </c>
      <c r="T449" s="17">
        <v>495</v>
      </c>
    </row>
    <row r="450" spans="1:20" x14ac:dyDescent="0.2">
      <c r="A450" s="11" t="s">
        <v>779</v>
      </c>
      <c r="B450" s="14" t="s">
        <v>43</v>
      </c>
      <c r="C450" s="11" t="s">
        <v>86</v>
      </c>
      <c r="D450" s="15">
        <v>499124019</v>
      </c>
      <c r="E450" s="11" t="s">
        <v>80</v>
      </c>
      <c r="F450" s="20">
        <v>38977</v>
      </c>
      <c r="G450" s="16" t="str">
        <f t="shared" ref="G450:G513" si="14">CHOOSE(MONTH(F450),"January","February","March","April","May","June","July","August","September","October","November","December")</f>
        <v>September</v>
      </c>
      <c r="H450" s="2">
        <f t="shared" ref="H450:H513" ca="1" si="15">DATEDIF(F450,TODAY(),"Y")</f>
        <v>12</v>
      </c>
      <c r="I450" s="17" t="s">
        <v>30</v>
      </c>
      <c r="J450" s="18">
        <v>38988</v>
      </c>
      <c r="K450" s="19">
        <v>3</v>
      </c>
      <c r="N450" s="11" t="s">
        <v>31</v>
      </c>
      <c r="O450" s="11" t="s">
        <v>32</v>
      </c>
      <c r="P450" s="11" t="s">
        <v>33</v>
      </c>
      <c r="Q450" s="11" t="s">
        <v>34</v>
      </c>
      <c r="R450" s="20">
        <f>(41645+(3*365))+112</f>
        <v>42852</v>
      </c>
      <c r="S450" s="17">
        <v>9</v>
      </c>
      <c r="T450" s="17">
        <v>4939</v>
      </c>
    </row>
    <row r="451" spans="1:20" x14ac:dyDescent="0.2">
      <c r="A451" s="11" t="s">
        <v>701</v>
      </c>
      <c r="B451" s="14" t="s">
        <v>83</v>
      </c>
      <c r="C451" s="11" t="s">
        <v>214</v>
      </c>
      <c r="D451" s="15">
        <v>487810878</v>
      </c>
      <c r="E451" s="11" t="s">
        <v>29</v>
      </c>
      <c r="F451" s="20">
        <v>36924</v>
      </c>
      <c r="G451" s="16" t="str">
        <f t="shared" si="14"/>
        <v>February</v>
      </c>
      <c r="H451" s="2">
        <f t="shared" ca="1" si="15"/>
        <v>18</v>
      </c>
      <c r="I451" s="17" t="s">
        <v>30</v>
      </c>
      <c r="J451" s="18">
        <v>31496</v>
      </c>
      <c r="K451" s="19">
        <v>4</v>
      </c>
      <c r="N451" s="11" t="s">
        <v>704</v>
      </c>
      <c r="O451" s="11" t="s">
        <v>45</v>
      </c>
      <c r="P451" s="11" t="s">
        <v>24</v>
      </c>
      <c r="Q451" s="11" t="s">
        <v>41</v>
      </c>
      <c r="R451" s="20">
        <f>(41910+(3*365))+112</f>
        <v>43117</v>
      </c>
      <c r="S451" s="17">
        <v>1</v>
      </c>
      <c r="T451" s="17">
        <v>460</v>
      </c>
    </row>
    <row r="452" spans="1:20" x14ac:dyDescent="0.2">
      <c r="A452" s="11" t="s">
        <v>558</v>
      </c>
      <c r="B452" s="14" t="s">
        <v>43</v>
      </c>
      <c r="C452" s="11" t="s">
        <v>214</v>
      </c>
      <c r="D452" s="15">
        <v>361925033</v>
      </c>
      <c r="E452" s="11" t="s">
        <v>21</v>
      </c>
      <c r="F452" s="20">
        <v>41145</v>
      </c>
      <c r="G452" s="16" t="str">
        <f t="shared" si="14"/>
        <v>August</v>
      </c>
      <c r="H452" s="2">
        <f t="shared" ca="1" si="15"/>
        <v>6</v>
      </c>
      <c r="I452" s="17"/>
      <c r="J452" s="18">
        <v>96971</v>
      </c>
      <c r="K452" s="19">
        <v>3</v>
      </c>
      <c r="N452" s="11" t="s">
        <v>1561</v>
      </c>
      <c r="O452" s="11" t="s">
        <v>64</v>
      </c>
      <c r="P452" s="11" t="s">
        <v>65</v>
      </c>
      <c r="Q452" s="11" t="s">
        <v>219</v>
      </c>
      <c r="R452" s="20">
        <f>(42231+(3*365))+112</f>
        <v>43438</v>
      </c>
      <c r="S452" s="17">
        <v>8</v>
      </c>
      <c r="T452" s="17">
        <v>2970</v>
      </c>
    </row>
    <row r="453" spans="1:20" x14ac:dyDescent="0.2">
      <c r="A453" s="11" t="s">
        <v>727</v>
      </c>
      <c r="B453" s="14" t="s">
        <v>27</v>
      </c>
      <c r="C453" s="11" t="s">
        <v>214</v>
      </c>
      <c r="D453" s="15">
        <v>903618594</v>
      </c>
      <c r="E453" s="11" t="s">
        <v>29</v>
      </c>
      <c r="F453" s="20">
        <v>40722</v>
      </c>
      <c r="G453" s="16" t="str">
        <f t="shared" si="14"/>
        <v>June</v>
      </c>
      <c r="H453" s="2">
        <f t="shared" ca="1" si="15"/>
        <v>7</v>
      </c>
      <c r="I453" s="17" t="s">
        <v>87</v>
      </c>
      <c r="J453" s="18">
        <v>73211</v>
      </c>
      <c r="K453" s="19">
        <v>5</v>
      </c>
      <c r="N453" s="11" t="s">
        <v>885</v>
      </c>
      <c r="O453" s="11" t="s">
        <v>89</v>
      </c>
      <c r="P453" s="11" t="s">
        <v>65</v>
      </c>
      <c r="Q453" s="11" t="s">
        <v>34</v>
      </c>
      <c r="R453" s="20">
        <f>(41973+(3*365))+112</f>
        <v>43180</v>
      </c>
      <c r="S453" s="17">
        <v>17</v>
      </c>
      <c r="T453" s="17">
        <v>9095</v>
      </c>
    </row>
    <row r="454" spans="1:20" x14ac:dyDescent="0.2">
      <c r="A454" s="11" t="s">
        <v>1552</v>
      </c>
      <c r="B454" s="14" t="s">
        <v>36</v>
      </c>
      <c r="C454" s="11" t="s">
        <v>641</v>
      </c>
      <c r="D454" s="15">
        <v>495372474</v>
      </c>
      <c r="E454" s="11" t="s">
        <v>80</v>
      </c>
      <c r="F454" s="20">
        <v>39413</v>
      </c>
      <c r="G454" s="16" t="str">
        <f t="shared" si="14"/>
        <v>November</v>
      </c>
      <c r="H454" s="2">
        <f t="shared" ca="1" si="15"/>
        <v>11</v>
      </c>
      <c r="I454" s="17" t="s">
        <v>47</v>
      </c>
      <c r="J454" s="18">
        <v>42188</v>
      </c>
      <c r="K454" s="19">
        <v>2</v>
      </c>
      <c r="N454" s="11" t="s">
        <v>1087</v>
      </c>
      <c r="O454" s="11" t="s">
        <v>64</v>
      </c>
      <c r="P454" s="11" t="s">
        <v>40</v>
      </c>
      <c r="Q454" s="11" t="s">
        <v>34</v>
      </c>
      <c r="R454" s="20">
        <f>(42034+(3*365))+112</f>
        <v>43241</v>
      </c>
      <c r="S454" s="17">
        <v>17</v>
      </c>
      <c r="T454" s="17">
        <v>7275</v>
      </c>
    </row>
    <row r="455" spans="1:20" x14ac:dyDescent="0.2">
      <c r="A455" s="11" t="s">
        <v>1216</v>
      </c>
      <c r="B455" s="14" t="s">
        <v>27</v>
      </c>
      <c r="C455" s="11" t="s">
        <v>152</v>
      </c>
      <c r="D455" s="15">
        <v>627494412</v>
      </c>
      <c r="E455" s="11" t="s">
        <v>29</v>
      </c>
      <c r="F455" s="20">
        <v>38132</v>
      </c>
      <c r="G455" s="16" t="str">
        <f t="shared" si="14"/>
        <v>May</v>
      </c>
      <c r="H455" s="2">
        <f t="shared" ca="1" si="15"/>
        <v>15</v>
      </c>
      <c r="I455" s="17" t="s">
        <v>47</v>
      </c>
      <c r="J455" s="18">
        <v>78800</v>
      </c>
      <c r="K455" s="19">
        <v>5</v>
      </c>
      <c r="N455" s="11" t="s">
        <v>1555</v>
      </c>
      <c r="O455" s="11" t="s">
        <v>64</v>
      </c>
      <c r="P455" s="11" t="s">
        <v>24</v>
      </c>
      <c r="Q455" s="11" t="s">
        <v>41</v>
      </c>
      <c r="R455" s="20">
        <f>(42228+(3*365))+112</f>
        <v>43435</v>
      </c>
      <c r="S455" s="17">
        <v>13</v>
      </c>
      <c r="T455" s="17">
        <v>4785</v>
      </c>
    </row>
    <row r="456" spans="1:20" x14ac:dyDescent="0.2">
      <c r="A456" s="11" t="s">
        <v>1042</v>
      </c>
      <c r="B456" s="14" t="s">
        <v>27</v>
      </c>
      <c r="C456" s="11" t="s">
        <v>214</v>
      </c>
      <c r="D456" s="15">
        <v>920477476</v>
      </c>
      <c r="E456" s="11" t="s">
        <v>21</v>
      </c>
      <c r="F456" s="20">
        <v>38041</v>
      </c>
      <c r="G456" s="16" t="str">
        <f t="shared" si="14"/>
        <v>February</v>
      </c>
      <c r="H456" s="2">
        <f t="shared" ca="1" si="15"/>
        <v>15</v>
      </c>
      <c r="I456" s="17"/>
      <c r="J456" s="18">
        <v>32954</v>
      </c>
      <c r="K456" s="19">
        <v>3</v>
      </c>
      <c r="N456" s="11" t="s">
        <v>476</v>
      </c>
      <c r="O456" s="11" t="s">
        <v>78</v>
      </c>
      <c r="P456" s="11" t="s">
        <v>33</v>
      </c>
      <c r="Q456" s="11" t="s">
        <v>219</v>
      </c>
      <c r="R456" s="20">
        <f>(41818+(3*365))+112</f>
        <v>43025</v>
      </c>
      <c r="S456" s="17">
        <v>15</v>
      </c>
      <c r="T456" s="17">
        <v>8265</v>
      </c>
    </row>
    <row r="457" spans="1:20" x14ac:dyDescent="0.2">
      <c r="A457" s="11" t="s">
        <v>285</v>
      </c>
      <c r="B457" s="14" t="s">
        <v>83</v>
      </c>
      <c r="C457" s="11" t="s">
        <v>28</v>
      </c>
      <c r="D457" s="15">
        <v>313651312</v>
      </c>
      <c r="E457" s="11" t="s">
        <v>29</v>
      </c>
      <c r="F457" s="20">
        <v>39038</v>
      </c>
      <c r="G457" s="16" t="str">
        <f t="shared" si="14"/>
        <v>November</v>
      </c>
      <c r="H457" s="2">
        <f t="shared" ca="1" si="15"/>
        <v>12</v>
      </c>
      <c r="I457" s="17" t="s">
        <v>30</v>
      </c>
      <c r="J457" s="18">
        <v>92205</v>
      </c>
      <c r="K457" s="19">
        <v>5</v>
      </c>
      <c r="N457" s="11" t="s">
        <v>1215</v>
      </c>
      <c r="O457" s="11" t="s">
        <v>49</v>
      </c>
      <c r="P457" s="11" t="s">
        <v>40</v>
      </c>
      <c r="Q457" s="11" t="s">
        <v>34</v>
      </c>
      <c r="R457" s="20">
        <f>(42095+(3*365))+112</f>
        <v>43302</v>
      </c>
      <c r="S457" s="17">
        <v>9</v>
      </c>
      <c r="T457" s="17">
        <v>4354</v>
      </c>
    </row>
    <row r="458" spans="1:20" x14ac:dyDescent="0.2">
      <c r="A458" s="11" t="s">
        <v>494</v>
      </c>
      <c r="B458" s="14" t="s">
        <v>27</v>
      </c>
      <c r="C458" s="11" t="s">
        <v>214</v>
      </c>
      <c r="D458" s="15">
        <v>412611335</v>
      </c>
      <c r="E458" s="11" t="s">
        <v>21</v>
      </c>
      <c r="F458" s="20">
        <v>41363</v>
      </c>
      <c r="G458" s="16" t="str">
        <f t="shared" si="14"/>
        <v>March</v>
      </c>
      <c r="H458" s="2">
        <f t="shared" ca="1" si="15"/>
        <v>6</v>
      </c>
      <c r="I458" s="17"/>
      <c r="J458" s="18">
        <v>55269</v>
      </c>
      <c r="K458" s="19">
        <v>2</v>
      </c>
      <c r="N458" s="11" t="s">
        <v>1710</v>
      </c>
      <c r="O458" s="11" t="s">
        <v>75</v>
      </c>
      <c r="P458" s="11" t="s">
        <v>24</v>
      </c>
      <c r="Q458" s="11" t="s">
        <v>219</v>
      </c>
      <c r="R458" s="20">
        <f>(42354+(3*365))+112</f>
        <v>43561</v>
      </c>
      <c r="S458" s="17">
        <v>5</v>
      </c>
      <c r="T458" s="17">
        <v>1970</v>
      </c>
    </row>
    <row r="459" spans="1:20" x14ac:dyDescent="0.2">
      <c r="A459" s="11" t="s">
        <v>1378</v>
      </c>
      <c r="B459" s="14" t="s">
        <v>27</v>
      </c>
      <c r="C459" s="11" t="s">
        <v>152</v>
      </c>
      <c r="D459" s="15">
        <v>717503282</v>
      </c>
      <c r="E459" s="11" t="s">
        <v>21</v>
      </c>
      <c r="F459" s="20">
        <v>43379</v>
      </c>
      <c r="G459" s="16" t="str">
        <f t="shared" si="14"/>
        <v>October</v>
      </c>
      <c r="H459" s="2">
        <f t="shared" ca="1" si="15"/>
        <v>0</v>
      </c>
      <c r="I459" s="17"/>
      <c r="J459" s="18">
        <v>62870</v>
      </c>
      <c r="K459" s="19">
        <v>4</v>
      </c>
      <c r="N459" s="11" t="s">
        <v>1091</v>
      </c>
      <c r="O459" s="11" t="s">
        <v>54</v>
      </c>
      <c r="P459" s="11" t="s">
        <v>24</v>
      </c>
      <c r="Q459" s="11" t="s">
        <v>25</v>
      </c>
      <c r="R459" s="20">
        <f>(42035+(3*365))+112</f>
        <v>43242</v>
      </c>
      <c r="S459" s="17">
        <v>2</v>
      </c>
      <c r="T459" s="17">
        <v>1015</v>
      </c>
    </row>
    <row r="460" spans="1:20" x14ac:dyDescent="0.2">
      <c r="A460" s="11" t="s">
        <v>376</v>
      </c>
      <c r="B460" s="14" t="s">
        <v>43</v>
      </c>
      <c r="C460" s="11" t="s">
        <v>59</v>
      </c>
      <c r="D460" s="15">
        <v>429283827</v>
      </c>
      <c r="E460" s="11" t="s">
        <v>29</v>
      </c>
      <c r="F460" s="20">
        <v>39499</v>
      </c>
      <c r="G460" s="16" t="str">
        <f t="shared" si="14"/>
        <v>February</v>
      </c>
      <c r="H460" s="2">
        <f t="shared" ca="1" si="15"/>
        <v>11</v>
      </c>
      <c r="I460" s="17" t="s">
        <v>30</v>
      </c>
      <c r="J460" s="18">
        <v>96363</v>
      </c>
      <c r="K460" s="19">
        <v>2</v>
      </c>
      <c r="N460" s="11" t="s">
        <v>399</v>
      </c>
      <c r="O460" s="11" t="s">
        <v>54</v>
      </c>
      <c r="P460" s="11" t="s">
        <v>24</v>
      </c>
      <c r="Q460" s="11" t="s">
        <v>34</v>
      </c>
      <c r="R460" s="20">
        <f>(41785+(3*365))+112</f>
        <v>42992</v>
      </c>
      <c r="S460" s="17">
        <v>9</v>
      </c>
      <c r="T460" s="17">
        <v>3218</v>
      </c>
    </row>
    <row r="461" spans="1:20" x14ac:dyDescent="0.2">
      <c r="A461" s="11" t="s">
        <v>402</v>
      </c>
      <c r="B461" s="14" t="s">
        <v>19</v>
      </c>
      <c r="C461" s="11" t="s">
        <v>152</v>
      </c>
      <c r="D461" s="15">
        <v>657835603</v>
      </c>
      <c r="E461" s="11" t="s">
        <v>29</v>
      </c>
      <c r="F461" s="20">
        <v>36135</v>
      </c>
      <c r="G461" s="16" t="str">
        <f t="shared" si="14"/>
        <v>December</v>
      </c>
      <c r="H461" s="2">
        <f t="shared" ca="1" si="15"/>
        <v>20</v>
      </c>
      <c r="I461" s="17" t="s">
        <v>47</v>
      </c>
      <c r="J461" s="18">
        <v>32670</v>
      </c>
      <c r="K461" s="19">
        <v>5</v>
      </c>
      <c r="N461" s="11" t="s">
        <v>330</v>
      </c>
      <c r="O461" s="11" t="s">
        <v>49</v>
      </c>
      <c r="P461" s="11" t="s">
        <v>65</v>
      </c>
      <c r="Q461" s="11" t="s">
        <v>219</v>
      </c>
      <c r="R461" s="20">
        <f>(41754+(3*365))+112</f>
        <v>42961</v>
      </c>
      <c r="S461" s="17">
        <v>12</v>
      </c>
      <c r="T461" s="17">
        <v>7090</v>
      </c>
    </row>
    <row r="462" spans="1:20" x14ac:dyDescent="0.2">
      <c r="A462" s="11" t="s">
        <v>1020</v>
      </c>
      <c r="B462" s="14" t="s">
        <v>27</v>
      </c>
      <c r="C462" s="11" t="s">
        <v>20</v>
      </c>
      <c r="D462" s="15">
        <v>905675120</v>
      </c>
      <c r="E462" s="11" t="s">
        <v>29</v>
      </c>
      <c r="F462" s="20">
        <v>38063</v>
      </c>
      <c r="G462" s="16" t="str">
        <f t="shared" si="14"/>
        <v>March</v>
      </c>
      <c r="H462" s="2">
        <f t="shared" ca="1" si="15"/>
        <v>15</v>
      </c>
      <c r="I462" s="17" t="s">
        <v>38</v>
      </c>
      <c r="J462" s="18">
        <v>104733</v>
      </c>
      <c r="K462" s="19">
        <v>3</v>
      </c>
      <c r="N462" s="11" t="s">
        <v>1684</v>
      </c>
      <c r="O462" s="11" t="s">
        <v>125</v>
      </c>
      <c r="P462" s="11" t="s">
        <v>24</v>
      </c>
      <c r="Q462" s="11" t="s">
        <v>219</v>
      </c>
      <c r="R462" s="20">
        <f>(42333+(3*365))+112</f>
        <v>43540</v>
      </c>
      <c r="S462" s="17">
        <v>10</v>
      </c>
      <c r="T462" s="17">
        <v>5090</v>
      </c>
    </row>
    <row r="463" spans="1:20" x14ac:dyDescent="0.2">
      <c r="A463" s="11" t="s">
        <v>902</v>
      </c>
      <c r="B463" s="14" t="s">
        <v>19</v>
      </c>
      <c r="C463" s="11" t="s">
        <v>136</v>
      </c>
      <c r="D463" s="15">
        <v>336025451</v>
      </c>
      <c r="E463" s="11" t="s">
        <v>21</v>
      </c>
      <c r="F463" s="20">
        <v>37334</v>
      </c>
      <c r="G463" s="16" t="str">
        <f t="shared" si="14"/>
        <v>March</v>
      </c>
      <c r="H463" s="2">
        <f t="shared" ca="1" si="15"/>
        <v>17</v>
      </c>
      <c r="I463" s="17"/>
      <c r="J463" s="18">
        <v>76478</v>
      </c>
      <c r="K463" s="19">
        <v>1</v>
      </c>
      <c r="N463" s="11" t="s">
        <v>361</v>
      </c>
      <c r="O463" s="11" t="s">
        <v>64</v>
      </c>
      <c r="P463" s="11" t="s">
        <v>24</v>
      </c>
      <c r="Q463" s="11" t="s">
        <v>41</v>
      </c>
      <c r="R463" s="20">
        <f>(41770+(3*365))+112</f>
        <v>42977</v>
      </c>
      <c r="S463" s="17">
        <v>5</v>
      </c>
      <c r="T463" s="17">
        <v>1605</v>
      </c>
    </row>
    <row r="464" spans="1:20" x14ac:dyDescent="0.2">
      <c r="A464" s="11" t="s">
        <v>904</v>
      </c>
      <c r="B464" s="14" t="s">
        <v>19</v>
      </c>
      <c r="C464" s="11" t="s">
        <v>136</v>
      </c>
      <c r="D464" s="15">
        <v>494754997</v>
      </c>
      <c r="E464" s="11" t="s">
        <v>21</v>
      </c>
      <c r="F464" s="20">
        <v>37582</v>
      </c>
      <c r="G464" s="16" t="str">
        <f t="shared" si="14"/>
        <v>November</v>
      </c>
      <c r="H464" s="2">
        <f t="shared" ca="1" si="15"/>
        <v>16</v>
      </c>
      <c r="I464" s="17"/>
      <c r="J464" s="18">
        <v>44712</v>
      </c>
      <c r="K464" s="19">
        <v>2</v>
      </c>
      <c r="N464" s="11" t="s">
        <v>231</v>
      </c>
      <c r="O464" s="11" t="s">
        <v>45</v>
      </c>
      <c r="P464" s="11" t="s">
        <v>40</v>
      </c>
      <c r="Q464" s="11" t="s">
        <v>120</v>
      </c>
      <c r="R464" s="20">
        <f>(41712+(3*365))+112</f>
        <v>42919</v>
      </c>
      <c r="S464" s="17">
        <v>9</v>
      </c>
      <c r="T464" s="21">
        <v>4455</v>
      </c>
    </row>
    <row r="465" spans="1:20" x14ac:dyDescent="0.2">
      <c r="A465" s="11" t="s">
        <v>484</v>
      </c>
      <c r="B465" s="14" t="s">
        <v>27</v>
      </c>
      <c r="C465" s="11" t="s">
        <v>214</v>
      </c>
      <c r="D465" s="15">
        <v>356242235</v>
      </c>
      <c r="E465" s="11" t="s">
        <v>80</v>
      </c>
      <c r="F465" s="20">
        <v>39460</v>
      </c>
      <c r="G465" s="16" t="str">
        <f t="shared" si="14"/>
        <v>January</v>
      </c>
      <c r="H465" s="2">
        <f t="shared" ca="1" si="15"/>
        <v>11</v>
      </c>
      <c r="I465" s="17" t="s">
        <v>30</v>
      </c>
      <c r="J465" s="18">
        <v>63059</v>
      </c>
      <c r="K465" s="19">
        <v>3</v>
      </c>
      <c r="N465" s="11" t="s">
        <v>1419</v>
      </c>
      <c r="O465" s="11" t="s">
        <v>89</v>
      </c>
      <c r="P465" s="11" t="s">
        <v>40</v>
      </c>
      <c r="Q465" s="11" t="s">
        <v>34</v>
      </c>
      <c r="R465" s="20">
        <f>(42179+(3*365))+112</f>
        <v>43386</v>
      </c>
      <c r="S465" s="17">
        <v>19</v>
      </c>
      <c r="T465" s="17">
        <v>9710</v>
      </c>
    </row>
    <row r="466" spans="1:20" x14ac:dyDescent="0.2">
      <c r="A466" s="11" t="s">
        <v>1110</v>
      </c>
      <c r="B466" s="14" t="s">
        <v>27</v>
      </c>
      <c r="C466" s="11" t="s">
        <v>136</v>
      </c>
      <c r="D466" s="15">
        <v>115404531</v>
      </c>
      <c r="E466" s="11" t="s">
        <v>80</v>
      </c>
      <c r="F466" s="20">
        <v>41029</v>
      </c>
      <c r="G466" s="16" t="str">
        <f t="shared" si="14"/>
        <v>April</v>
      </c>
      <c r="H466" s="2">
        <f t="shared" ca="1" si="15"/>
        <v>7</v>
      </c>
      <c r="I466" s="17" t="s">
        <v>30</v>
      </c>
      <c r="J466" s="18">
        <v>44415</v>
      </c>
      <c r="K466" s="19">
        <v>2</v>
      </c>
      <c r="N466" s="11" t="s">
        <v>1061</v>
      </c>
      <c r="O466" s="11" t="s">
        <v>32</v>
      </c>
      <c r="P466" s="11" t="s">
        <v>24</v>
      </c>
      <c r="Q466" s="11" t="s">
        <v>41</v>
      </c>
      <c r="R466" s="20">
        <f>(42023+(3*365))+112</f>
        <v>43230</v>
      </c>
      <c r="S466" s="17">
        <v>2</v>
      </c>
      <c r="T466" s="17">
        <v>675</v>
      </c>
    </row>
    <row r="467" spans="1:20" x14ac:dyDescent="0.2">
      <c r="A467" s="11" t="s">
        <v>1010</v>
      </c>
      <c r="B467" s="14" t="s">
        <v>43</v>
      </c>
      <c r="C467" s="11" t="s">
        <v>152</v>
      </c>
      <c r="D467" s="15">
        <v>145495793</v>
      </c>
      <c r="E467" s="11" t="s">
        <v>80</v>
      </c>
      <c r="F467" s="20">
        <v>37816</v>
      </c>
      <c r="G467" s="16" t="str">
        <f t="shared" si="14"/>
        <v>July</v>
      </c>
      <c r="H467" s="2">
        <f t="shared" ca="1" si="15"/>
        <v>15</v>
      </c>
      <c r="I467" s="17" t="s">
        <v>71</v>
      </c>
      <c r="J467" s="18">
        <v>31050</v>
      </c>
      <c r="K467" s="19">
        <v>4</v>
      </c>
      <c r="N467" s="11" t="s">
        <v>1615</v>
      </c>
      <c r="O467" s="11" t="s">
        <v>32</v>
      </c>
      <c r="P467" s="11" t="s">
        <v>33</v>
      </c>
      <c r="Q467" s="11" t="s">
        <v>219</v>
      </c>
      <c r="R467" s="20">
        <f>(42278+(3*365))+112</f>
        <v>43485</v>
      </c>
      <c r="S467" s="17">
        <v>11</v>
      </c>
      <c r="T467" s="17">
        <v>5830</v>
      </c>
    </row>
    <row r="468" spans="1:20" x14ac:dyDescent="0.2">
      <c r="A468" s="11" t="s">
        <v>1138</v>
      </c>
      <c r="B468" s="14" t="s">
        <v>19</v>
      </c>
      <c r="C468" s="11" t="s">
        <v>136</v>
      </c>
      <c r="D468" s="15">
        <v>379340654</v>
      </c>
      <c r="E468" s="11" t="s">
        <v>29</v>
      </c>
      <c r="F468" s="20">
        <v>38846</v>
      </c>
      <c r="G468" s="16" t="str">
        <f t="shared" si="14"/>
        <v>May</v>
      </c>
      <c r="H468" s="2">
        <f t="shared" ca="1" si="15"/>
        <v>13</v>
      </c>
      <c r="I468" s="17" t="s">
        <v>71</v>
      </c>
      <c r="J468" s="18">
        <v>49802</v>
      </c>
      <c r="K468" s="19">
        <v>1</v>
      </c>
      <c r="N468" s="11" t="s">
        <v>931</v>
      </c>
      <c r="O468" s="11" t="s">
        <v>89</v>
      </c>
      <c r="P468" s="11" t="s">
        <v>65</v>
      </c>
      <c r="Q468" s="11" t="s">
        <v>120</v>
      </c>
      <c r="R468" s="20">
        <f>(41992+(3*365))+112</f>
        <v>43199</v>
      </c>
      <c r="S468" s="17">
        <v>4</v>
      </c>
      <c r="T468" s="17">
        <v>1230</v>
      </c>
    </row>
    <row r="469" spans="1:20" x14ac:dyDescent="0.2">
      <c r="A469" s="11" t="s">
        <v>647</v>
      </c>
      <c r="B469" s="14" t="s">
        <v>43</v>
      </c>
      <c r="C469" s="11" t="s">
        <v>214</v>
      </c>
      <c r="D469" s="15">
        <v>318068637</v>
      </c>
      <c r="E469" s="11" t="s">
        <v>21</v>
      </c>
      <c r="F469" s="20">
        <v>42394</v>
      </c>
      <c r="G469" s="16" t="str">
        <f t="shared" si="14"/>
        <v>January</v>
      </c>
      <c r="H469" s="2">
        <f t="shared" ca="1" si="15"/>
        <v>3</v>
      </c>
      <c r="I469" s="17"/>
      <c r="J469" s="18">
        <v>84753</v>
      </c>
      <c r="K469" s="19">
        <v>4</v>
      </c>
      <c r="N469" s="11" t="s">
        <v>852</v>
      </c>
      <c r="O469" s="11" t="s">
        <v>125</v>
      </c>
      <c r="P469" s="11" t="s">
        <v>40</v>
      </c>
      <c r="Q469" s="11" t="s">
        <v>219</v>
      </c>
      <c r="R469" s="20">
        <f>(41966+(3*365))+112</f>
        <v>43173</v>
      </c>
      <c r="S469" s="17">
        <v>15</v>
      </c>
      <c r="T469" s="17">
        <v>7815</v>
      </c>
    </row>
    <row r="470" spans="1:20" x14ac:dyDescent="0.2">
      <c r="A470" s="11" t="s">
        <v>801</v>
      </c>
      <c r="B470" s="14" t="s">
        <v>27</v>
      </c>
      <c r="C470" s="11" t="s">
        <v>86</v>
      </c>
      <c r="D470" s="15">
        <v>364404060</v>
      </c>
      <c r="E470" s="11" t="s">
        <v>80</v>
      </c>
      <c r="F470" s="20">
        <v>41218</v>
      </c>
      <c r="G470" s="16" t="str">
        <f t="shared" si="14"/>
        <v>November</v>
      </c>
      <c r="H470" s="2">
        <f t="shared" ca="1" si="15"/>
        <v>6</v>
      </c>
      <c r="I470" s="17" t="s">
        <v>47</v>
      </c>
      <c r="J470" s="18">
        <v>42194</v>
      </c>
      <c r="K470" s="19">
        <v>5</v>
      </c>
      <c r="N470" s="11" t="s">
        <v>1698</v>
      </c>
      <c r="O470" s="11" t="s">
        <v>23</v>
      </c>
      <c r="P470" s="11" t="s">
        <v>33</v>
      </c>
      <c r="Q470" s="11" t="s">
        <v>41</v>
      </c>
      <c r="R470" s="20">
        <f>(42348+(3*365))+112</f>
        <v>43555</v>
      </c>
      <c r="S470" s="17">
        <v>5</v>
      </c>
      <c r="T470" s="17">
        <v>1550</v>
      </c>
    </row>
    <row r="471" spans="1:20" x14ac:dyDescent="0.2">
      <c r="A471" s="11" t="s">
        <v>703</v>
      </c>
      <c r="B471" s="14" t="s">
        <v>27</v>
      </c>
      <c r="C471" s="11" t="s">
        <v>214</v>
      </c>
      <c r="D471" s="15">
        <v>319449613</v>
      </c>
      <c r="E471" s="11" t="s">
        <v>29</v>
      </c>
      <c r="F471" s="20">
        <v>39188</v>
      </c>
      <c r="G471" s="16" t="str">
        <f t="shared" si="14"/>
        <v>April</v>
      </c>
      <c r="H471" s="2">
        <f t="shared" ca="1" si="15"/>
        <v>12</v>
      </c>
      <c r="I471" s="17" t="s">
        <v>38</v>
      </c>
      <c r="J471" s="18">
        <v>50976</v>
      </c>
      <c r="K471" s="19">
        <v>2</v>
      </c>
      <c r="N471" s="11" t="s">
        <v>985</v>
      </c>
      <c r="O471" s="11" t="s">
        <v>78</v>
      </c>
      <c r="P471" s="11" t="s">
        <v>33</v>
      </c>
      <c r="Q471" s="11" t="s">
        <v>25</v>
      </c>
      <c r="R471" s="20">
        <f>(42006+(3*365))+112</f>
        <v>43213</v>
      </c>
      <c r="S471" s="17">
        <v>15</v>
      </c>
      <c r="T471" s="17">
        <v>6465</v>
      </c>
    </row>
    <row r="472" spans="1:20" x14ac:dyDescent="0.2">
      <c r="A472" s="11" t="s">
        <v>264</v>
      </c>
      <c r="B472" s="14" t="s">
        <v>19</v>
      </c>
      <c r="C472" s="11" t="s">
        <v>265</v>
      </c>
      <c r="D472" s="15">
        <v>759350847</v>
      </c>
      <c r="E472" s="11" t="s">
        <v>29</v>
      </c>
      <c r="F472" s="20">
        <v>41253</v>
      </c>
      <c r="G472" s="16" t="str">
        <f t="shared" si="14"/>
        <v>December</v>
      </c>
      <c r="H472" s="2">
        <f t="shared" ca="1" si="15"/>
        <v>6</v>
      </c>
      <c r="I472" s="17" t="s">
        <v>47</v>
      </c>
      <c r="J472" s="18">
        <v>49451</v>
      </c>
      <c r="K472" s="19">
        <v>4</v>
      </c>
      <c r="N472" s="11" t="s">
        <v>357</v>
      </c>
      <c r="O472" s="11" t="s">
        <v>32</v>
      </c>
      <c r="P472" s="11" t="s">
        <v>65</v>
      </c>
      <c r="Q472" s="11" t="s">
        <v>41</v>
      </c>
      <c r="R472" s="20">
        <f>(41767+(3*365))+112</f>
        <v>42974</v>
      </c>
      <c r="S472" s="17">
        <v>2</v>
      </c>
      <c r="T472" s="17">
        <v>1040</v>
      </c>
    </row>
    <row r="473" spans="1:20" x14ac:dyDescent="0.2">
      <c r="A473" s="11" t="s">
        <v>1536</v>
      </c>
      <c r="B473" s="14" t="s">
        <v>51</v>
      </c>
      <c r="C473" s="11" t="s">
        <v>254</v>
      </c>
      <c r="D473" s="15">
        <v>711445298</v>
      </c>
      <c r="E473" s="11" t="s">
        <v>21</v>
      </c>
      <c r="F473" s="20">
        <v>43476</v>
      </c>
      <c r="G473" s="16" t="str">
        <f t="shared" si="14"/>
        <v>January</v>
      </c>
      <c r="H473" s="2">
        <f t="shared" ca="1" si="15"/>
        <v>0</v>
      </c>
      <c r="I473" s="17"/>
      <c r="J473" s="18">
        <v>113805</v>
      </c>
      <c r="K473" s="19">
        <v>1</v>
      </c>
      <c r="N473" s="11" t="s">
        <v>389</v>
      </c>
      <c r="O473" s="11" t="s">
        <v>23</v>
      </c>
      <c r="P473" s="11" t="s">
        <v>40</v>
      </c>
      <c r="Q473" s="11" t="s">
        <v>25</v>
      </c>
      <c r="R473" s="20">
        <f>(41780+(3*365))+112</f>
        <v>42987</v>
      </c>
      <c r="S473" s="17">
        <v>11</v>
      </c>
      <c r="T473" s="17">
        <v>3455</v>
      </c>
    </row>
    <row r="474" spans="1:20" x14ac:dyDescent="0.2">
      <c r="A474" s="11" t="s">
        <v>1014</v>
      </c>
      <c r="B474" s="14" t="s">
        <v>19</v>
      </c>
      <c r="C474" s="11" t="s">
        <v>104</v>
      </c>
      <c r="D474" s="15">
        <v>216607562</v>
      </c>
      <c r="E474" s="11" t="s">
        <v>29</v>
      </c>
      <c r="F474" s="20">
        <v>38315</v>
      </c>
      <c r="G474" s="16" t="str">
        <f t="shared" si="14"/>
        <v>November</v>
      </c>
      <c r="H474" s="2">
        <f t="shared" ca="1" si="15"/>
        <v>14</v>
      </c>
      <c r="I474" s="17" t="s">
        <v>30</v>
      </c>
      <c r="J474" s="18">
        <v>66636</v>
      </c>
      <c r="K474" s="19">
        <v>2</v>
      </c>
      <c r="N474" s="11" t="s">
        <v>1455</v>
      </c>
      <c r="O474" s="11" t="s">
        <v>64</v>
      </c>
      <c r="P474" s="11" t="s">
        <v>24</v>
      </c>
      <c r="Q474" s="11" t="s">
        <v>34</v>
      </c>
      <c r="R474" s="20">
        <f>(42190+(3*365))+112</f>
        <v>43397</v>
      </c>
      <c r="S474" s="17">
        <v>8</v>
      </c>
      <c r="T474" s="17">
        <v>2827</v>
      </c>
    </row>
    <row r="475" spans="1:20" x14ac:dyDescent="0.2">
      <c r="A475" s="11" t="s">
        <v>713</v>
      </c>
      <c r="B475" s="14" t="s">
        <v>19</v>
      </c>
      <c r="C475" s="11" t="s">
        <v>214</v>
      </c>
      <c r="D475" s="15">
        <v>843064707</v>
      </c>
      <c r="E475" s="11" t="s">
        <v>21</v>
      </c>
      <c r="F475" s="20">
        <v>43536</v>
      </c>
      <c r="G475" s="16" t="str">
        <f t="shared" si="14"/>
        <v>March</v>
      </c>
      <c r="H475" s="2">
        <f t="shared" ca="1" si="15"/>
        <v>0</v>
      </c>
      <c r="I475" s="17"/>
      <c r="J475" s="18">
        <v>77099</v>
      </c>
      <c r="K475" s="19">
        <v>3</v>
      </c>
      <c r="N475" s="11" t="s">
        <v>1573</v>
      </c>
      <c r="O475" s="11" t="s">
        <v>78</v>
      </c>
      <c r="P475" s="11" t="s">
        <v>40</v>
      </c>
      <c r="Q475" s="11" t="s">
        <v>25</v>
      </c>
      <c r="R475" s="20">
        <f>(42239+(3*365))+112</f>
        <v>43446</v>
      </c>
      <c r="S475" s="17">
        <v>1</v>
      </c>
      <c r="T475" s="17">
        <v>460</v>
      </c>
    </row>
    <row r="476" spans="1:20" x14ac:dyDescent="0.2">
      <c r="A476" s="11" t="s">
        <v>1226</v>
      </c>
      <c r="B476" s="14" t="s">
        <v>43</v>
      </c>
      <c r="C476" s="11" t="s">
        <v>145</v>
      </c>
      <c r="D476" s="15">
        <v>649292883</v>
      </c>
      <c r="E476" s="11" t="s">
        <v>29</v>
      </c>
      <c r="F476" s="20">
        <v>41093</v>
      </c>
      <c r="G476" s="16" t="str">
        <f t="shared" si="14"/>
        <v>July</v>
      </c>
      <c r="H476" s="2">
        <f t="shared" ca="1" si="15"/>
        <v>6</v>
      </c>
      <c r="I476" s="17" t="s">
        <v>30</v>
      </c>
      <c r="J476" s="18">
        <v>43079</v>
      </c>
      <c r="K476" s="19">
        <v>5</v>
      </c>
      <c r="N476" s="11" t="s">
        <v>1642</v>
      </c>
      <c r="O476" s="11" t="s">
        <v>54</v>
      </c>
      <c r="P476" s="11" t="s">
        <v>33</v>
      </c>
      <c r="Q476" s="11" t="s">
        <v>34</v>
      </c>
      <c r="R476" s="20">
        <f>(42304+(3*365))+112</f>
        <v>43511</v>
      </c>
      <c r="S476" s="17">
        <v>16</v>
      </c>
      <c r="T476" s="17">
        <v>9549</v>
      </c>
    </row>
    <row r="477" spans="1:20" x14ac:dyDescent="0.2">
      <c r="A477" s="11" t="s">
        <v>1540</v>
      </c>
      <c r="B477" s="14" t="s">
        <v>43</v>
      </c>
      <c r="C477" s="11" t="s">
        <v>405</v>
      </c>
      <c r="D477" s="15">
        <v>797985708</v>
      </c>
      <c r="E477" s="11" t="s">
        <v>29</v>
      </c>
      <c r="F477" s="20">
        <v>39929</v>
      </c>
      <c r="G477" s="16" t="str">
        <f t="shared" si="14"/>
        <v>April</v>
      </c>
      <c r="H477" s="2">
        <f t="shared" ca="1" si="15"/>
        <v>10</v>
      </c>
      <c r="I477" s="17" t="s">
        <v>71</v>
      </c>
      <c r="J477" s="18">
        <v>54918</v>
      </c>
      <c r="K477" s="19">
        <v>5</v>
      </c>
      <c r="N477" s="11" t="s">
        <v>706</v>
      </c>
      <c r="O477" s="11" t="s">
        <v>89</v>
      </c>
      <c r="P477" s="11" t="s">
        <v>65</v>
      </c>
      <c r="Q477" s="11" t="s">
        <v>219</v>
      </c>
      <c r="R477" s="20">
        <f>(41911+(3*365))+112</f>
        <v>43118</v>
      </c>
      <c r="S477" s="17">
        <v>4</v>
      </c>
      <c r="T477" s="17">
        <v>1605</v>
      </c>
    </row>
    <row r="478" spans="1:20" x14ac:dyDescent="0.2">
      <c r="A478" s="11" t="s">
        <v>1052</v>
      </c>
      <c r="B478" s="14" t="s">
        <v>19</v>
      </c>
      <c r="C478" s="11" t="s">
        <v>214</v>
      </c>
      <c r="D478" s="15">
        <v>962553692</v>
      </c>
      <c r="E478" s="11" t="s">
        <v>29</v>
      </c>
      <c r="F478" s="20">
        <v>38012</v>
      </c>
      <c r="G478" s="16" t="str">
        <f t="shared" si="14"/>
        <v>January</v>
      </c>
      <c r="H478" s="2">
        <f t="shared" ca="1" si="15"/>
        <v>15</v>
      </c>
      <c r="I478" s="17" t="s">
        <v>30</v>
      </c>
      <c r="J478" s="18">
        <v>116451</v>
      </c>
      <c r="K478" s="19">
        <v>3</v>
      </c>
      <c r="N478" s="11" t="s">
        <v>1619</v>
      </c>
      <c r="O478" s="11" t="s">
        <v>23</v>
      </c>
      <c r="P478" s="11" t="s">
        <v>65</v>
      </c>
      <c r="Q478" s="11" t="s">
        <v>34</v>
      </c>
      <c r="R478" s="20">
        <f>(42280+(3*365))+112</f>
        <v>43487</v>
      </c>
      <c r="S478" s="17">
        <v>19</v>
      </c>
      <c r="T478" s="17">
        <v>6121</v>
      </c>
    </row>
    <row r="479" spans="1:20" x14ac:dyDescent="0.2">
      <c r="A479" s="11" t="s">
        <v>457</v>
      </c>
      <c r="B479" s="14" t="s">
        <v>27</v>
      </c>
      <c r="C479" s="11" t="s">
        <v>214</v>
      </c>
      <c r="D479" s="15">
        <v>428024993</v>
      </c>
      <c r="E479" s="11" t="s">
        <v>21</v>
      </c>
      <c r="F479" s="20">
        <v>36630</v>
      </c>
      <c r="G479" s="16" t="str">
        <f t="shared" si="14"/>
        <v>April</v>
      </c>
      <c r="H479" s="2">
        <f t="shared" ca="1" si="15"/>
        <v>19</v>
      </c>
      <c r="I479" s="17"/>
      <c r="J479" s="18">
        <v>43457</v>
      </c>
      <c r="K479" s="19">
        <v>3</v>
      </c>
      <c r="N479" s="11" t="s">
        <v>794</v>
      </c>
      <c r="O479" s="11" t="s">
        <v>23</v>
      </c>
      <c r="P479" s="11" t="s">
        <v>40</v>
      </c>
      <c r="Q479" s="11" t="s">
        <v>41</v>
      </c>
      <c r="R479" s="20">
        <f>(41945+(3*365))+112</f>
        <v>43152</v>
      </c>
      <c r="S479" s="17">
        <v>10</v>
      </c>
      <c r="T479" s="17">
        <v>5070</v>
      </c>
    </row>
    <row r="480" spans="1:20" x14ac:dyDescent="0.2">
      <c r="A480" s="11" t="s">
        <v>188</v>
      </c>
      <c r="B480" s="14" t="s">
        <v>43</v>
      </c>
      <c r="C480" s="11" t="s">
        <v>52</v>
      </c>
      <c r="D480" s="15">
        <v>719937584</v>
      </c>
      <c r="E480" s="11" t="s">
        <v>29</v>
      </c>
      <c r="F480" s="20">
        <v>36303</v>
      </c>
      <c r="G480" s="16" t="str">
        <f t="shared" si="14"/>
        <v>May</v>
      </c>
      <c r="H480" s="2">
        <f t="shared" ca="1" si="15"/>
        <v>20</v>
      </c>
      <c r="I480" s="17" t="s">
        <v>30</v>
      </c>
      <c r="J480" s="18">
        <v>50787</v>
      </c>
      <c r="K480" s="19">
        <v>5</v>
      </c>
      <c r="N480" s="11" t="s">
        <v>1600</v>
      </c>
      <c r="O480" s="11" t="s">
        <v>64</v>
      </c>
      <c r="P480" s="11" t="s">
        <v>65</v>
      </c>
      <c r="Q480" s="11" t="s">
        <v>219</v>
      </c>
      <c r="R480" s="20">
        <f>(42265+(3*365))+112</f>
        <v>43472</v>
      </c>
      <c r="S480" s="17">
        <v>9</v>
      </c>
      <c r="T480" s="17">
        <v>4660</v>
      </c>
    </row>
    <row r="481" spans="1:20" x14ac:dyDescent="0.2">
      <c r="A481" s="11" t="s">
        <v>1048</v>
      </c>
      <c r="B481" s="14" t="s">
        <v>27</v>
      </c>
      <c r="C481" s="11" t="s">
        <v>136</v>
      </c>
      <c r="D481" s="15">
        <v>161439267</v>
      </c>
      <c r="E481" s="11" t="s">
        <v>29</v>
      </c>
      <c r="F481" s="20">
        <v>42218</v>
      </c>
      <c r="G481" s="16" t="str">
        <f t="shared" si="14"/>
        <v>August</v>
      </c>
      <c r="H481" s="2">
        <f t="shared" ca="1" si="15"/>
        <v>3</v>
      </c>
      <c r="I481" s="17" t="s">
        <v>87</v>
      </c>
      <c r="J481" s="18">
        <v>56727</v>
      </c>
      <c r="K481" s="19">
        <v>5</v>
      </c>
      <c r="N481" s="11" t="s">
        <v>1365</v>
      </c>
      <c r="O481" s="11" t="s">
        <v>125</v>
      </c>
      <c r="P481" s="11" t="s">
        <v>33</v>
      </c>
      <c r="Q481" s="11" t="s">
        <v>34</v>
      </c>
      <c r="R481" s="20">
        <f>(42153+(3*365))+112</f>
        <v>43360</v>
      </c>
      <c r="S481" s="17">
        <v>17</v>
      </c>
      <c r="T481" s="17">
        <v>5900</v>
      </c>
    </row>
    <row r="482" spans="1:20" x14ac:dyDescent="0.2">
      <c r="A482" s="11" t="s">
        <v>1532</v>
      </c>
      <c r="B482" s="14" t="s">
        <v>27</v>
      </c>
      <c r="C482" s="11" t="s">
        <v>152</v>
      </c>
      <c r="D482" s="15">
        <v>121173068</v>
      </c>
      <c r="E482" s="11" t="s">
        <v>29</v>
      </c>
      <c r="F482" s="20">
        <v>43424</v>
      </c>
      <c r="G482" s="16" t="str">
        <f t="shared" si="14"/>
        <v>November</v>
      </c>
      <c r="H482" s="2">
        <f t="shared" ca="1" si="15"/>
        <v>0</v>
      </c>
      <c r="I482" s="17" t="s">
        <v>47</v>
      </c>
      <c r="J482" s="18">
        <v>62627</v>
      </c>
      <c r="K482" s="19">
        <v>5</v>
      </c>
      <c r="N482" s="11" t="s">
        <v>1656</v>
      </c>
      <c r="O482" s="11" t="s">
        <v>32</v>
      </c>
      <c r="P482" s="11" t="s">
        <v>33</v>
      </c>
      <c r="Q482" s="11" t="s">
        <v>34</v>
      </c>
      <c r="R482" s="20">
        <f>(42314+(3*365))+112</f>
        <v>43521</v>
      </c>
      <c r="S482" s="17">
        <v>17</v>
      </c>
      <c r="T482" s="17">
        <v>9081</v>
      </c>
    </row>
    <row r="483" spans="1:20" x14ac:dyDescent="0.2">
      <c r="A483" s="11" t="s">
        <v>1424</v>
      </c>
      <c r="B483" s="14" t="s">
        <v>19</v>
      </c>
      <c r="C483" s="11" t="s">
        <v>20</v>
      </c>
      <c r="D483" s="15">
        <v>981106829</v>
      </c>
      <c r="E483" s="11" t="s">
        <v>21</v>
      </c>
      <c r="F483" s="20">
        <v>38704</v>
      </c>
      <c r="G483" s="16" t="str">
        <f t="shared" si="14"/>
        <v>December</v>
      </c>
      <c r="H483" s="2">
        <f t="shared" ca="1" si="15"/>
        <v>13</v>
      </c>
      <c r="I483" s="17"/>
      <c r="J483" s="18">
        <v>115398</v>
      </c>
      <c r="K483" s="19">
        <v>5</v>
      </c>
      <c r="N483" s="11" t="s">
        <v>1602</v>
      </c>
      <c r="O483" s="11" t="s">
        <v>23</v>
      </c>
      <c r="P483" s="11" t="s">
        <v>40</v>
      </c>
      <c r="Q483" s="11" t="s">
        <v>34</v>
      </c>
      <c r="R483" s="20">
        <f>(42270+(3*365))+112</f>
        <v>43477</v>
      </c>
      <c r="S483" s="17">
        <v>20</v>
      </c>
      <c r="T483" s="17">
        <v>6720</v>
      </c>
    </row>
    <row r="484" spans="1:20" x14ac:dyDescent="0.2">
      <c r="A484" s="11" t="s">
        <v>147</v>
      </c>
      <c r="B484" s="14" t="s">
        <v>27</v>
      </c>
      <c r="C484" s="11" t="s">
        <v>145</v>
      </c>
      <c r="D484" s="15">
        <v>420739404</v>
      </c>
      <c r="E484" s="11" t="s">
        <v>29</v>
      </c>
      <c r="F484" s="20">
        <v>36125</v>
      </c>
      <c r="G484" s="16" t="str">
        <f t="shared" si="14"/>
        <v>November</v>
      </c>
      <c r="H484" s="2">
        <f t="shared" ca="1" si="15"/>
        <v>20</v>
      </c>
      <c r="I484" s="17" t="s">
        <v>30</v>
      </c>
      <c r="J484" s="18">
        <v>33534</v>
      </c>
      <c r="K484" s="19">
        <v>1</v>
      </c>
      <c r="N484" s="11" t="s">
        <v>1173</v>
      </c>
      <c r="O484" s="11" t="s">
        <v>49</v>
      </c>
      <c r="P484" s="11" t="s">
        <v>33</v>
      </c>
      <c r="Q484" s="11" t="s">
        <v>120</v>
      </c>
      <c r="R484" s="20">
        <f>(42074+(3*365))+112</f>
        <v>43281</v>
      </c>
      <c r="S484" s="17">
        <v>2</v>
      </c>
      <c r="T484" s="17">
        <v>1060</v>
      </c>
    </row>
    <row r="485" spans="1:20" x14ac:dyDescent="0.2">
      <c r="A485" s="11" t="s">
        <v>178</v>
      </c>
      <c r="B485" s="14" t="s">
        <v>19</v>
      </c>
      <c r="C485" s="11" t="s">
        <v>20</v>
      </c>
      <c r="D485" s="15">
        <v>242099349</v>
      </c>
      <c r="E485" s="11" t="s">
        <v>29</v>
      </c>
      <c r="F485" s="20">
        <v>43357</v>
      </c>
      <c r="G485" s="16" t="str">
        <f t="shared" si="14"/>
        <v>September</v>
      </c>
      <c r="H485" s="2">
        <f t="shared" ca="1" si="15"/>
        <v>0</v>
      </c>
      <c r="I485" s="17" t="s">
        <v>38</v>
      </c>
      <c r="J485" s="18">
        <v>105057</v>
      </c>
      <c r="K485" s="19">
        <v>3</v>
      </c>
      <c r="N485" s="11" t="s">
        <v>1015</v>
      </c>
      <c r="O485" s="11" t="s">
        <v>78</v>
      </c>
      <c r="P485" s="11" t="s">
        <v>33</v>
      </c>
      <c r="Q485" s="11" t="s">
        <v>219</v>
      </c>
      <c r="R485" s="20">
        <f>(42013+(3*365))+112</f>
        <v>43220</v>
      </c>
      <c r="S485" s="17">
        <v>11</v>
      </c>
      <c r="T485" s="17">
        <v>4125</v>
      </c>
    </row>
    <row r="486" spans="1:20" x14ac:dyDescent="0.2">
      <c r="A486" s="11" t="s">
        <v>85</v>
      </c>
      <c r="B486" s="14" t="s">
        <v>43</v>
      </c>
      <c r="C486" s="11" t="s">
        <v>86</v>
      </c>
      <c r="D486" s="15">
        <v>738946277</v>
      </c>
      <c r="E486" s="11" t="s">
        <v>29</v>
      </c>
      <c r="F486" s="20">
        <v>36079</v>
      </c>
      <c r="G486" s="16" t="str">
        <f t="shared" si="14"/>
        <v>October</v>
      </c>
      <c r="H486" s="2">
        <f t="shared" ca="1" si="15"/>
        <v>20</v>
      </c>
      <c r="I486" s="17" t="s">
        <v>87</v>
      </c>
      <c r="J486" s="18">
        <v>42201</v>
      </c>
      <c r="K486" s="19">
        <v>5</v>
      </c>
      <c r="N486" s="11" t="s">
        <v>410</v>
      </c>
      <c r="O486" s="11" t="s">
        <v>64</v>
      </c>
      <c r="P486" s="11" t="s">
        <v>33</v>
      </c>
      <c r="Q486" s="11" t="s">
        <v>219</v>
      </c>
      <c r="R486" s="20">
        <f>(41788+(3*365))+112</f>
        <v>42995</v>
      </c>
      <c r="S486" s="17">
        <v>1</v>
      </c>
      <c r="T486" s="17">
        <v>510</v>
      </c>
    </row>
    <row r="487" spans="1:20" x14ac:dyDescent="0.2">
      <c r="A487" s="11" t="s">
        <v>849</v>
      </c>
      <c r="B487" s="14" t="s">
        <v>19</v>
      </c>
      <c r="C487" s="11" t="s">
        <v>214</v>
      </c>
      <c r="D487" s="15">
        <v>219245495</v>
      </c>
      <c r="E487" s="11" t="s">
        <v>21</v>
      </c>
      <c r="F487" s="20">
        <v>37281</v>
      </c>
      <c r="G487" s="16" t="str">
        <f t="shared" si="14"/>
        <v>January</v>
      </c>
      <c r="H487" s="2">
        <f t="shared" ca="1" si="15"/>
        <v>17</v>
      </c>
      <c r="I487" s="17"/>
      <c r="J487" s="18">
        <v>85469</v>
      </c>
      <c r="K487" s="19">
        <v>3</v>
      </c>
      <c r="N487" s="11" t="s">
        <v>1339</v>
      </c>
      <c r="O487" s="11" t="s">
        <v>23</v>
      </c>
      <c r="P487" s="11" t="s">
        <v>24</v>
      </c>
      <c r="Q487" s="11" t="s">
        <v>120</v>
      </c>
      <c r="R487" s="20">
        <f>(42145+(3*365))+112</f>
        <v>43352</v>
      </c>
      <c r="S487" s="17">
        <v>6</v>
      </c>
      <c r="T487" s="17">
        <v>2930</v>
      </c>
    </row>
    <row r="488" spans="1:20" x14ac:dyDescent="0.2">
      <c r="A488" s="11" t="s">
        <v>1452</v>
      </c>
      <c r="B488" s="14" t="s">
        <v>83</v>
      </c>
      <c r="C488" s="11" t="s">
        <v>152</v>
      </c>
      <c r="D488" s="15">
        <v>230192897</v>
      </c>
      <c r="E488" s="11" t="s">
        <v>29</v>
      </c>
      <c r="F488" s="20">
        <v>42297</v>
      </c>
      <c r="G488" s="16" t="str">
        <f t="shared" si="14"/>
        <v>October</v>
      </c>
      <c r="H488" s="2">
        <f t="shared" ca="1" si="15"/>
        <v>3</v>
      </c>
      <c r="I488" s="17" t="s">
        <v>87</v>
      </c>
      <c r="J488" s="18">
        <v>92961</v>
      </c>
      <c r="K488" s="19">
        <v>2</v>
      </c>
      <c r="N488" s="11" t="s">
        <v>1565</v>
      </c>
      <c r="O488" s="11" t="s">
        <v>125</v>
      </c>
      <c r="P488" s="11" t="s">
        <v>65</v>
      </c>
      <c r="Q488" s="11" t="s">
        <v>219</v>
      </c>
      <c r="R488" s="20">
        <f>(42232+(3*365))+112</f>
        <v>43439</v>
      </c>
      <c r="S488" s="17">
        <v>15</v>
      </c>
      <c r="T488" s="17">
        <v>6495</v>
      </c>
    </row>
    <row r="489" spans="1:20" x14ac:dyDescent="0.2">
      <c r="A489" s="11" t="s">
        <v>370</v>
      </c>
      <c r="B489" s="14" t="s">
        <v>83</v>
      </c>
      <c r="C489" s="11" t="s">
        <v>59</v>
      </c>
      <c r="D489" s="15">
        <v>279591317</v>
      </c>
      <c r="E489" s="11" t="s">
        <v>56</v>
      </c>
      <c r="F489" s="20">
        <v>39119</v>
      </c>
      <c r="G489" s="16" t="str">
        <f t="shared" si="14"/>
        <v>February</v>
      </c>
      <c r="H489" s="2">
        <f t="shared" ca="1" si="15"/>
        <v>12</v>
      </c>
      <c r="I489" s="17"/>
      <c r="J489" s="18">
        <v>52337</v>
      </c>
      <c r="K489" s="19">
        <v>4</v>
      </c>
      <c r="N489" s="11" t="s">
        <v>462</v>
      </c>
      <c r="O489" s="11" t="s">
        <v>125</v>
      </c>
      <c r="P489" s="11" t="s">
        <v>33</v>
      </c>
      <c r="Q489" s="11" t="s">
        <v>219</v>
      </c>
      <c r="R489" s="20">
        <f>(41816+(3*365))+112</f>
        <v>43023</v>
      </c>
      <c r="S489" s="17">
        <v>8</v>
      </c>
      <c r="T489" s="17">
        <v>4655</v>
      </c>
    </row>
    <row r="490" spans="1:20" x14ac:dyDescent="0.2">
      <c r="A490" s="11" t="s">
        <v>1400</v>
      </c>
      <c r="B490" s="14" t="s">
        <v>27</v>
      </c>
      <c r="C490" s="11" t="s">
        <v>145</v>
      </c>
      <c r="D490" s="15">
        <v>750722934</v>
      </c>
      <c r="E490" s="11" t="s">
        <v>29</v>
      </c>
      <c r="F490" s="20">
        <v>38425</v>
      </c>
      <c r="G490" s="16" t="str">
        <f t="shared" si="14"/>
        <v>March</v>
      </c>
      <c r="H490" s="2">
        <f t="shared" ca="1" si="15"/>
        <v>14</v>
      </c>
      <c r="I490" s="17" t="s">
        <v>30</v>
      </c>
      <c r="J490" s="18">
        <v>50990</v>
      </c>
      <c r="K490" s="19">
        <v>5</v>
      </c>
      <c r="N490" s="11" t="s">
        <v>428</v>
      </c>
      <c r="O490" s="11" t="s">
        <v>23</v>
      </c>
      <c r="P490" s="11" t="s">
        <v>65</v>
      </c>
      <c r="Q490" s="11" t="s">
        <v>34</v>
      </c>
      <c r="R490" s="20">
        <f>(41801+(3*365))+112</f>
        <v>43008</v>
      </c>
      <c r="S490" s="17">
        <v>18</v>
      </c>
      <c r="T490" s="17">
        <v>5995</v>
      </c>
    </row>
    <row r="491" spans="1:20" x14ac:dyDescent="0.2">
      <c r="A491" s="11" t="s">
        <v>968</v>
      </c>
      <c r="B491" s="14" t="s">
        <v>83</v>
      </c>
      <c r="C491" s="11" t="s">
        <v>86</v>
      </c>
      <c r="D491" s="15">
        <v>991764142</v>
      </c>
      <c r="E491" s="11" t="s">
        <v>21</v>
      </c>
      <c r="F491" s="20">
        <v>37803</v>
      </c>
      <c r="G491" s="16" t="str">
        <f t="shared" si="14"/>
        <v>July</v>
      </c>
      <c r="H491" s="2">
        <f t="shared" ca="1" si="15"/>
        <v>15</v>
      </c>
      <c r="I491" s="17"/>
      <c r="J491" s="18">
        <v>110606</v>
      </c>
      <c r="K491" s="19">
        <v>5</v>
      </c>
      <c r="N491" s="11" t="s">
        <v>1009</v>
      </c>
      <c r="O491" s="11" t="s">
        <v>32</v>
      </c>
      <c r="P491" s="11" t="s">
        <v>24</v>
      </c>
      <c r="Q491" s="11" t="s">
        <v>34</v>
      </c>
      <c r="R491" s="20">
        <f>(42011+(3*365))+112</f>
        <v>43218</v>
      </c>
      <c r="S491" s="17">
        <v>20</v>
      </c>
      <c r="T491" s="17">
        <v>8600</v>
      </c>
    </row>
    <row r="492" spans="1:20" x14ac:dyDescent="0.2">
      <c r="A492" s="11" t="s">
        <v>115</v>
      </c>
      <c r="B492" s="14" t="s">
        <v>43</v>
      </c>
      <c r="C492" s="11" t="s">
        <v>104</v>
      </c>
      <c r="D492" s="15">
        <v>515543972</v>
      </c>
      <c r="E492" s="11" t="s">
        <v>29</v>
      </c>
      <c r="F492" s="20">
        <v>39475</v>
      </c>
      <c r="G492" s="16" t="str">
        <f t="shared" si="14"/>
        <v>January</v>
      </c>
      <c r="H492" s="2">
        <f t="shared" ca="1" si="15"/>
        <v>11</v>
      </c>
      <c r="I492" s="17" t="s">
        <v>38</v>
      </c>
      <c r="J492" s="18">
        <v>76194</v>
      </c>
      <c r="K492" s="19">
        <v>1</v>
      </c>
      <c r="N492" s="11" t="s">
        <v>887</v>
      </c>
      <c r="O492" s="11" t="s">
        <v>45</v>
      </c>
      <c r="P492" s="11" t="s">
        <v>24</v>
      </c>
      <c r="Q492" s="11" t="s">
        <v>25</v>
      </c>
      <c r="R492" s="20">
        <f>(41973+(3*365))+112</f>
        <v>43180</v>
      </c>
      <c r="S492" s="17">
        <v>12</v>
      </c>
      <c r="T492" s="17">
        <v>7150</v>
      </c>
    </row>
    <row r="493" spans="1:20" x14ac:dyDescent="0.2">
      <c r="A493" s="11" t="s">
        <v>649</v>
      </c>
      <c r="B493" s="14" t="s">
        <v>19</v>
      </c>
      <c r="C493" s="11" t="s">
        <v>214</v>
      </c>
      <c r="D493" s="15">
        <v>213584397</v>
      </c>
      <c r="E493" s="11" t="s">
        <v>29</v>
      </c>
      <c r="F493" s="20">
        <v>40187</v>
      </c>
      <c r="G493" s="16" t="str">
        <f t="shared" si="14"/>
        <v>January</v>
      </c>
      <c r="H493" s="2">
        <f t="shared" ca="1" si="15"/>
        <v>9</v>
      </c>
      <c r="I493" s="17" t="s">
        <v>30</v>
      </c>
      <c r="J493" s="18">
        <v>84713</v>
      </c>
      <c r="K493" s="19">
        <v>3</v>
      </c>
      <c r="N493" s="11" t="s">
        <v>1477</v>
      </c>
      <c r="O493" s="11" t="s">
        <v>114</v>
      </c>
      <c r="P493" s="11" t="s">
        <v>65</v>
      </c>
      <c r="Q493" s="11" t="s">
        <v>25</v>
      </c>
      <c r="R493" s="20">
        <f>(42195+(3*365))+112</f>
        <v>43402</v>
      </c>
      <c r="S493" s="17">
        <v>6</v>
      </c>
      <c r="T493" s="17">
        <v>2045</v>
      </c>
    </row>
    <row r="494" spans="1:20" x14ac:dyDescent="0.2">
      <c r="A494" s="11" t="s">
        <v>368</v>
      </c>
      <c r="B494" s="14" t="s">
        <v>83</v>
      </c>
      <c r="C494" s="11" t="s">
        <v>59</v>
      </c>
      <c r="D494" s="15">
        <v>525507320</v>
      </c>
      <c r="E494" s="11" t="s">
        <v>29</v>
      </c>
      <c r="F494" s="20">
        <v>39270</v>
      </c>
      <c r="G494" s="16" t="str">
        <f t="shared" si="14"/>
        <v>July</v>
      </c>
      <c r="H494" s="2">
        <f t="shared" ca="1" si="15"/>
        <v>11</v>
      </c>
      <c r="I494" s="17" t="s">
        <v>71</v>
      </c>
      <c r="J494" s="18">
        <v>53568</v>
      </c>
      <c r="K494" s="19">
        <v>5</v>
      </c>
      <c r="N494" s="11" t="s">
        <v>1658</v>
      </c>
      <c r="O494" s="11" t="s">
        <v>32</v>
      </c>
      <c r="P494" s="11" t="s">
        <v>65</v>
      </c>
      <c r="Q494" s="11" t="s">
        <v>120</v>
      </c>
      <c r="R494" s="20">
        <f>(42314+(3*365))+112</f>
        <v>43521</v>
      </c>
      <c r="S494" s="17">
        <v>7</v>
      </c>
      <c r="T494" s="17">
        <v>3340</v>
      </c>
    </row>
    <row r="495" spans="1:20" x14ac:dyDescent="0.2">
      <c r="A495" s="4" t="s">
        <v>751</v>
      </c>
      <c r="B495" s="14" t="s">
        <v>51</v>
      </c>
      <c r="C495" s="11" t="s">
        <v>478</v>
      </c>
      <c r="D495" s="15">
        <v>370608224</v>
      </c>
      <c r="E495" s="11" t="s">
        <v>29</v>
      </c>
      <c r="F495" s="20">
        <v>40263</v>
      </c>
      <c r="G495" s="16" t="str">
        <f t="shared" si="14"/>
        <v>March</v>
      </c>
      <c r="H495" s="2">
        <f t="shared" ca="1" si="15"/>
        <v>9</v>
      </c>
      <c r="I495" s="17" t="s">
        <v>47</v>
      </c>
      <c r="J495" s="18">
        <v>79839</v>
      </c>
      <c r="K495" s="19">
        <v>5</v>
      </c>
      <c r="N495" s="11" t="s">
        <v>1610</v>
      </c>
      <c r="O495" s="11" t="s">
        <v>45</v>
      </c>
      <c r="P495" s="11" t="s">
        <v>65</v>
      </c>
      <c r="Q495" s="11" t="s">
        <v>120</v>
      </c>
      <c r="R495" s="20">
        <f>(42276+(3*365))+112</f>
        <v>43483</v>
      </c>
      <c r="S495" s="17">
        <v>10</v>
      </c>
      <c r="T495" s="17">
        <v>4150</v>
      </c>
    </row>
    <row r="496" spans="1:20" x14ac:dyDescent="0.2">
      <c r="A496" s="11" t="s">
        <v>1360</v>
      </c>
      <c r="B496" s="14" t="s">
        <v>51</v>
      </c>
      <c r="C496" s="11" t="s">
        <v>249</v>
      </c>
      <c r="D496" s="15">
        <v>859204644</v>
      </c>
      <c r="E496" s="11" t="s">
        <v>21</v>
      </c>
      <c r="F496" s="20">
        <v>38580</v>
      </c>
      <c r="G496" s="16" t="str">
        <f t="shared" si="14"/>
        <v>August</v>
      </c>
      <c r="H496" s="2">
        <f t="shared" ca="1" si="15"/>
        <v>13</v>
      </c>
      <c r="I496" s="17"/>
      <c r="J496" s="18">
        <v>116735</v>
      </c>
      <c r="K496" s="19">
        <v>4</v>
      </c>
      <c r="N496" s="11" t="s">
        <v>328</v>
      </c>
      <c r="O496" s="11" t="s">
        <v>32</v>
      </c>
      <c r="P496" s="11" t="s">
        <v>65</v>
      </c>
      <c r="Q496" s="11" t="s">
        <v>34</v>
      </c>
      <c r="R496" s="20">
        <f>(41753+(3*365))+112</f>
        <v>42960</v>
      </c>
      <c r="S496" s="17">
        <v>11</v>
      </c>
      <c r="T496" s="17">
        <v>4336</v>
      </c>
    </row>
    <row r="497" spans="1:20" x14ac:dyDescent="0.2">
      <c r="A497" s="11" t="s">
        <v>1282</v>
      </c>
      <c r="B497" s="14" t="s">
        <v>43</v>
      </c>
      <c r="C497" s="11" t="s">
        <v>145</v>
      </c>
      <c r="D497" s="15">
        <v>512404764</v>
      </c>
      <c r="E497" s="11" t="s">
        <v>29</v>
      </c>
      <c r="F497" s="20">
        <v>39146</v>
      </c>
      <c r="G497" s="16" t="str">
        <f t="shared" si="14"/>
        <v>March</v>
      </c>
      <c r="H497" s="2">
        <f t="shared" ca="1" si="15"/>
        <v>12</v>
      </c>
      <c r="I497" s="17" t="s">
        <v>30</v>
      </c>
      <c r="J497" s="18">
        <v>52650</v>
      </c>
      <c r="K497" s="19">
        <v>3</v>
      </c>
      <c r="N497" s="11" t="s">
        <v>609</v>
      </c>
      <c r="O497" s="11" t="s">
        <v>75</v>
      </c>
      <c r="P497" s="11" t="s">
        <v>40</v>
      </c>
      <c r="Q497" s="11" t="s">
        <v>34</v>
      </c>
      <c r="R497" s="20">
        <f>(41873+(3*365))+112</f>
        <v>43080</v>
      </c>
      <c r="S497" s="17">
        <v>6</v>
      </c>
      <c r="T497" s="17">
        <v>2880</v>
      </c>
    </row>
    <row r="498" spans="1:20" x14ac:dyDescent="0.2">
      <c r="A498" s="11" t="s">
        <v>303</v>
      </c>
      <c r="B498" s="14" t="s">
        <v>27</v>
      </c>
      <c r="C498" s="11" t="s">
        <v>101</v>
      </c>
      <c r="D498" s="15">
        <v>219740602</v>
      </c>
      <c r="E498" s="11" t="s">
        <v>80</v>
      </c>
      <c r="F498" s="20">
        <v>36205</v>
      </c>
      <c r="G498" s="16" t="str">
        <f t="shared" si="14"/>
        <v>February</v>
      </c>
      <c r="H498" s="2">
        <f t="shared" ca="1" si="15"/>
        <v>20</v>
      </c>
      <c r="I498" s="17" t="s">
        <v>71</v>
      </c>
      <c r="J498" s="18">
        <v>21620</v>
      </c>
      <c r="K498" s="19">
        <v>3</v>
      </c>
      <c r="N498" s="11" t="s">
        <v>438</v>
      </c>
      <c r="O498" s="11" t="s">
        <v>32</v>
      </c>
      <c r="P498" s="11" t="s">
        <v>65</v>
      </c>
      <c r="Q498" s="11" t="s">
        <v>34</v>
      </c>
      <c r="R498" s="20">
        <f>(41804+(3*365))+112</f>
        <v>43011</v>
      </c>
      <c r="S498" s="17">
        <v>18</v>
      </c>
      <c r="T498" s="17">
        <v>5781</v>
      </c>
    </row>
    <row r="499" spans="1:20" x14ac:dyDescent="0.2">
      <c r="A499" s="11" t="s">
        <v>242</v>
      </c>
      <c r="B499" s="14" t="s">
        <v>27</v>
      </c>
      <c r="C499" s="11" t="s">
        <v>86</v>
      </c>
      <c r="D499" s="15">
        <v>643272576</v>
      </c>
      <c r="E499" s="11" t="s">
        <v>56</v>
      </c>
      <c r="F499" s="20">
        <v>36161</v>
      </c>
      <c r="G499" s="16" t="str">
        <f t="shared" si="14"/>
        <v>January</v>
      </c>
      <c r="H499" s="2">
        <f t="shared" ca="1" si="15"/>
        <v>20</v>
      </c>
      <c r="I499" s="17"/>
      <c r="J499" s="18">
        <v>49739</v>
      </c>
      <c r="K499" s="19">
        <v>4</v>
      </c>
      <c r="N499" s="11" t="s">
        <v>165</v>
      </c>
      <c r="O499" s="11" t="s">
        <v>75</v>
      </c>
      <c r="P499" s="11" t="s">
        <v>33</v>
      </c>
      <c r="Q499" s="11" t="s">
        <v>41</v>
      </c>
      <c r="R499" s="20">
        <f>(41682+(3*365))+112</f>
        <v>42889</v>
      </c>
      <c r="S499" s="17">
        <v>6</v>
      </c>
      <c r="T499" s="21">
        <v>2610</v>
      </c>
    </row>
    <row r="500" spans="1:20" x14ac:dyDescent="0.2">
      <c r="A500" s="11" t="s">
        <v>1496</v>
      </c>
      <c r="B500" s="14" t="s">
        <v>43</v>
      </c>
      <c r="C500" s="11" t="s">
        <v>20</v>
      </c>
      <c r="D500" s="15">
        <v>733413074</v>
      </c>
      <c r="E500" s="11" t="s">
        <v>21</v>
      </c>
      <c r="F500" s="20">
        <v>41826</v>
      </c>
      <c r="G500" s="16" t="str">
        <f t="shared" si="14"/>
        <v>July</v>
      </c>
      <c r="H500" s="2">
        <f t="shared" ca="1" si="15"/>
        <v>4</v>
      </c>
      <c r="I500" s="17"/>
      <c r="J500" s="18">
        <v>112145</v>
      </c>
      <c r="K500" s="19">
        <v>3</v>
      </c>
      <c r="N500" s="11" t="s">
        <v>1099</v>
      </c>
      <c r="O500" s="11" t="s">
        <v>64</v>
      </c>
      <c r="P500" s="11" t="s">
        <v>33</v>
      </c>
      <c r="Q500" s="11" t="s">
        <v>34</v>
      </c>
      <c r="R500" s="20">
        <f>(42039+(3*365))+112</f>
        <v>43246</v>
      </c>
      <c r="S500" s="17">
        <v>13</v>
      </c>
      <c r="T500" s="17">
        <v>5614</v>
      </c>
    </row>
    <row r="501" spans="1:20" x14ac:dyDescent="0.2">
      <c r="A501" s="11" t="s">
        <v>1324</v>
      </c>
      <c r="B501" s="14" t="s">
        <v>83</v>
      </c>
      <c r="C501" s="11" t="s">
        <v>145</v>
      </c>
      <c r="D501" s="15">
        <v>619456809</v>
      </c>
      <c r="E501" s="11" t="s">
        <v>80</v>
      </c>
      <c r="F501" s="20">
        <v>38698</v>
      </c>
      <c r="G501" s="16" t="str">
        <f t="shared" si="14"/>
        <v>December</v>
      </c>
      <c r="H501" s="2">
        <f t="shared" ca="1" si="15"/>
        <v>13</v>
      </c>
      <c r="I501" s="17" t="s">
        <v>38</v>
      </c>
      <c r="J501" s="18">
        <v>53366</v>
      </c>
      <c r="K501" s="19">
        <v>5</v>
      </c>
      <c r="N501" s="11" t="s">
        <v>1579</v>
      </c>
      <c r="O501" s="11" t="s">
        <v>64</v>
      </c>
      <c r="P501" s="11" t="s">
        <v>33</v>
      </c>
      <c r="Q501" s="11" t="s">
        <v>41</v>
      </c>
      <c r="R501" s="20">
        <f>(42245+(3*365))+112</f>
        <v>43452</v>
      </c>
      <c r="S501" s="17">
        <v>5</v>
      </c>
      <c r="T501" s="17">
        <v>1635</v>
      </c>
    </row>
    <row r="502" spans="1:20" x14ac:dyDescent="0.2">
      <c r="A502" s="11" t="s">
        <v>1070</v>
      </c>
      <c r="B502" s="14" t="s">
        <v>43</v>
      </c>
      <c r="C502" s="11" t="s">
        <v>136</v>
      </c>
      <c r="D502" s="15">
        <v>106686151</v>
      </c>
      <c r="E502" s="11" t="s">
        <v>21</v>
      </c>
      <c r="F502" s="20">
        <v>38942</v>
      </c>
      <c r="G502" s="16" t="str">
        <f t="shared" si="14"/>
        <v>August</v>
      </c>
      <c r="H502" s="2">
        <f t="shared" ca="1" si="15"/>
        <v>12</v>
      </c>
      <c r="I502" s="17"/>
      <c r="J502" s="18">
        <v>64152</v>
      </c>
      <c r="K502" s="19">
        <v>1</v>
      </c>
      <c r="N502" s="11" t="s">
        <v>1417</v>
      </c>
      <c r="O502" s="11" t="s">
        <v>54</v>
      </c>
      <c r="P502" s="11" t="s">
        <v>24</v>
      </c>
      <c r="Q502" s="11" t="s">
        <v>41</v>
      </c>
      <c r="R502" s="20">
        <f>(42176+(3*365))+112</f>
        <v>43383</v>
      </c>
      <c r="S502" s="17">
        <v>12</v>
      </c>
      <c r="T502" s="17">
        <v>3890</v>
      </c>
    </row>
    <row r="503" spans="1:20" x14ac:dyDescent="0.2">
      <c r="A503" s="11" t="s">
        <v>598</v>
      </c>
      <c r="B503" s="14" t="s">
        <v>83</v>
      </c>
      <c r="C503" s="11" t="s">
        <v>152</v>
      </c>
      <c r="D503" s="15">
        <v>364525917</v>
      </c>
      <c r="E503" s="11" t="s">
        <v>29</v>
      </c>
      <c r="F503" s="20">
        <v>36834</v>
      </c>
      <c r="G503" s="16" t="str">
        <f t="shared" si="14"/>
        <v>November</v>
      </c>
      <c r="H503" s="2">
        <f t="shared" ca="1" si="15"/>
        <v>18</v>
      </c>
      <c r="I503" s="17" t="s">
        <v>30</v>
      </c>
      <c r="J503" s="18">
        <v>62654</v>
      </c>
      <c r="K503" s="19">
        <v>2</v>
      </c>
      <c r="N503" s="11" t="s">
        <v>623</v>
      </c>
      <c r="O503" s="11" t="s">
        <v>23</v>
      </c>
      <c r="P503" s="11" t="s">
        <v>24</v>
      </c>
      <c r="Q503" s="11" t="s">
        <v>34</v>
      </c>
      <c r="R503" s="20">
        <f>(41878+(3*365))+112</f>
        <v>43085</v>
      </c>
      <c r="S503" s="17">
        <v>12</v>
      </c>
      <c r="T503" s="17">
        <v>5529</v>
      </c>
    </row>
    <row r="504" spans="1:20" x14ac:dyDescent="0.2">
      <c r="A504" s="11" t="s">
        <v>500</v>
      </c>
      <c r="B504" s="14" t="s">
        <v>27</v>
      </c>
      <c r="C504" s="11" t="s">
        <v>214</v>
      </c>
      <c r="D504" s="15">
        <v>722630791</v>
      </c>
      <c r="E504" s="11" t="s">
        <v>56</v>
      </c>
      <c r="F504" s="20">
        <v>38838</v>
      </c>
      <c r="G504" s="16" t="str">
        <f t="shared" si="14"/>
        <v>May</v>
      </c>
      <c r="H504" s="2">
        <f t="shared" ca="1" si="15"/>
        <v>13</v>
      </c>
      <c r="I504" s="17"/>
      <c r="J504" s="18">
        <v>12020</v>
      </c>
      <c r="K504" s="19">
        <v>3</v>
      </c>
      <c r="N504" s="11" t="s">
        <v>1277</v>
      </c>
      <c r="O504" s="11" t="s">
        <v>45</v>
      </c>
      <c r="P504" s="11" t="s">
        <v>40</v>
      </c>
      <c r="Q504" s="11" t="s">
        <v>41</v>
      </c>
      <c r="R504" s="20">
        <f>(42123+(3*365))+112</f>
        <v>43330</v>
      </c>
      <c r="S504" s="17">
        <v>8</v>
      </c>
      <c r="T504" s="17">
        <v>2650</v>
      </c>
    </row>
    <row r="505" spans="1:20" x14ac:dyDescent="0.2">
      <c r="A505" s="11" t="s">
        <v>890</v>
      </c>
      <c r="B505" s="14" t="s">
        <v>83</v>
      </c>
      <c r="C505" s="11" t="s">
        <v>249</v>
      </c>
      <c r="D505" s="15">
        <v>478004556</v>
      </c>
      <c r="E505" s="11" t="s">
        <v>29</v>
      </c>
      <c r="F505" s="20">
        <v>43389</v>
      </c>
      <c r="G505" s="16" t="str">
        <f t="shared" si="14"/>
        <v>October</v>
      </c>
      <c r="H505" s="2">
        <f t="shared" ca="1" si="15"/>
        <v>0</v>
      </c>
      <c r="I505" s="17" t="s">
        <v>71</v>
      </c>
      <c r="J505" s="18">
        <v>83943</v>
      </c>
      <c r="K505" s="19">
        <v>2</v>
      </c>
      <c r="N505" s="11" t="s">
        <v>1708</v>
      </c>
      <c r="O505" s="11" t="s">
        <v>64</v>
      </c>
      <c r="P505" s="11" t="s">
        <v>65</v>
      </c>
      <c r="Q505" s="11" t="s">
        <v>34</v>
      </c>
      <c r="R505" s="20">
        <f>(42354+(3*365))+112</f>
        <v>43561</v>
      </c>
      <c r="S505" s="17">
        <v>11</v>
      </c>
      <c r="T505" s="17">
        <v>4006</v>
      </c>
    </row>
    <row r="506" spans="1:20" x14ac:dyDescent="0.2">
      <c r="A506" s="11" t="s">
        <v>671</v>
      </c>
      <c r="B506" s="14" t="s">
        <v>19</v>
      </c>
      <c r="C506" s="11" t="s">
        <v>214</v>
      </c>
      <c r="D506" s="15">
        <v>380653169</v>
      </c>
      <c r="E506" s="11" t="s">
        <v>29</v>
      </c>
      <c r="F506" s="20">
        <v>37007</v>
      </c>
      <c r="G506" s="16" t="str">
        <f t="shared" si="14"/>
        <v>April</v>
      </c>
      <c r="H506" s="2">
        <f t="shared" ca="1" si="15"/>
        <v>18</v>
      </c>
      <c r="I506" s="17" t="s">
        <v>30</v>
      </c>
      <c r="J506" s="18">
        <v>110673</v>
      </c>
      <c r="K506" s="19">
        <v>2</v>
      </c>
      <c r="N506" s="11" t="s">
        <v>128</v>
      </c>
      <c r="O506" s="11" t="s">
        <v>114</v>
      </c>
      <c r="P506" s="11" t="s">
        <v>24</v>
      </c>
      <c r="Q506" s="11" t="s">
        <v>25</v>
      </c>
      <c r="R506" s="20">
        <f>(41672+(3*365))+112</f>
        <v>42879</v>
      </c>
      <c r="S506" s="17">
        <v>5</v>
      </c>
      <c r="T506" s="21">
        <v>2960</v>
      </c>
    </row>
    <row r="507" spans="1:20" x14ac:dyDescent="0.2">
      <c r="A507" s="11" t="s">
        <v>459</v>
      </c>
      <c r="B507" s="14" t="s">
        <v>27</v>
      </c>
      <c r="C507" s="11" t="s">
        <v>214</v>
      </c>
      <c r="D507" s="15">
        <v>276980518</v>
      </c>
      <c r="E507" s="11" t="s">
        <v>29</v>
      </c>
      <c r="F507" s="20">
        <v>41688</v>
      </c>
      <c r="G507" s="16" t="str">
        <f t="shared" si="14"/>
        <v>February</v>
      </c>
      <c r="H507" s="2">
        <f t="shared" ca="1" si="15"/>
        <v>5</v>
      </c>
      <c r="I507" s="17" t="s">
        <v>71</v>
      </c>
      <c r="J507" s="18">
        <v>39717</v>
      </c>
      <c r="K507" s="19">
        <v>5</v>
      </c>
      <c r="N507" s="11" t="s">
        <v>1715</v>
      </c>
      <c r="O507" s="11" t="s">
        <v>78</v>
      </c>
      <c r="P507" s="11" t="s">
        <v>40</v>
      </c>
      <c r="Q507" s="11" t="s">
        <v>25</v>
      </c>
      <c r="R507" s="20">
        <f>(42360+(3*365))+112</f>
        <v>43567</v>
      </c>
      <c r="S507" s="17">
        <v>3</v>
      </c>
      <c r="T507" s="17">
        <v>1075</v>
      </c>
    </row>
    <row r="508" spans="1:20" x14ac:dyDescent="0.2">
      <c r="A508" s="11" t="s">
        <v>908</v>
      </c>
      <c r="B508" s="14" t="s">
        <v>19</v>
      </c>
      <c r="C508" s="11" t="s">
        <v>152</v>
      </c>
      <c r="D508" s="15">
        <v>318723704</v>
      </c>
      <c r="E508" s="11" t="s">
        <v>29</v>
      </c>
      <c r="F508" s="20">
        <v>37281</v>
      </c>
      <c r="G508" s="16" t="str">
        <f t="shared" si="14"/>
        <v>January</v>
      </c>
      <c r="H508" s="2">
        <f t="shared" ca="1" si="15"/>
        <v>17</v>
      </c>
      <c r="I508" s="17" t="s">
        <v>30</v>
      </c>
      <c r="J508" s="18">
        <v>99698</v>
      </c>
      <c r="K508" s="19">
        <v>2</v>
      </c>
      <c r="N508" s="11" t="s">
        <v>464</v>
      </c>
      <c r="O508" s="11" t="s">
        <v>54</v>
      </c>
      <c r="P508" s="11" t="s">
        <v>33</v>
      </c>
      <c r="Q508" s="11" t="s">
        <v>41</v>
      </c>
      <c r="R508" s="20">
        <f>(41816+(3*365))+112</f>
        <v>43023</v>
      </c>
      <c r="S508" s="17">
        <v>5</v>
      </c>
      <c r="T508" s="17">
        <v>2745</v>
      </c>
    </row>
    <row r="509" spans="1:20" x14ac:dyDescent="0.2">
      <c r="A509" s="4" t="s">
        <v>1364</v>
      </c>
      <c r="B509" s="14" t="s">
        <v>27</v>
      </c>
      <c r="C509" s="11" t="s">
        <v>152</v>
      </c>
      <c r="D509" s="15">
        <v>546546374</v>
      </c>
      <c r="E509" s="11" t="s">
        <v>80</v>
      </c>
      <c r="F509" s="20">
        <v>39318</v>
      </c>
      <c r="G509" s="16" t="str">
        <f t="shared" si="14"/>
        <v>August</v>
      </c>
      <c r="H509" s="2">
        <f t="shared" ca="1" si="15"/>
        <v>11</v>
      </c>
      <c r="I509" s="17" t="s">
        <v>30</v>
      </c>
      <c r="J509" s="18">
        <v>35350</v>
      </c>
      <c r="K509" s="19">
        <v>5</v>
      </c>
      <c r="N509" s="11" t="s">
        <v>1105</v>
      </c>
      <c r="O509" s="11" t="s">
        <v>114</v>
      </c>
      <c r="P509" s="11" t="s">
        <v>65</v>
      </c>
      <c r="Q509" s="11" t="s">
        <v>120</v>
      </c>
      <c r="R509" s="20">
        <f>(42039+(3*365))+112</f>
        <v>43246</v>
      </c>
      <c r="S509" s="17">
        <v>8</v>
      </c>
      <c r="T509" s="17">
        <v>4770</v>
      </c>
    </row>
    <row r="510" spans="1:20" x14ac:dyDescent="0.2">
      <c r="A510" s="11" t="s">
        <v>1204</v>
      </c>
      <c r="B510" s="14" t="s">
        <v>83</v>
      </c>
      <c r="C510" s="11" t="s">
        <v>152</v>
      </c>
      <c r="D510" s="15">
        <v>749768847</v>
      </c>
      <c r="E510" s="11" t="s">
        <v>21</v>
      </c>
      <c r="F510" s="20">
        <v>38136</v>
      </c>
      <c r="G510" s="16" t="str">
        <f t="shared" si="14"/>
        <v>May</v>
      </c>
      <c r="H510" s="2">
        <f t="shared" ca="1" si="15"/>
        <v>15</v>
      </c>
      <c r="I510" s="17"/>
      <c r="J510" s="18">
        <v>56390</v>
      </c>
      <c r="K510" s="19">
        <v>5</v>
      </c>
      <c r="N510" s="11" t="s">
        <v>223</v>
      </c>
      <c r="O510" s="11" t="s">
        <v>117</v>
      </c>
      <c r="P510" s="11" t="s">
        <v>24</v>
      </c>
      <c r="Q510" s="11" t="s">
        <v>41</v>
      </c>
      <c r="R510" s="20">
        <f>(41711+(3*365))+112</f>
        <v>42918</v>
      </c>
      <c r="S510" s="17">
        <v>8</v>
      </c>
      <c r="T510" s="21">
        <v>3720</v>
      </c>
    </row>
    <row r="511" spans="1:20" x14ac:dyDescent="0.2">
      <c r="A511" s="11" t="s">
        <v>234</v>
      </c>
      <c r="B511" s="14" t="s">
        <v>19</v>
      </c>
      <c r="C511" s="11" t="s">
        <v>20</v>
      </c>
      <c r="D511" s="15">
        <v>504735443</v>
      </c>
      <c r="E511" s="11" t="s">
        <v>21</v>
      </c>
      <c r="F511" s="20">
        <v>38758</v>
      </c>
      <c r="G511" s="16" t="str">
        <f t="shared" si="14"/>
        <v>February</v>
      </c>
      <c r="H511" s="2">
        <f t="shared" ca="1" si="15"/>
        <v>13</v>
      </c>
      <c r="I511" s="17"/>
      <c r="J511" s="18">
        <v>85509</v>
      </c>
      <c r="K511" s="19">
        <v>3</v>
      </c>
      <c r="N511" s="11" t="s">
        <v>173</v>
      </c>
      <c r="O511" s="11" t="s">
        <v>32</v>
      </c>
      <c r="P511" s="11" t="s">
        <v>33</v>
      </c>
      <c r="Q511" s="11" t="s">
        <v>25</v>
      </c>
      <c r="R511" s="20">
        <f>(41686+(3*365))+112</f>
        <v>42893</v>
      </c>
      <c r="S511" s="17">
        <v>11</v>
      </c>
      <c r="T511" s="21">
        <v>3390</v>
      </c>
    </row>
    <row r="512" spans="1:20" x14ac:dyDescent="0.2">
      <c r="A512" s="11" t="s">
        <v>1406</v>
      </c>
      <c r="B512" s="14" t="s">
        <v>27</v>
      </c>
      <c r="C512" s="11" t="s">
        <v>152</v>
      </c>
      <c r="D512" s="15">
        <v>296641985</v>
      </c>
      <c r="E512" s="11" t="s">
        <v>29</v>
      </c>
      <c r="F512" s="20">
        <v>38483</v>
      </c>
      <c r="G512" s="16" t="str">
        <f t="shared" si="14"/>
        <v>May</v>
      </c>
      <c r="H512" s="2">
        <f t="shared" ca="1" si="15"/>
        <v>14</v>
      </c>
      <c r="I512" s="17" t="s">
        <v>30</v>
      </c>
      <c r="J512" s="18">
        <v>55863</v>
      </c>
      <c r="K512" s="19">
        <v>2</v>
      </c>
      <c r="N512" s="11" t="s">
        <v>288</v>
      </c>
      <c r="O512" s="11" t="s">
        <v>49</v>
      </c>
      <c r="P512" s="11" t="s">
        <v>33</v>
      </c>
      <c r="Q512" s="11" t="s">
        <v>219</v>
      </c>
      <c r="R512" s="20">
        <f>(41739+(3*365))+112</f>
        <v>42946</v>
      </c>
      <c r="S512" s="17">
        <v>2</v>
      </c>
      <c r="T512" s="17">
        <v>950</v>
      </c>
    </row>
    <row r="513" spans="1:20" x14ac:dyDescent="0.2">
      <c r="A513" s="11" t="s">
        <v>1280</v>
      </c>
      <c r="B513" s="14" t="s">
        <v>19</v>
      </c>
      <c r="C513" s="11" t="s">
        <v>59</v>
      </c>
      <c r="D513" s="15">
        <v>571821715</v>
      </c>
      <c r="E513" s="11" t="s">
        <v>29</v>
      </c>
      <c r="F513" s="20">
        <v>38461</v>
      </c>
      <c r="G513" s="16" t="str">
        <f t="shared" si="14"/>
        <v>April</v>
      </c>
      <c r="H513" s="2">
        <f t="shared" ca="1" si="15"/>
        <v>14</v>
      </c>
      <c r="I513" s="17" t="s">
        <v>30</v>
      </c>
      <c r="J513" s="18">
        <v>76775</v>
      </c>
      <c r="K513" s="19">
        <v>1</v>
      </c>
      <c r="N513" s="11" t="s">
        <v>865</v>
      </c>
      <c r="O513" s="11" t="s">
        <v>78</v>
      </c>
      <c r="P513" s="11" t="s">
        <v>24</v>
      </c>
      <c r="Q513" s="11" t="s">
        <v>34</v>
      </c>
      <c r="R513" s="20">
        <f>(41967+(3*365))+112</f>
        <v>43174</v>
      </c>
      <c r="S513" s="17">
        <v>14</v>
      </c>
      <c r="T513" s="17">
        <v>5266</v>
      </c>
    </row>
    <row r="514" spans="1:20" x14ac:dyDescent="0.2">
      <c r="A514" s="11" t="s">
        <v>364</v>
      </c>
      <c r="B514" s="14" t="s">
        <v>19</v>
      </c>
      <c r="C514" s="11" t="s">
        <v>145</v>
      </c>
      <c r="D514" s="15">
        <v>304024314</v>
      </c>
      <c r="E514" s="11" t="s">
        <v>21</v>
      </c>
      <c r="F514" s="20">
        <v>36277</v>
      </c>
      <c r="G514" s="16" t="str">
        <f t="shared" ref="G514:G577" si="16">CHOOSE(MONTH(F514),"January","February","March","April","May","June","July","August","September","October","November","December")</f>
        <v>April</v>
      </c>
      <c r="H514" s="2">
        <f t="shared" ref="H514:H577" ca="1" si="17">DATEDIF(F514,TODAY(),"Y")</f>
        <v>20</v>
      </c>
      <c r="I514" s="17"/>
      <c r="J514" s="18">
        <v>62978</v>
      </c>
      <c r="K514" s="19">
        <v>2</v>
      </c>
      <c r="N514" s="11" t="s">
        <v>1439</v>
      </c>
      <c r="O514" s="11" t="s">
        <v>117</v>
      </c>
      <c r="P514" s="11" t="s">
        <v>33</v>
      </c>
      <c r="Q514" s="11" t="s">
        <v>25</v>
      </c>
      <c r="R514" s="20">
        <f>(42185+(3*365))+112</f>
        <v>43392</v>
      </c>
      <c r="S514" s="17">
        <v>2</v>
      </c>
      <c r="T514" s="17">
        <v>890</v>
      </c>
    </row>
    <row r="515" spans="1:20" x14ac:dyDescent="0.2">
      <c r="A515" s="11" t="s">
        <v>1094</v>
      </c>
      <c r="B515" s="14" t="s">
        <v>43</v>
      </c>
      <c r="C515" s="11" t="s">
        <v>86</v>
      </c>
      <c r="D515" s="15">
        <v>343897392</v>
      </c>
      <c r="E515" s="11" t="s">
        <v>29</v>
      </c>
      <c r="F515" s="20">
        <v>38110</v>
      </c>
      <c r="G515" s="16" t="str">
        <f t="shared" si="16"/>
        <v>May</v>
      </c>
      <c r="H515" s="2">
        <f t="shared" ca="1" si="17"/>
        <v>15</v>
      </c>
      <c r="I515" s="17" t="s">
        <v>47</v>
      </c>
      <c r="J515" s="18">
        <v>65880</v>
      </c>
      <c r="K515" s="19">
        <v>4</v>
      </c>
      <c r="N515" s="11" t="s">
        <v>828</v>
      </c>
      <c r="O515" s="11" t="s">
        <v>89</v>
      </c>
      <c r="P515" s="11" t="s">
        <v>33</v>
      </c>
      <c r="Q515" s="11" t="s">
        <v>41</v>
      </c>
      <c r="R515" s="20">
        <f>(41963+(3*365))+112</f>
        <v>43170</v>
      </c>
      <c r="S515" s="17">
        <v>8</v>
      </c>
      <c r="T515" s="17">
        <v>4255</v>
      </c>
    </row>
    <row r="516" spans="1:20" x14ac:dyDescent="0.2">
      <c r="A516" s="11" t="s">
        <v>441</v>
      </c>
      <c r="B516" s="14" t="s">
        <v>27</v>
      </c>
      <c r="C516" s="11" t="s">
        <v>52</v>
      </c>
      <c r="D516" s="15">
        <v>585815837</v>
      </c>
      <c r="E516" s="11" t="s">
        <v>80</v>
      </c>
      <c r="F516" s="20">
        <v>36850</v>
      </c>
      <c r="G516" s="16" t="str">
        <f t="shared" si="16"/>
        <v>November</v>
      </c>
      <c r="H516" s="2">
        <f t="shared" ca="1" si="17"/>
        <v>18</v>
      </c>
      <c r="I516" s="17" t="s">
        <v>71</v>
      </c>
      <c r="J516" s="18">
        <v>25184</v>
      </c>
      <c r="K516" s="19">
        <v>4</v>
      </c>
      <c r="N516" s="11" t="s">
        <v>1127</v>
      </c>
      <c r="O516" s="11" t="s">
        <v>114</v>
      </c>
      <c r="P516" s="11" t="s">
        <v>65</v>
      </c>
      <c r="Q516" s="11" t="s">
        <v>41</v>
      </c>
      <c r="R516" s="20">
        <f>(42047+(3*365))+112</f>
        <v>43254</v>
      </c>
      <c r="S516" s="17">
        <v>14</v>
      </c>
      <c r="T516" s="17">
        <v>7590</v>
      </c>
    </row>
    <row r="517" spans="1:20" x14ac:dyDescent="0.2">
      <c r="A517" s="11" t="s">
        <v>1450</v>
      </c>
      <c r="B517" s="14" t="s">
        <v>51</v>
      </c>
      <c r="C517" s="11" t="s">
        <v>152</v>
      </c>
      <c r="D517" s="15">
        <v>332494481</v>
      </c>
      <c r="E517" s="11" t="s">
        <v>29</v>
      </c>
      <c r="F517" s="20">
        <v>38936</v>
      </c>
      <c r="G517" s="16" t="str">
        <f t="shared" si="16"/>
        <v>August</v>
      </c>
      <c r="H517" s="2">
        <f t="shared" ca="1" si="17"/>
        <v>12</v>
      </c>
      <c r="I517" s="17" t="s">
        <v>30</v>
      </c>
      <c r="J517" s="18">
        <v>65354</v>
      </c>
      <c r="K517" s="19">
        <v>5</v>
      </c>
      <c r="N517" s="11" t="s">
        <v>1347</v>
      </c>
      <c r="O517" s="11" t="s">
        <v>32</v>
      </c>
      <c r="P517" s="11" t="s">
        <v>65</v>
      </c>
      <c r="Q517" s="11" t="s">
        <v>41</v>
      </c>
      <c r="R517" s="20">
        <f>(42150+(3*365))+112</f>
        <v>43357</v>
      </c>
      <c r="S517" s="17">
        <v>14</v>
      </c>
      <c r="T517" s="17">
        <v>5375</v>
      </c>
    </row>
    <row r="518" spans="1:20" x14ac:dyDescent="0.2">
      <c r="A518" s="11" t="s">
        <v>588</v>
      </c>
      <c r="B518" s="14" t="s">
        <v>27</v>
      </c>
      <c r="C518" s="11" t="s">
        <v>214</v>
      </c>
      <c r="D518" s="15">
        <v>378281658</v>
      </c>
      <c r="E518" s="11" t="s">
        <v>21</v>
      </c>
      <c r="F518" s="20">
        <v>40929</v>
      </c>
      <c r="G518" s="16" t="str">
        <f t="shared" si="16"/>
        <v>January</v>
      </c>
      <c r="H518" s="2">
        <f t="shared" ca="1" si="17"/>
        <v>7</v>
      </c>
      <c r="I518" s="17"/>
      <c r="J518" s="18">
        <v>53055</v>
      </c>
      <c r="K518" s="19">
        <v>2</v>
      </c>
      <c r="N518" s="11" t="s">
        <v>1067</v>
      </c>
      <c r="O518" s="11" t="s">
        <v>117</v>
      </c>
      <c r="P518" s="11" t="s">
        <v>24</v>
      </c>
      <c r="Q518" s="11" t="s">
        <v>41</v>
      </c>
      <c r="R518" s="20">
        <f>(42026+(3*365))+112</f>
        <v>43233</v>
      </c>
      <c r="S518" s="17">
        <v>3</v>
      </c>
      <c r="T518" s="17">
        <v>1645</v>
      </c>
    </row>
    <row r="519" spans="1:20" x14ac:dyDescent="0.2">
      <c r="A519" s="11" t="s">
        <v>785</v>
      </c>
      <c r="B519" s="14" t="s">
        <v>43</v>
      </c>
      <c r="C519" s="11" t="s">
        <v>145</v>
      </c>
      <c r="D519" s="15">
        <v>186821354</v>
      </c>
      <c r="E519" s="11" t="s">
        <v>29</v>
      </c>
      <c r="F519" s="20">
        <v>36866</v>
      </c>
      <c r="G519" s="16" t="str">
        <f t="shared" si="16"/>
        <v>December</v>
      </c>
      <c r="H519" s="2">
        <f t="shared" ca="1" si="17"/>
        <v>18</v>
      </c>
      <c r="I519" s="17" t="s">
        <v>47</v>
      </c>
      <c r="J519" s="18">
        <v>73265</v>
      </c>
      <c r="K519" s="19">
        <v>3</v>
      </c>
      <c r="N519" s="11" t="s">
        <v>157</v>
      </c>
      <c r="O519" s="11" t="s">
        <v>23</v>
      </c>
      <c r="P519" s="11" t="s">
        <v>40</v>
      </c>
      <c r="Q519" s="11" t="s">
        <v>120</v>
      </c>
      <c r="R519" s="20">
        <f>(41681+(3*365))+112</f>
        <v>42888</v>
      </c>
      <c r="S519" s="17">
        <v>4</v>
      </c>
      <c r="T519" s="21">
        <v>2290</v>
      </c>
    </row>
    <row r="520" spans="1:20" x14ac:dyDescent="0.2">
      <c r="A520" s="11" t="s">
        <v>174</v>
      </c>
      <c r="B520" s="14" t="s">
        <v>27</v>
      </c>
      <c r="C520" s="11" t="s">
        <v>20</v>
      </c>
      <c r="D520" s="15">
        <v>334574480</v>
      </c>
      <c r="E520" s="11" t="s">
        <v>29</v>
      </c>
      <c r="F520" s="20">
        <v>39362</v>
      </c>
      <c r="G520" s="16" t="str">
        <f t="shared" si="16"/>
        <v>October</v>
      </c>
      <c r="H520" s="2">
        <f t="shared" ca="1" si="17"/>
        <v>11</v>
      </c>
      <c r="I520" s="17" t="s">
        <v>30</v>
      </c>
      <c r="J520" s="18">
        <v>43335</v>
      </c>
      <c r="K520" s="19">
        <v>1</v>
      </c>
      <c r="N520" s="11" t="s">
        <v>1572</v>
      </c>
      <c r="O520" s="11" t="s">
        <v>23</v>
      </c>
      <c r="P520" s="11" t="s">
        <v>65</v>
      </c>
      <c r="Q520" s="11" t="s">
        <v>120</v>
      </c>
      <c r="R520" s="20">
        <f>(42238+(3*365))+112</f>
        <v>43445</v>
      </c>
      <c r="S520" s="17">
        <v>1</v>
      </c>
      <c r="T520" s="17">
        <v>530</v>
      </c>
    </row>
    <row r="521" spans="1:20" x14ac:dyDescent="0.2">
      <c r="A521" s="11" t="s">
        <v>103</v>
      </c>
      <c r="B521" s="14" t="s">
        <v>51</v>
      </c>
      <c r="C521" s="11" t="s">
        <v>104</v>
      </c>
      <c r="D521" s="15">
        <v>764375259</v>
      </c>
      <c r="E521" s="11" t="s">
        <v>29</v>
      </c>
      <c r="F521" s="20">
        <v>40907</v>
      </c>
      <c r="G521" s="16" t="str">
        <f t="shared" si="16"/>
        <v>December</v>
      </c>
      <c r="H521" s="2">
        <f t="shared" ca="1" si="17"/>
        <v>7</v>
      </c>
      <c r="I521" s="17" t="s">
        <v>47</v>
      </c>
      <c r="J521" s="18">
        <v>40973</v>
      </c>
      <c r="K521" s="19">
        <v>1</v>
      </c>
      <c r="N521" s="11" t="s">
        <v>1427</v>
      </c>
      <c r="O521" s="11" t="s">
        <v>54</v>
      </c>
      <c r="P521" s="11" t="s">
        <v>65</v>
      </c>
      <c r="Q521" s="11" t="s">
        <v>34</v>
      </c>
      <c r="R521" s="20">
        <f>(42180+(3*365))+112</f>
        <v>43387</v>
      </c>
      <c r="S521" s="17">
        <v>16</v>
      </c>
      <c r="T521" s="17">
        <v>8109</v>
      </c>
    </row>
    <row r="522" spans="1:20" x14ac:dyDescent="0.2">
      <c r="A522" s="11" t="s">
        <v>289</v>
      </c>
      <c r="B522" s="14" t="s">
        <v>27</v>
      </c>
      <c r="C522" s="11" t="s">
        <v>28</v>
      </c>
      <c r="D522" s="15">
        <v>510190628</v>
      </c>
      <c r="E522" s="11" t="s">
        <v>29</v>
      </c>
      <c r="F522" s="20">
        <v>42003</v>
      </c>
      <c r="G522" s="16" t="str">
        <f t="shared" si="16"/>
        <v>December</v>
      </c>
      <c r="H522" s="2">
        <f t="shared" ca="1" si="17"/>
        <v>4</v>
      </c>
      <c r="I522" s="17" t="s">
        <v>30</v>
      </c>
      <c r="J522" s="18">
        <v>58968</v>
      </c>
      <c r="K522" s="19">
        <v>5</v>
      </c>
      <c r="N522" s="11" t="s">
        <v>1147</v>
      </c>
      <c r="O522" s="11" t="s">
        <v>89</v>
      </c>
      <c r="P522" s="11" t="s">
        <v>24</v>
      </c>
      <c r="Q522" s="11" t="s">
        <v>219</v>
      </c>
      <c r="R522" s="20">
        <f>(42058+(3*365))+112</f>
        <v>43265</v>
      </c>
      <c r="S522" s="17">
        <v>13</v>
      </c>
      <c r="T522" s="17">
        <v>4655</v>
      </c>
    </row>
    <row r="523" spans="1:20" x14ac:dyDescent="0.2">
      <c r="A523" s="11" t="s">
        <v>825</v>
      </c>
      <c r="B523" s="14" t="s">
        <v>51</v>
      </c>
      <c r="C523" s="11" t="s">
        <v>214</v>
      </c>
      <c r="D523" s="15">
        <v>720538680</v>
      </c>
      <c r="E523" s="11" t="s">
        <v>29</v>
      </c>
      <c r="F523" s="20">
        <v>37339</v>
      </c>
      <c r="G523" s="16" t="str">
        <f t="shared" si="16"/>
        <v>March</v>
      </c>
      <c r="H523" s="2">
        <f t="shared" ca="1" si="17"/>
        <v>17</v>
      </c>
      <c r="I523" s="17" t="s">
        <v>47</v>
      </c>
      <c r="J523" s="18">
        <v>109364</v>
      </c>
      <c r="K523" s="19">
        <v>4</v>
      </c>
      <c r="N523" s="11" t="s">
        <v>1059</v>
      </c>
      <c r="O523" s="11" t="s">
        <v>117</v>
      </c>
      <c r="P523" s="11" t="s">
        <v>33</v>
      </c>
      <c r="Q523" s="11" t="s">
        <v>34</v>
      </c>
      <c r="R523" s="20">
        <f>(42023+(3*365))+112</f>
        <v>43230</v>
      </c>
      <c r="S523" s="17">
        <v>8</v>
      </c>
      <c r="T523" s="17">
        <v>2947</v>
      </c>
    </row>
    <row r="524" spans="1:20" x14ac:dyDescent="0.2">
      <c r="A524" s="11" t="s">
        <v>960</v>
      </c>
      <c r="B524" s="14" t="s">
        <v>27</v>
      </c>
      <c r="C524" s="11" t="s">
        <v>254</v>
      </c>
      <c r="D524" s="15">
        <v>145240921</v>
      </c>
      <c r="E524" s="11" t="s">
        <v>29</v>
      </c>
      <c r="F524" s="20">
        <v>42260</v>
      </c>
      <c r="G524" s="16" t="str">
        <f t="shared" si="16"/>
        <v>September</v>
      </c>
      <c r="H524" s="2">
        <f t="shared" ca="1" si="17"/>
        <v>3</v>
      </c>
      <c r="I524" s="17" t="s">
        <v>38</v>
      </c>
      <c r="J524" s="18">
        <v>68837</v>
      </c>
      <c r="K524" s="19">
        <v>4</v>
      </c>
      <c r="N524" s="11" t="s">
        <v>754</v>
      </c>
      <c r="O524" s="11" t="s">
        <v>117</v>
      </c>
      <c r="P524" s="11" t="s">
        <v>33</v>
      </c>
      <c r="Q524" s="11" t="s">
        <v>25</v>
      </c>
      <c r="R524" s="20">
        <f>(41935+(3*365))+112</f>
        <v>43142</v>
      </c>
      <c r="S524" s="17">
        <v>2</v>
      </c>
      <c r="T524" s="17">
        <v>840</v>
      </c>
    </row>
    <row r="525" spans="1:20" x14ac:dyDescent="0.2">
      <c r="A525" s="11" t="s">
        <v>695</v>
      </c>
      <c r="B525" s="14" t="s">
        <v>83</v>
      </c>
      <c r="C525" s="11" t="s">
        <v>214</v>
      </c>
      <c r="D525" s="15">
        <v>969216994</v>
      </c>
      <c r="E525" s="11" t="s">
        <v>21</v>
      </c>
      <c r="F525" s="20">
        <v>39139</v>
      </c>
      <c r="G525" s="16" t="str">
        <f t="shared" si="16"/>
        <v>February</v>
      </c>
      <c r="H525" s="2">
        <f t="shared" ca="1" si="17"/>
        <v>12</v>
      </c>
      <c r="I525" s="17"/>
      <c r="J525" s="18">
        <v>33926</v>
      </c>
      <c r="K525" s="19">
        <v>5</v>
      </c>
      <c r="N525" s="11" t="s">
        <v>854</v>
      </c>
      <c r="O525" s="11" t="s">
        <v>89</v>
      </c>
      <c r="P525" s="11" t="s">
        <v>40</v>
      </c>
      <c r="Q525" s="11" t="s">
        <v>219</v>
      </c>
      <c r="R525" s="20">
        <f>(41966+(3*365))+112</f>
        <v>43173</v>
      </c>
      <c r="S525" s="17">
        <v>8</v>
      </c>
      <c r="T525" s="17">
        <v>2490</v>
      </c>
    </row>
    <row r="526" spans="1:20" x14ac:dyDescent="0.2">
      <c r="A526" s="11" t="s">
        <v>1550</v>
      </c>
      <c r="B526" s="14" t="s">
        <v>36</v>
      </c>
      <c r="C526" s="11" t="s">
        <v>641</v>
      </c>
      <c r="D526" s="15">
        <v>827277063</v>
      </c>
      <c r="E526" s="11" t="s">
        <v>56</v>
      </c>
      <c r="F526" s="20">
        <v>43399</v>
      </c>
      <c r="G526" s="16" t="str">
        <f t="shared" si="16"/>
        <v>October</v>
      </c>
      <c r="H526" s="2">
        <f t="shared" ca="1" si="17"/>
        <v>0</v>
      </c>
      <c r="I526" s="17"/>
      <c r="J526" s="18">
        <v>25709</v>
      </c>
      <c r="K526" s="19">
        <v>1</v>
      </c>
      <c r="N526" s="11" t="s">
        <v>1567</v>
      </c>
      <c r="O526" s="11" t="s">
        <v>78</v>
      </c>
      <c r="P526" s="11" t="s">
        <v>65</v>
      </c>
      <c r="Q526" s="11" t="s">
        <v>219</v>
      </c>
      <c r="R526" s="20">
        <f>(42235+(3*365))+112</f>
        <v>43442</v>
      </c>
      <c r="S526" s="17">
        <v>1</v>
      </c>
      <c r="T526" s="17">
        <v>335</v>
      </c>
    </row>
    <row r="527" spans="1:20" x14ac:dyDescent="0.2">
      <c r="A527" s="11" t="s">
        <v>1392</v>
      </c>
      <c r="B527" s="14" t="s">
        <v>19</v>
      </c>
      <c r="C527" s="11" t="s">
        <v>145</v>
      </c>
      <c r="D527" s="15">
        <v>863736129</v>
      </c>
      <c r="E527" s="11" t="s">
        <v>80</v>
      </c>
      <c r="F527" s="20">
        <v>38544</v>
      </c>
      <c r="G527" s="16" t="str">
        <f t="shared" si="16"/>
        <v>July</v>
      </c>
      <c r="H527" s="2">
        <f t="shared" ca="1" si="17"/>
        <v>13</v>
      </c>
      <c r="I527" s="17" t="s">
        <v>30</v>
      </c>
      <c r="J527" s="18">
        <v>57699</v>
      </c>
      <c r="K527" s="19">
        <v>2</v>
      </c>
      <c r="N527" s="11" t="s">
        <v>1021</v>
      </c>
      <c r="O527" s="11" t="s">
        <v>45</v>
      </c>
      <c r="P527" s="11" t="s">
        <v>33</v>
      </c>
      <c r="Q527" s="11" t="s">
        <v>34</v>
      </c>
      <c r="R527" s="20">
        <f>(42015+(3*365))+112</f>
        <v>43222</v>
      </c>
      <c r="S527" s="17">
        <v>16</v>
      </c>
      <c r="T527" s="17">
        <v>8305</v>
      </c>
    </row>
    <row r="528" spans="1:20" x14ac:dyDescent="0.2">
      <c r="A528" s="11" t="s">
        <v>358</v>
      </c>
      <c r="B528" s="14" t="s">
        <v>19</v>
      </c>
      <c r="C528" s="11" t="s">
        <v>136</v>
      </c>
      <c r="D528" s="15">
        <v>387131597</v>
      </c>
      <c r="E528" s="11" t="s">
        <v>21</v>
      </c>
      <c r="F528" s="20">
        <v>36371</v>
      </c>
      <c r="G528" s="16" t="str">
        <f t="shared" si="16"/>
        <v>July</v>
      </c>
      <c r="H528" s="2">
        <f t="shared" ca="1" si="17"/>
        <v>19</v>
      </c>
      <c r="I528" s="17"/>
      <c r="J528" s="18">
        <v>71213</v>
      </c>
      <c r="K528" s="19">
        <v>1</v>
      </c>
      <c r="N528" s="11" t="s">
        <v>418</v>
      </c>
      <c r="O528" s="11" t="s">
        <v>49</v>
      </c>
      <c r="P528" s="11" t="s">
        <v>40</v>
      </c>
      <c r="Q528" s="11" t="s">
        <v>34</v>
      </c>
      <c r="R528" s="20">
        <f>(41794+(3*365))+112</f>
        <v>43001</v>
      </c>
      <c r="S528" s="17">
        <v>14</v>
      </c>
      <c r="T528" s="17">
        <v>6580</v>
      </c>
    </row>
    <row r="529" spans="1:20" x14ac:dyDescent="0.2">
      <c r="A529" s="11" t="s">
        <v>1382</v>
      </c>
      <c r="B529" s="14" t="s">
        <v>43</v>
      </c>
      <c r="C529" s="11" t="s">
        <v>152</v>
      </c>
      <c r="D529" s="15">
        <v>502580266</v>
      </c>
      <c r="E529" s="11" t="s">
        <v>56</v>
      </c>
      <c r="F529" s="20">
        <v>41502</v>
      </c>
      <c r="G529" s="16" t="str">
        <f t="shared" si="16"/>
        <v>August</v>
      </c>
      <c r="H529" s="2">
        <f t="shared" ca="1" si="17"/>
        <v>5</v>
      </c>
      <c r="I529" s="17"/>
      <c r="J529" s="18">
        <v>50414</v>
      </c>
      <c r="K529" s="19">
        <v>2</v>
      </c>
      <c r="N529" s="11" t="s">
        <v>109</v>
      </c>
      <c r="O529" s="11" t="s">
        <v>23</v>
      </c>
      <c r="P529" s="11" t="s">
        <v>33</v>
      </c>
      <c r="Q529" s="11" t="s">
        <v>41</v>
      </c>
      <c r="R529" s="20">
        <f>(41669+(3*365))+112</f>
        <v>42876</v>
      </c>
      <c r="S529" s="17">
        <v>10</v>
      </c>
      <c r="T529" s="21">
        <v>5050</v>
      </c>
    </row>
    <row r="530" spans="1:20" x14ac:dyDescent="0.2">
      <c r="A530" s="11" t="s">
        <v>958</v>
      </c>
      <c r="B530" s="14" t="s">
        <v>27</v>
      </c>
      <c r="C530" s="11" t="s">
        <v>254</v>
      </c>
      <c r="D530" s="15">
        <v>365499498</v>
      </c>
      <c r="E530" s="11" t="s">
        <v>29</v>
      </c>
      <c r="F530" s="20">
        <v>41663</v>
      </c>
      <c r="G530" s="16" t="str">
        <f t="shared" si="16"/>
        <v>January</v>
      </c>
      <c r="H530" s="2">
        <f t="shared" ca="1" si="17"/>
        <v>5</v>
      </c>
      <c r="I530" s="17" t="s">
        <v>47</v>
      </c>
      <c r="J530" s="18">
        <v>63531</v>
      </c>
      <c r="K530" s="19">
        <v>4</v>
      </c>
      <c r="N530" s="11" t="s">
        <v>450</v>
      </c>
      <c r="O530" s="11" t="s">
        <v>117</v>
      </c>
      <c r="P530" s="11" t="s">
        <v>65</v>
      </c>
      <c r="Q530" s="11" t="s">
        <v>41</v>
      </c>
      <c r="R530" s="20">
        <f>(41809+(3*365))+112</f>
        <v>43016</v>
      </c>
      <c r="S530" s="17">
        <v>10</v>
      </c>
      <c r="T530" s="17">
        <v>5530</v>
      </c>
    </row>
    <row r="531" spans="1:20" x14ac:dyDescent="0.2">
      <c r="A531" s="11" t="s">
        <v>1190</v>
      </c>
      <c r="B531" s="14" t="s">
        <v>36</v>
      </c>
      <c r="C531" s="11" t="s">
        <v>136</v>
      </c>
      <c r="D531" s="15">
        <v>437460422</v>
      </c>
      <c r="E531" s="11" t="s">
        <v>80</v>
      </c>
      <c r="F531" s="20">
        <v>41579</v>
      </c>
      <c r="G531" s="16" t="str">
        <f t="shared" si="16"/>
        <v>November</v>
      </c>
      <c r="H531" s="2">
        <f t="shared" ca="1" si="17"/>
        <v>5</v>
      </c>
      <c r="I531" s="17" t="s">
        <v>30</v>
      </c>
      <c r="J531" s="18">
        <v>14351</v>
      </c>
      <c r="K531" s="19">
        <v>3</v>
      </c>
      <c r="N531" s="11" t="s">
        <v>1411</v>
      </c>
      <c r="O531" s="11" t="s">
        <v>117</v>
      </c>
      <c r="P531" s="11" t="s">
        <v>40</v>
      </c>
      <c r="Q531" s="11" t="s">
        <v>41</v>
      </c>
      <c r="R531" s="20">
        <f>(42174+(3*365))+112</f>
        <v>43381</v>
      </c>
      <c r="S531" s="17">
        <v>3</v>
      </c>
      <c r="T531" s="17">
        <v>1110</v>
      </c>
    </row>
    <row r="532" spans="1:20" x14ac:dyDescent="0.2">
      <c r="A532" s="4" t="s">
        <v>1336</v>
      </c>
      <c r="B532" s="14" t="s">
        <v>27</v>
      </c>
      <c r="C532" s="11" t="s">
        <v>145</v>
      </c>
      <c r="D532" s="15">
        <v>393973492</v>
      </c>
      <c r="E532" s="11" t="s">
        <v>80</v>
      </c>
      <c r="F532" s="20">
        <v>39279</v>
      </c>
      <c r="G532" s="16" t="str">
        <f t="shared" si="16"/>
        <v>July</v>
      </c>
      <c r="H532" s="2">
        <f t="shared" ca="1" si="17"/>
        <v>11</v>
      </c>
      <c r="I532" s="17" t="s">
        <v>71</v>
      </c>
      <c r="J532" s="18">
        <v>63923</v>
      </c>
      <c r="K532" s="19">
        <v>1</v>
      </c>
      <c r="N532" s="11" t="s">
        <v>1231</v>
      </c>
      <c r="O532" s="11" t="s">
        <v>78</v>
      </c>
      <c r="P532" s="11" t="s">
        <v>33</v>
      </c>
      <c r="Q532" s="11" t="s">
        <v>120</v>
      </c>
      <c r="R532" s="20">
        <f>(42102+(3*365))+112</f>
        <v>43309</v>
      </c>
      <c r="S532" s="17">
        <v>10</v>
      </c>
      <c r="T532" s="17">
        <v>3160</v>
      </c>
    </row>
    <row r="533" spans="1:20" x14ac:dyDescent="0.2">
      <c r="A533" s="11" t="s">
        <v>168</v>
      </c>
      <c r="B533" s="14" t="s">
        <v>27</v>
      </c>
      <c r="C533" s="11" t="s">
        <v>20</v>
      </c>
      <c r="D533" s="15">
        <v>260815239</v>
      </c>
      <c r="E533" s="11" t="s">
        <v>56</v>
      </c>
      <c r="F533" s="20">
        <v>36476</v>
      </c>
      <c r="G533" s="16" t="str">
        <f t="shared" si="16"/>
        <v>November</v>
      </c>
      <c r="H533" s="2">
        <f t="shared" ca="1" si="17"/>
        <v>19</v>
      </c>
      <c r="I533" s="17"/>
      <c r="J533" s="18">
        <v>19667</v>
      </c>
      <c r="K533" s="19">
        <v>3</v>
      </c>
      <c r="N533" s="11" t="s">
        <v>1623</v>
      </c>
      <c r="O533" s="11" t="s">
        <v>49</v>
      </c>
      <c r="P533" s="11" t="s">
        <v>24</v>
      </c>
      <c r="Q533" s="11" t="s">
        <v>41</v>
      </c>
      <c r="R533" s="20">
        <f>(42284+(3*365))+112</f>
        <v>43491</v>
      </c>
      <c r="S533" s="17">
        <v>1</v>
      </c>
      <c r="T533" s="17">
        <v>430</v>
      </c>
    </row>
    <row r="534" spans="1:20" x14ac:dyDescent="0.2">
      <c r="A534" s="11" t="s">
        <v>1112</v>
      </c>
      <c r="B534" s="14" t="s">
        <v>19</v>
      </c>
      <c r="C534" s="11" t="s">
        <v>136</v>
      </c>
      <c r="D534" s="15">
        <v>867100310</v>
      </c>
      <c r="E534" s="11" t="s">
        <v>29</v>
      </c>
      <c r="F534" s="20">
        <v>39249</v>
      </c>
      <c r="G534" s="16" t="str">
        <f t="shared" si="16"/>
        <v>June</v>
      </c>
      <c r="H534" s="2">
        <f t="shared" ca="1" si="17"/>
        <v>11</v>
      </c>
      <c r="I534" s="17" t="s">
        <v>30</v>
      </c>
      <c r="J534" s="18">
        <v>88979</v>
      </c>
      <c r="K534" s="19">
        <v>5</v>
      </c>
      <c r="N534" s="11" t="s">
        <v>1537</v>
      </c>
      <c r="O534" s="11" t="s">
        <v>78</v>
      </c>
      <c r="P534" s="11" t="s">
        <v>33</v>
      </c>
      <c r="Q534" s="11" t="s">
        <v>41</v>
      </c>
      <c r="R534" s="20">
        <f>(42223+(3*365))+112</f>
        <v>43430</v>
      </c>
      <c r="S534" s="17">
        <v>10</v>
      </c>
      <c r="T534" s="17">
        <v>4090</v>
      </c>
    </row>
    <row r="535" spans="1:20" x14ac:dyDescent="0.2">
      <c r="A535" s="11" t="s">
        <v>932</v>
      </c>
      <c r="B535" s="14" t="s">
        <v>27</v>
      </c>
      <c r="C535" s="11" t="s">
        <v>59</v>
      </c>
      <c r="D535" s="15">
        <v>116869057</v>
      </c>
      <c r="E535" s="11" t="s">
        <v>80</v>
      </c>
      <c r="F535" s="20">
        <v>37611</v>
      </c>
      <c r="G535" s="16" t="str">
        <f t="shared" si="16"/>
        <v>December</v>
      </c>
      <c r="H535" s="2">
        <f t="shared" ca="1" si="17"/>
        <v>16</v>
      </c>
      <c r="I535" s="17" t="s">
        <v>38</v>
      </c>
      <c r="J535" s="18">
        <v>20257</v>
      </c>
      <c r="K535" s="19">
        <v>4</v>
      </c>
      <c r="N535" s="11" t="s">
        <v>1183</v>
      </c>
      <c r="O535" s="11" t="s">
        <v>114</v>
      </c>
      <c r="P535" s="11" t="s">
        <v>33</v>
      </c>
      <c r="Q535" s="11" t="s">
        <v>34</v>
      </c>
      <c r="R535" s="20">
        <f>(42078+(3*365))+112</f>
        <v>43285</v>
      </c>
      <c r="S535" s="17">
        <v>8</v>
      </c>
      <c r="T535" s="17">
        <v>3258</v>
      </c>
    </row>
    <row r="536" spans="1:20" x14ac:dyDescent="0.2">
      <c r="A536" s="11" t="s">
        <v>1432</v>
      </c>
      <c r="B536" s="14" t="s">
        <v>27</v>
      </c>
      <c r="C536" s="11" t="s">
        <v>152</v>
      </c>
      <c r="D536" s="15">
        <v>186346711</v>
      </c>
      <c r="E536" s="11" t="s">
        <v>29</v>
      </c>
      <c r="F536" s="20">
        <v>39475</v>
      </c>
      <c r="G536" s="16" t="str">
        <f t="shared" si="16"/>
        <v>January</v>
      </c>
      <c r="H536" s="2">
        <f t="shared" ca="1" si="17"/>
        <v>11</v>
      </c>
      <c r="I536" s="17" t="s">
        <v>87</v>
      </c>
      <c r="J536" s="18">
        <v>97160</v>
      </c>
      <c r="K536" s="19">
        <v>4</v>
      </c>
      <c r="N536" s="11" t="s">
        <v>203</v>
      </c>
      <c r="O536" s="11" t="s">
        <v>78</v>
      </c>
      <c r="P536" s="11" t="s">
        <v>33</v>
      </c>
      <c r="Q536" s="11" t="s">
        <v>41</v>
      </c>
      <c r="R536" s="20">
        <f>(41699+(3*365))+112</f>
        <v>42906</v>
      </c>
      <c r="S536" s="17">
        <v>9</v>
      </c>
      <c r="T536" s="21">
        <v>2810</v>
      </c>
    </row>
    <row r="537" spans="1:20" x14ac:dyDescent="0.2">
      <c r="A537" s="11" t="s">
        <v>1154</v>
      </c>
      <c r="B537" s="14" t="s">
        <v>36</v>
      </c>
      <c r="C537" s="11" t="s">
        <v>136</v>
      </c>
      <c r="D537" s="15">
        <v>546159785</v>
      </c>
      <c r="E537" s="11" t="s">
        <v>29</v>
      </c>
      <c r="F537" s="20">
        <v>41279</v>
      </c>
      <c r="G537" s="16" t="str">
        <f t="shared" si="16"/>
        <v>January</v>
      </c>
      <c r="H537" s="2">
        <f t="shared" ca="1" si="17"/>
        <v>6</v>
      </c>
      <c r="I537" s="17" t="s">
        <v>71</v>
      </c>
      <c r="J537" s="18">
        <v>82796</v>
      </c>
      <c r="K537" s="19">
        <v>2</v>
      </c>
      <c r="N537" s="11" t="s">
        <v>740</v>
      </c>
      <c r="O537" s="11" t="s">
        <v>89</v>
      </c>
      <c r="P537" s="11" t="s">
        <v>24</v>
      </c>
      <c r="Q537" s="11" t="s">
        <v>41</v>
      </c>
      <c r="R537" s="20">
        <f>(41927+(3*365))+112</f>
        <v>43134</v>
      </c>
      <c r="S537" s="17">
        <v>1</v>
      </c>
      <c r="T537" s="17">
        <v>410</v>
      </c>
    </row>
    <row r="538" spans="1:20" x14ac:dyDescent="0.2">
      <c r="A538" s="11" t="s">
        <v>1446</v>
      </c>
      <c r="B538" s="14" t="s">
        <v>51</v>
      </c>
      <c r="C538" s="11" t="s">
        <v>214</v>
      </c>
      <c r="D538" s="15">
        <v>923123594</v>
      </c>
      <c r="E538" s="11" t="s">
        <v>29</v>
      </c>
      <c r="F538" s="20">
        <v>39054</v>
      </c>
      <c r="G538" s="16" t="str">
        <f t="shared" si="16"/>
        <v>December</v>
      </c>
      <c r="H538" s="2">
        <f t="shared" ca="1" si="17"/>
        <v>12</v>
      </c>
      <c r="I538" s="17" t="s">
        <v>71</v>
      </c>
      <c r="J538" s="18">
        <v>109890</v>
      </c>
      <c r="K538" s="19">
        <v>2</v>
      </c>
      <c r="N538" s="11" t="s">
        <v>1563</v>
      </c>
      <c r="O538" s="11" t="s">
        <v>78</v>
      </c>
      <c r="P538" s="11" t="s">
        <v>40</v>
      </c>
      <c r="Q538" s="11" t="s">
        <v>25</v>
      </c>
      <c r="R538" s="20">
        <f>(42232+(3*365))+112</f>
        <v>43439</v>
      </c>
      <c r="S538" s="17">
        <v>3</v>
      </c>
      <c r="T538" s="17">
        <v>1690</v>
      </c>
    </row>
    <row r="539" spans="1:20" x14ac:dyDescent="0.2">
      <c r="A539" s="11" t="s">
        <v>1548</v>
      </c>
      <c r="B539" s="14" t="s">
        <v>19</v>
      </c>
      <c r="C539" s="11" t="s">
        <v>405</v>
      </c>
      <c r="D539" s="15">
        <v>510700395</v>
      </c>
      <c r="E539" s="11" t="s">
        <v>29</v>
      </c>
      <c r="F539" s="20">
        <v>39847</v>
      </c>
      <c r="G539" s="16" t="str">
        <f t="shared" si="16"/>
        <v>February</v>
      </c>
      <c r="H539" s="2">
        <f t="shared" ca="1" si="17"/>
        <v>10</v>
      </c>
      <c r="I539" s="17" t="s">
        <v>47</v>
      </c>
      <c r="J539" s="18">
        <v>85955</v>
      </c>
      <c r="K539" s="19">
        <v>5</v>
      </c>
      <c r="N539" s="11" t="s">
        <v>1323</v>
      </c>
      <c r="O539" s="11" t="s">
        <v>54</v>
      </c>
      <c r="P539" s="11" t="s">
        <v>24</v>
      </c>
      <c r="Q539" s="11" t="s">
        <v>219</v>
      </c>
      <c r="R539" s="20">
        <f>(42139+(3*365))+112</f>
        <v>43346</v>
      </c>
      <c r="S539" s="17">
        <v>2</v>
      </c>
      <c r="T539" s="17">
        <v>755</v>
      </c>
    </row>
    <row r="540" spans="1:20" x14ac:dyDescent="0.2">
      <c r="A540" s="11" t="s">
        <v>192</v>
      </c>
      <c r="B540" s="14" t="s">
        <v>19</v>
      </c>
      <c r="C540" s="11" t="s">
        <v>52</v>
      </c>
      <c r="D540" s="15">
        <v>690374765</v>
      </c>
      <c r="E540" s="11" t="s">
        <v>29</v>
      </c>
      <c r="F540" s="20">
        <v>36469</v>
      </c>
      <c r="G540" s="16" t="str">
        <f t="shared" si="16"/>
        <v>November</v>
      </c>
      <c r="H540" s="2">
        <f t="shared" ca="1" si="17"/>
        <v>19</v>
      </c>
      <c r="I540" s="17" t="s">
        <v>38</v>
      </c>
      <c r="J540" s="18">
        <v>111375</v>
      </c>
      <c r="K540" s="19">
        <v>5</v>
      </c>
      <c r="N540" s="11" t="s">
        <v>1305</v>
      </c>
      <c r="O540" s="11" t="s">
        <v>23</v>
      </c>
      <c r="P540" s="11" t="s">
        <v>40</v>
      </c>
      <c r="Q540" s="11" t="s">
        <v>41</v>
      </c>
      <c r="R540" s="20">
        <f>(42134+(3*365))+112</f>
        <v>43341</v>
      </c>
      <c r="S540" s="17">
        <v>10</v>
      </c>
      <c r="T540" s="17">
        <v>3240</v>
      </c>
    </row>
    <row r="541" spans="1:20" x14ac:dyDescent="0.2">
      <c r="A541" s="11" t="s">
        <v>1542</v>
      </c>
      <c r="B541" s="14" t="s">
        <v>19</v>
      </c>
      <c r="C541" s="11" t="s">
        <v>136</v>
      </c>
      <c r="D541" s="15">
        <v>728567428</v>
      </c>
      <c r="E541" s="11" t="s">
        <v>29</v>
      </c>
      <c r="F541" s="20">
        <v>43480</v>
      </c>
      <c r="G541" s="16" t="str">
        <f t="shared" si="16"/>
        <v>January</v>
      </c>
      <c r="H541" s="2">
        <f t="shared" ca="1" si="17"/>
        <v>0</v>
      </c>
      <c r="I541" s="17" t="s">
        <v>71</v>
      </c>
      <c r="J541" s="18">
        <v>116775</v>
      </c>
      <c r="K541" s="19">
        <v>1</v>
      </c>
      <c r="N541" s="11" t="s">
        <v>1632</v>
      </c>
      <c r="O541" s="11" t="s">
        <v>23</v>
      </c>
      <c r="P541" s="11" t="s">
        <v>40</v>
      </c>
      <c r="Q541" s="11" t="s">
        <v>41</v>
      </c>
      <c r="R541" s="20">
        <f>(42288+(3*365))+112</f>
        <v>43495</v>
      </c>
      <c r="S541" s="17">
        <v>10</v>
      </c>
      <c r="T541" s="17">
        <v>4110</v>
      </c>
    </row>
    <row r="542" spans="1:20" x14ac:dyDescent="0.2">
      <c r="A542" s="11" t="s">
        <v>797</v>
      </c>
      <c r="B542" s="14" t="s">
        <v>19</v>
      </c>
      <c r="C542" s="11" t="s">
        <v>152</v>
      </c>
      <c r="D542" s="15">
        <v>418701946</v>
      </c>
      <c r="E542" s="11" t="s">
        <v>80</v>
      </c>
      <c r="F542" s="20">
        <v>37010</v>
      </c>
      <c r="G542" s="16" t="str">
        <f t="shared" si="16"/>
        <v>April</v>
      </c>
      <c r="H542" s="2">
        <f t="shared" ca="1" si="17"/>
        <v>18</v>
      </c>
      <c r="I542" s="17" t="s">
        <v>47</v>
      </c>
      <c r="J542" s="18">
        <v>66886</v>
      </c>
      <c r="K542" s="19">
        <v>2</v>
      </c>
      <c r="N542" s="11" t="s">
        <v>1590</v>
      </c>
      <c r="O542" s="11" t="s">
        <v>49</v>
      </c>
      <c r="P542" s="11" t="s">
        <v>40</v>
      </c>
      <c r="Q542" s="11" t="s">
        <v>219</v>
      </c>
      <c r="R542" s="20">
        <f>(42256+(3*365))+112</f>
        <v>43463</v>
      </c>
      <c r="S542" s="17">
        <v>8</v>
      </c>
      <c r="T542" s="17">
        <v>4550</v>
      </c>
    </row>
    <row r="543" spans="1:20" x14ac:dyDescent="0.2">
      <c r="A543" s="11" t="s">
        <v>443</v>
      </c>
      <c r="B543" s="14" t="s">
        <v>19</v>
      </c>
      <c r="C543" s="11" t="s">
        <v>59</v>
      </c>
      <c r="D543" s="15">
        <v>249760737</v>
      </c>
      <c r="E543" s="11" t="s">
        <v>21</v>
      </c>
      <c r="F543" s="20">
        <v>36805</v>
      </c>
      <c r="G543" s="16" t="str">
        <f t="shared" si="16"/>
        <v>October</v>
      </c>
      <c r="H543" s="2">
        <f t="shared" ca="1" si="17"/>
        <v>18</v>
      </c>
      <c r="I543" s="17"/>
      <c r="J543" s="18">
        <v>109445</v>
      </c>
      <c r="K543" s="19">
        <v>5</v>
      </c>
      <c r="N543" s="11" t="s">
        <v>1315</v>
      </c>
      <c r="O543" s="11" t="s">
        <v>114</v>
      </c>
      <c r="P543" s="11" t="s">
        <v>65</v>
      </c>
      <c r="Q543" s="11" t="s">
        <v>25</v>
      </c>
      <c r="R543" s="20">
        <f>(42136+(3*365))+112</f>
        <v>43343</v>
      </c>
      <c r="S543" s="17">
        <v>5</v>
      </c>
      <c r="T543" s="17">
        <v>2860</v>
      </c>
    </row>
    <row r="544" spans="1:20" x14ac:dyDescent="0.2">
      <c r="A544" s="11" t="s">
        <v>309</v>
      </c>
      <c r="B544" s="14" t="s">
        <v>19</v>
      </c>
      <c r="C544" s="11" t="s">
        <v>101</v>
      </c>
      <c r="D544" s="15">
        <v>967826310</v>
      </c>
      <c r="E544" s="11" t="s">
        <v>29</v>
      </c>
      <c r="F544" s="20">
        <v>36176</v>
      </c>
      <c r="G544" s="16" t="str">
        <f t="shared" si="16"/>
        <v>January</v>
      </c>
      <c r="H544" s="2">
        <f t="shared" ca="1" si="17"/>
        <v>20</v>
      </c>
      <c r="I544" s="17" t="s">
        <v>71</v>
      </c>
      <c r="J544" s="18">
        <v>47682</v>
      </c>
      <c r="K544" s="19">
        <v>3</v>
      </c>
      <c r="N544" s="11" t="s">
        <v>832</v>
      </c>
      <c r="O544" s="11" t="s">
        <v>23</v>
      </c>
      <c r="P544" s="11" t="s">
        <v>40</v>
      </c>
      <c r="Q544" s="11" t="s">
        <v>219</v>
      </c>
      <c r="R544" s="20">
        <f>(41963+(3*365))+112</f>
        <v>43170</v>
      </c>
      <c r="S544" s="17">
        <v>10</v>
      </c>
      <c r="T544" s="17">
        <v>4750</v>
      </c>
    </row>
    <row r="545" spans="1:20" x14ac:dyDescent="0.2">
      <c r="A545" s="11" t="s">
        <v>360</v>
      </c>
      <c r="B545" s="14" t="s">
        <v>19</v>
      </c>
      <c r="C545" s="11" t="s">
        <v>59</v>
      </c>
      <c r="D545" s="15">
        <v>232896341</v>
      </c>
      <c r="E545" s="11" t="s">
        <v>21</v>
      </c>
      <c r="F545" s="20">
        <v>43092</v>
      </c>
      <c r="G545" s="16" t="str">
        <f t="shared" si="16"/>
        <v>December</v>
      </c>
      <c r="H545" s="2">
        <f t="shared" ca="1" si="17"/>
        <v>1</v>
      </c>
      <c r="I545" s="17"/>
      <c r="J545" s="18">
        <v>61871</v>
      </c>
      <c r="K545" s="19">
        <v>4</v>
      </c>
      <c r="N545" s="11" t="s">
        <v>1139</v>
      </c>
      <c r="O545" s="11" t="s">
        <v>45</v>
      </c>
      <c r="P545" s="11" t="s">
        <v>65</v>
      </c>
      <c r="Q545" s="11" t="s">
        <v>41</v>
      </c>
      <c r="R545" s="20">
        <f>(42055+(3*365))+112</f>
        <v>43262</v>
      </c>
      <c r="S545" s="17">
        <v>7</v>
      </c>
      <c r="T545" s="17">
        <v>2275</v>
      </c>
    </row>
    <row r="546" spans="1:20" x14ac:dyDescent="0.2">
      <c r="A546" s="11" t="s">
        <v>878</v>
      </c>
      <c r="B546" s="14" t="s">
        <v>19</v>
      </c>
      <c r="C546" s="11" t="s">
        <v>249</v>
      </c>
      <c r="D546" s="15">
        <v>122440839</v>
      </c>
      <c r="E546" s="11" t="s">
        <v>80</v>
      </c>
      <c r="F546" s="20">
        <v>38817</v>
      </c>
      <c r="G546" s="16" t="str">
        <f t="shared" si="16"/>
        <v>April</v>
      </c>
      <c r="H546" s="2">
        <f t="shared" ca="1" si="17"/>
        <v>13</v>
      </c>
      <c r="I546" s="17" t="s">
        <v>47</v>
      </c>
      <c r="J546" s="18">
        <v>27675</v>
      </c>
      <c r="K546" s="19">
        <v>3</v>
      </c>
      <c r="N546" s="11" t="s">
        <v>1235</v>
      </c>
      <c r="O546" s="11" t="s">
        <v>75</v>
      </c>
      <c r="P546" s="11" t="s">
        <v>40</v>
      </c>
      <c r="Q546" s="11" t="s">
        <v>120</v>
      </c>
      <c r="R546" s="20">
        <f>(42102+(3*365))+112</f>
        <v>43309</v>
      </c>
      <c r="S546" s="17">
        <v>10</v>
      </c>
      <c r="T546" s="17">
        <v>4460</v>
      </c>
    </row>
    <row r="547" spans="1:20" x14ac:dyDescent="0.2">
      <c r="A547" s="11" t="s">
        <v>729</v>
      </c>
      <c r="B547" s="14" t="s">
        <v>83</v>
      </c>
      <c r="C547" s="11" t="s">
        <v>214</v>
      </c>
      <c r="D547" s="15">
        <v>575270646</v>
      </c>
      <c r="E547" s="11" t="s">
        <v>29</v>
      </c>
      <c r="F547" s="20">
        <v>42204</v>
      </c>
      <c r="G547" s="16" t="str">
        <f t="shared" si="16"/>
        <v>July</v>
      </c>
      <c r="H547" s="2">
        <f t="shared" ca="1" si="17"/>
        <v>3</v>
      </c>
      <c r="I547" s="17" t="s">
        <v>47</v>
      </c>
      <c r="J547" s="18">
        <v>62397</v>
      </c>
      <c r="K547" s="19">
        <v>2</v>
      </c>
      <c r="N547" s="11" t="s">
        <v>1057</v>
      </c>
      <c r="O547" s="11" t="s">
        <v>54</v>
      </c>
      <c r="P547" s="11" t="s">
        <v>65</v>
      </c>
      <c r="Q547" s="11" t="s">
        <v>120</v>
      </c>
      <c r="R547" s="20">
        <f>(42023+(3*365))+112</f>
        <v>43230</v>
      </c>
      <c r="S547" s="17">
        <v>10</v>
      </c>
      <c r="T547" s="17">
        <v>4760</v>
      </c>
    </row>
    <row r="548" spans="1:20" x14ac:dyDescent="0.2">
      <c r="A548" s="11" t="s">
        <v>1230</v>
      </c>
      <c r="B548" s="14" t="s">
        <v>43</v>
      </c>
      <c r="C548" s="11" t="s">
        <v>20</v>
      </c>
      <c r="D548" s="15">
        <v>936730279</v>
      </c>
      <c r="E548" s="11" t="s">
        <v>80</v>
      </c>
      <c r="F548" s="20">
        <v>38373</v>
      </c>
      <c r="G548" s="16" t="str">
        <f t="shared" si="16"/>
        <v>January</v>
      </c>
      <c r="H548" s="2">
        <f t="shared" ca="1" si="17"/>
        <v>14</v>
      </c>
      <c r="I548" s="17" t="s">
        <v>38</v>
      </c>
      <c r="J548" s="18">
        <v>65360</v>
      </c>
      <c r="K548" s="19">
        <v>4</v>
      </c>
      <c r="N548" s="11" t="s">
        <v>375</v>
      </c>
      <c r="O548" s="11" t="s">
        <v>45</v>
      </c>
      <c r="P548" s="11" t="s">
        <v>65</v>
      </c>
      <c r="Q548" s="11" t="s">
        <v>219</v>
      </c>
      <c r="R548" s="20">
        <f>(41776+(3*365))+112</f>
        <v>42983</v>
      </c>
      <c r="S548" s="17">
        <v>14</v>
      </c>
      <c r="T548" s="17">
        <v>7030</v>
      </c>
    </row>
    <row r="549" spans="1:20" x14ac:dyDescent="0.2">
      <c r="A549" s="11" t="s">
        <v>578</v>
      </c>
      <c r="B549" s="14" t="s">
        <v>19</v>
      </c>
      <c r="C549" s="11" t="s">
        <v>214</v>
      </c>
      <c r="D549" s="15">
        <v>468053610</v>
      </c>
      <c r="E549" s="11" t="s">
        <v>29</v>
      </c>
      <c r="F549" s="20">
        <v>40365</v>
      </c>
      <c r="G549" s="16" t="str">
        <f t="shared" si="16"/>
        <v>July</v>
      </c>
      <c r="H549" s="2">
        <f t="shared" ca="1" si="17"/>
        <v>8</v>
      </c>
      <c r="I549" s="17" t="s">
        <v>30</v>
      </c>
      <c r="J549" s="18">
        <v>93258</v>
      </c>
      <c r="K549" s="19">
        <v>3</v>
      </c>
      <c r="N549" s="11" t="s">
        <v>1295</v>
      </c>
      <c r="O549" s="11" t="s">
        <v>114</v>
      </c>
      <c r="P549" s="11" t="s">
        <v>40</v>
      </c>
      <c r="Q549" s="11" t="s">
        <v>219</v>
      </c>
      <c r="R549" s="20">
        <f>(42130+(3*365))+112</f>
        <v>43337</v>
      </c>
      <c r="S549" s="17">
        <v>9</v>
      </c>
      <c r="T549" s="17">
        <v>3410</v>
      </c>
    </row>
    <row r="550" spans="1:20" x14ac:dyDescent="0.2">
      <c r="A550" s="11" t="s">
        <v>118</v>
      </c>
      <c r="B550" s="14" t="s">
        <v>27</v>
      </c>
      <c r="C550" s="11" t="s">
        <v>101</v>
      </c>
      <c r="D550" s="15">
        <v>285295419</v>
      </c>
      <c r="E550" s="11" t="s">
        <v>56</v>
      </c>
      <c r="F550" s="20">
        <v>36014</v>
      </c>
      <c r="G550" s="16" t="str">
        <f t="shared" si="16"/>
        <v>August</v>
      </c>
      <c r="H550" s="2">
        <f t="shared" ca="1" si="17"/>
        <v>20</v>
      </c>
      <c r="I550" s="17"/>
      <c r="J550" s="18">
        <v>44863</v>
      </c>
      <c r="K550" s="19">
        <v>4</v>
      </c>
      <c r="N550" s="11" t="s">
        <v>1267</v>
      </c>
      <c r="O550" s="11" t="s">
        <v>117</v>
      </c>
      <c r="P550" s="11" t="s">
        <v>65</v>
      </c>
      <c r="Q550" s="11" t="s">
        <v>219</v>
      </c>
      <c r="R550" s="20">
        <f>(42117+(3*365))+112</f>
        <v>43324</v>
      </c>
      <c r="S550" s="17">
        <v>5</v>
      </c>
      <c r="T550" s="17">
        <v>1655</v>
      </c>
    </row>
    <row r="551" spans="1:20" x14ac:dyDescent="0.2">
      <c r="A551" s="11" t="s">
        <v>608</v>
      </c>
      <c r="B551" s="14" t="s">
        <v>27</v>
      </c>
      <c r="C551" s="11" t="s">
        <v>152</v>
      </c>
      <c r="D551" s="15">
        <v>283476654</v>
      </c>
      <c r="E551" s="11" t="s">
        <v>29</v>
      </c>
      <c r="F551" s="20">
        <v>36537</v>
      </c>
      <c r="G551" s="16" t="str">
        <f t="shared" si="16"/>
        <v>January</v>
      </c>
      <c r="H551" s="2">
        <f t="shared" ca="1" si="17"/>
        <v>19</v>
      </c>
      <c r="I551" s="17" t="s">
        <v>87</v>
      </c>
      <c r="J551" s="18">
        <v>62843</v>
      </c>
      <c r="K551" s="19">
        <v>4</v>
      </c>
      <c r="N551" s="11" t="s">
        <v>1259</v>
      </c>
      <c r="O551" s="11" t="s">
        <v>32</v>
      </c>
      <c r="P551" s="11" t="s">
        <v>24</v>
      </c>
      <c r="Q551" s="11" t="s">
        <v>25</v>
      </c>
      <c r="R551" s="20">
        <f>(42112+(3*365))+112</f>
        <v>43319</v>
      </c>
      <c r="S551" s="17">
        <v>13</v>
      </c>
      <c r="T551" s="17">
        <v>4720</v>
      </c>
    </row>
    <row r="552" spans="1:20" x14ac:dyDescent="0.2">
      <c r="A552" s="11" t="s">
        <v>453</v>
      </c>
      <c r="B552" s="14" t="s">
        <v>27</v>
      </c>
      <c r="C552" s="11" t="s">
        <v>214</v>
      </c>
      <c r="D552" s="15">
        <v>594680949</v>
      </c>
      <c r="E552" s="11" t="s">
        <v>80</v>
      </c>
      <c r="F552" s="20">
        <v>39278</v>
      </c>
      <c r="G552" s="16" t="str">
        <f t="shared" si="16"/>
        <v>July</v>
      </c>
      <c r="H552" s="2">
        <f t="shared" ca="1" si="17"/>
        <v>11</v>
      </c>
      <c r="I552" s="17" t="s">
        <v>30</v>
      </c>
      <c r="J552" s="18">
        <v>23315</v>
      </c>
      <c r="K552" s="19">
        <v>5</v>
      </c>
      <c r="N552" s="11" t="s">
        <v>1155</v>
      </c>
      <c r="O552" s="11" t="s">
        <v>125</v>
      </c>
      <c r="P552" s="11" t="s">
        <v>24</v>
      </c>
      <c r="Q552" s="11" t="s">
        <v>219</v>
      </c>
      <c r="R552" s="20">
        <f>(42061+(3*365))+112</f>
        <v>43268</v>
      </c>
      <c r="S552" s="17">
        <v>5</v>
      </c>
      <c r="T552" s="17">
        <v>2575</v>
      </c>
    </row>
    <row r="553" spans="1:20" x14ac:dyDescent="0.2">
      <c r="A553" s="11" t="s">
        <v>396</v>
      </c>
      <c r="B553" s="14" t="s">
        <v>83</v>
      </c>
      <c r="C553" s="11" t="s">
        <v>152</v>
      </c>
      <c r="D553" s="15">
        <v>643984096</v>
      </c>
      <c r="E553" s="11" t="s">
        <v>21</v>
      </c>
      <c r="F553" s="20">
        <v>36269</v>
      </c>
      <c r="G553" s="16" t="str">
        <f t="shared" si="16"/>
        <v>April</v>
      </c>
      <c r="H553" s="2">
        <f t="shared" ca="1" si="17"/>
        <v>20</v>
      </c>
      <c r="I553" s="17"/>
      <c r="J553" s="18">
        <v>35127</v>
      </c>
      <c r="K553" s="19">
        <v>5</v>
      </c>
      <c r="N553" s="11" t="s">
        <v>565</v>
      </c>
      <c r="O553" s="11" t="s">
        <v>125</v>
      </c>
      <c r="P553" s="11" t="s">
        <v>33</v>
      </c>
      <c r="Q553" s="11" t="s">
        <v>34</v>
      </c>
      <c r="R553" s="20">
        <f>(41852+(3*365))+112</f>
        <v>43059</v>
      </c>
      <c r="S553" s="17">
        <v>12</v>
      </c>
      <c r="T553" s="17">
        <v>3874</v>
      </c>
    </row>
    <row r="554" spans="1:20" x14ac:dyDescent="0.2">
      <c r="A554" s="11" t="s">
        <v>916</v>
      </c>
      <c r="B554" s="14" t="s">
        <v>27</v>
      </c>
      <c r="C554" s="11" t="s">
        <v>641</v>
      </c>
      <c r="D554" s="15">
        <v>978092408</v>
      </c>
      <c r="E554" s="11" t="s">
        <v>21</v>
      </c>
      <c r="F554" s="20">
        <v>37381</v>
      </c>
      <c r="G554" s="16" t="str">
        <f t="shared" si="16"/>
        <v>May</v>
      </c>
      <c r="H554" s="2">
        <f t="shared" ca="1" si="17"/>
        <v>17</v>
      </c>
      <c r="I554" s="17"/>
      <c r="J554" s="18">
        <v>87372</v>
      </c>
      <c r="K554" s="19">
        <v>5</v>
      </c>
      <c r="N554" s="11" t="s">
        <v>146</v>
      </c>
      <c r="O554" s="11" t="s">
        <v>64</v>
      </c>
      <c r="P554" s="11" t="s">
        <v>33</v>
      </c>
      <c r="Q554" s="11" t="s">
        <v>120</v>
      </c>
      <c r="R554" s="20">
        <f>(41678+(3*365))+112</f>
        <v>42885</v>
      </c>
      <c r="S554" s="17">
        <v>14</v>
      </c>
      <c r="T554" s="21">
        <v>4745</v>
      </c>
    </row>
    <row r="555" spans="1:20" x14ac:dyDescent="0.2">
      <c r="A555" s="11" t="s">
        <v>1066</v>
      </c>
      <c r="B555" s="14" t="s">
        <v>27</v>
      </c>
      <c r="C555" s="11" t="s">
        <v>214</v>
      </c>
      <c r="D555" s="15">
        <v>930282755</v>
      </c>
      <c r="E555" s="11" t="s">
        <v>80</v>
      </c>
      <c r="F555" s="20">
        <v>38045</v>
      </c>
      <c r="G555" s="16" t="str">
        <f t="shared" si="16"/>
        <v>February</v>
      </c>
      <c r="H555" s="2">
        <f t="shared" ca="1" si="17"/>
        <v>15</v>
      </c>
      <c r="I555" s="17" t="s">
        <v>47</v>
      </c>
      <c r="J555" s="18">
        <v>62485</v>
      </c>
      <c r="K555" s="19">
        <v>5</v>
      </c>
      <c r="N555" s="11" t="s">
        <v>1475</v>
      </c>
      <c r="O555" s="11" t="s">
        <v>75</v>
      </c>
      <c r="P555" s="11" t="s">
        <v>65</v>
      </c>
      <c r="Q555" s="11" t="s">
        <v>34</v>
      </c>
      <c r="R555" s="20">
        <f>(42195+(3*365))+112</f>
        <v>43402</v>
      </c>
      <c r="S555" s="17">
        <v>9</v>
      </c>
      <c r="T555" s="17">
        <v>2745</v>
      </c>
    </row>
    <row r="556" spans="1:20" x14ac:dyDescent="0.2">
      <c r="A556" s="11" t="s">
        <v>1128</v>
      </c>
      <c r="B556" s="14" t="s">
        <v>19</v>
      </c>
      <c r="C556" s="11" t="s">
        <v>254</v>
      </c>
      <c r="D556" s="15">
        <v>803776506</v>
      </c>
      <c r="E556" s="11" t="s">
        <v>29</v>
      </c>
      <c r="F556" s="20">
        <v>38268</v>
      </c>
      <c r="G556" s="16" t="str">
        <f t="shared" si="16"/>
        <v>October</v>
      </c>
      <c r="H556" s="2">
        <f t="shared" ca="1" si="17"/>
        <v>14</v>
      </c>
      <c r="I556" s="17" t="s">
        <v>87</v>
      </c>
      <c r="J556" s="18">
        <v>105233</v>
      </c>
      <c r="K556" s="19">
        <v>4</v>
      </c>
      <c r="N556" s="11" t="s">
        <v>1421</v>
      </c>
      <c r="O556" s="11" t="s">
        <v>54</v>
      </c>
      <c r="P556" s="11" t="s">
        <v>65</v>
      </c>
      <c r="Q556" s="11" t="s">
        <v>219</v>
      </c>
      <c r="R556" s="20">
        <f>(42180+(3*365))+112</f>
        <v>43387</v>
      </c>
      <c r="S556" s="17">
        <v>3</v>
      </c>
      <c r="T556" s="17">
        <v>1390</v>
      </c>
    </row>
    <row r="557" spans="1:20" x14ac:dyDescent="0.2">
      <c r="A557" s="11" t="s">
        <v>1558</v>
      </c>
      <c r="B557" s="14" t="s">
        <v>51</v>
      </c>
      <c r="C557" s="11" t="s">
        <v>641</v>
      </c>
      <c r="D557" s="15">
        <v>383616821</v>
      </c>
      <c r="E557" s="11" t="s">
        <v>29</v>
      </c>
      <c r="F557" s="20">
        <v>43240</v>
      </c>
      <c r="G557" s="16" t="str">
        <f t="shared" si="16"/>
        <v>May</v>
      </c>
      <c r="H557" s="2">
        <f t="shared" ca="1" si="17"/>
        <v>1</v>
      </c>
      <c r="I557" s="17" t="s">
        <v>47</v>
      </c>
      <c r="J557" s="18">
        <v>63018</v>
      </c>
      <c r="K557" s="19">
        <v>1</v>
      </c>
      <c r="N557" s="11" t="s">
        <v>650</v>
      </c>
      <c r="O557" s="11" t="s">
        <v>89</v>
      </c>
      <c r="P557" s="11" t="s">
        <v>33</v>
      </c>
      <c r="Q557" s="11" t="s">
        <v>41</v>
      </c>
      <c r="R557" s="20">
        <f>(41892+(3*365))+112</f>
        <v>43099</v>
      </c>
      <c r="S557" s="17">
        <v>13</v>
      </c>
      <c r="T557" s="17">
        <v>5575</v>
      </c>
    </row>
    <row r="558" spans="1:20" x14ac:dyDescent="0.2">
      <c r="A558" s="11" t="s">
        <v>520</v>
      </c>
      <c r="B558" s="14" t="s">
        <v>27</v>
      </c>
      <c r="C558" s="11" t="s">
        <v>254</v>
      </c>
      <c r="D558" s="15">
        <v>881242432</v>
      </c>
      <c r="E558" s="11" t="s">
        <v>29</v>
      </c>
      <c r="F558" s="20">
        <v>36784</v>
      </c>
      <c r="G558" s="16" t="str">
        <f t="shared" si="16"/>
        <v>September</v>
      </c>
      <c r="H558" s="2">
        <f t="shared" ca="1" si="17"/>
        <v>18</v>
      </c>
      <c r="I558" s="17" t="s">
        <v>87</v>
      </c>
      <c r="J558" s="18">
        <v>91814</v>
      </c>
      <c r="K558" s="19">
        <v>1</v>
      </c>
      <c r="N558" s="11" t="s">
        <v>1171</v>
      </c>
      <c r="O558" s="11" t="s">
        <v>75</v>
      </c>
      <c r="P558" s="11" t="s">
        <v>40</v>
      </c>
      <c r="Q558" s="11" t="s">
        <v>25</v>
      </c>
      <c r="R558" s="20">
        <f>(42074+(3*365))+112</f>
        <v>43281</v>
      </c>
      <c r="S558" s="17">
        <v>12</v>
      </c>
      <c r="T558" s="17">
        <v>6215</v>
      </c>
    </row>
    <row r="559" spans="1:20" x14ac:dyDescent="0.2">
      <c r="A559" s="11" t="s">
        <v>1522</v>
      </c>
      <c r="B559" s="14" t="s">
        <v>27</v>
      </c>
      <c r="C559" s="11" t="s">
        <v>152</v>
      </c>
      <c r="D559" s="15">
        <v>458734969</v>
      </c>
      <c r="E559" s="11" t="s">
        <v>29</v>
      </c>
      <c r="F559" s="20">
        <v>42584</v>
      </c>
      <c r="G559" s="16" t="str">
        <f t="shared" si="16"/>
        <v>August</v>
      </c>
      <c r="H559" s="2">
        <f t="shared" ca="1" si="17"/>
        <v>2</v>
      </c>
      <c r="I559" s="17" t="s">
        <v>47</v>
      </c>
      <c r="J559" s="18">
        <v>111200</v>
      </c>
      <c r="K559" s="19">
        <v>5</v>
      </c>
      <c r="N559" s="11" t="s">
        <v>750</v>
      </c>
      <c r="O559" s="11" t="s">
        <v>64</v>
      </c>
      <c r="P559" s="11" t="s">
        <v>24</v>
      </c>
      <c r="Q559" s="11" t="s">
        <v>41</v>
      </c>
      <c r="R559" s="20">
        <f>(41929+(3*365))+112</f>
        <v>43136</v>
      </c>
      <c r="S559" s="17">
        <v>4</v>
      </c>
      <c r="T559" s="17">
        <v>2330</v>
      </c>
    </row>
    <row r="560" spans="1:20" x14ac:dyDescent="0.2">
      <c r="A560" s="11" t="s">
        <v>584</v>
      </c>
      <c r="B560" s="14" t="s">
        <v>83</v>
      </c>
      <c r="C560" s="11" t="s">
        <v>214</v>
      </c>
      <c r="D560" s="15">
        <v>177332873</v>
      </c>
      <c r="E560" s="11" t="s">
        <v>29</v>
      </c>
      <c r="F560" s="20">
        <v>39269</v>
      </c>
      <c r="G560" s="16" t="str">
        <f t="shared" si="16"/>
        <v>July</v>
      </c>
      <c r="H560" s="2">
        <f t="shared" ca="1" si="17"/>
        <v>11</v>
      </c>
      <c r="I560" s="17" t="s">
        <v>47</v>
      </c>
      <c r="J560" s="18">
        <v>54081</v>
      </c>
      <c r="K560" s="19">
        <v>3</v>
      </c>
      <c r="N560" s="11" t="s">
        <v>1582</v>
      </c>
      <c r="O560" s="11" t="s">
        <v>23</v>
      </c>
      <c r="P560" s="11" t="s">
        <v>65</v>
      </c>
      <c r="Q560" s="11" t="s">
        <v>25</v>
      </c>
      <c r="R560" s="20">
        <f>(42250+(3*365))+112</f>
        <v>43457</v>
      </c>
      <c r="S560" s="17">
        <v>10</v>
      </c>
      <c r="T560" s="17">
        <v>4730</v>
      </c>
    </row>
    <row r="561" spans="1:20" x14ac:dyDescent="0.2">
      <c r="A561" s="11" t="s">
        <v>643</v>
      </c>
      <c r="B561" s="14" t="s">
        <v>19</v>
      </c>
      <c r="C561" s="11" t="s">
        <v>62</v>
      </c>
      <c r="D561" s="15">
        <v>202815919</v>
      </c>
      <c r="E561" s="11" t="s">
        <v>21</v>
      </c>
      <c r="F561" s="20">
        <v>36932</v>
      </c>
      <c r="G561" s="16" t="str">
        <f t="shared" si="16"/>
        <v>February</v>
      </c>
      <c r="H561" s="2">
        <f t="shared" ca="1" si="17"/>
        <v>18</v>
      </c>
      <c r="I561" s="17"/>
      <c r="J561" s="18">
        <v>89883</v>
      </c>
      <c r="K561" s="19">
        <v>5</v>
      </c>
      <c r="N561" s="11" t="s">
        <v>387</v>
      </c>
      <c r="O561" s="11" t="s">
        <v>54</v>
      </c>
      <c r="P561" s="11" t="s">
        <v>33</v>
      </c>
      <c r="Q561" s="11" t="s">
        <v>219</v>
      </c>
      <c r="R561" s="20">
        <f>(41780+(3*365))+112</f>
        <v>42987</v>
      </c>
      <c r="S561" s="17">
        <v>15</v>
      </c>
      <c r="T561" s="17">
        <v>5175</v>
      </c>
    </row>
    <row r="562" spans="1:20" x14ac:dyDescent="0.2">
      <c r="A562" s="11" t="s">
        <v>1166</v>
      </c>
      <c r="B562" s="14" t="s">
        <v>27</v>
      </c>
      <c r="C562" s="11" t="s">
        <v>136</v>
      </c>
      <c r="D562" s="15">
        <v>699386024</v>
      </c>
      <c r="E562" s="11" t="s">
        <v>56</v>
      </c>
      <c r="F562" s="20">
        <v>38884</v>
      </c>
      <c r="G562" s="16" t="str">
        <f t="shared" si="16"/>
        <v>June</v>
      </c>
      <c r="H562" s="2">
        <f t="shared" ca="1" si="17"/>
        <v>12</v>
      </c>
      <c r="I562" s="17"/>
      <c r="J562" s="18">
        <v>22529</v>
      </c>
      <c r="K562" s="19">
        <v>3</v>
      </c>
      <c r="N562" s="11" t="s">
        <v>395</v>
      </c>
      <c r="O562" s="11" t="s">
        <v>23</v>
      </c>
      <c r="P562" s="11" t="s">
        <v>33</v>
      </c>
      <c r="Q562" s="11" t="s">
        <v>41</v>
      </c>
      <c r="R562" s="20">
        <f>(41783+(3*365))+112</f>
        <v>42990</v>
      </c>
      <c r="S562" s="17">
        <v>3</v>
      </c>
      <c r="T562" s="17">
        <v>1585</v>
      </c>
    </row>
    <row r="563" spans="1:20" x14ac:dyDescent="0.2">
      <c r="A563" s="11" t="s">
        <v>1292</v>
      </c>
      <c r="B563" s="14" t="s">
        <v>83</v>
      </c>
      <c r="C563" s="11" t="s">
        <v>145</v>
      </c>
      <c r="D563" s="15">
        <v>531654742</v>
      </c>
      <c r="E563" s="11" t="s">
        <v>29</v>
      </c>
      <c r="F563" s="20">
        <v>40649</v>
      </c>
      <c r="G563" s="16" t="str">
        <f t="shared" si="16"/>
        <v>April</v>
      </c>
      <c r="H563" s="2">
        <f t="shared" ca="1" si="17"/>
        <v>8</v>
      </c>
      <c r="I563" s="17" t="s">
        <v>47</v>
      </c>
      <c r="J563" s="18">
        <v>39434</v>
      </c>
      <c r="K563" s="19">
        <v>5</v>
      </c>
      <c r="N563" s="11" t="s">
        <v>844</v>
      </c>
      <c r="O563" s="11" t="s">
        <v>75</v>
      </c>
      <c r="P563" s="11" t="s">
        <v>65</v>
      </c>
      <c r="Q563" s="11" t="s">
        <v>41</v>
      </c>
      <c r="R563" s="20">
        <f>(41964+(3*365))+112</f>
        <v>43171</v>
      </c>
      <c r="S563" s="17">
        <v>4</v>
      </c>
      <c r="T563" s="17">
        <v>2005</v>
      </c>
    </row>
    <row r="564" spans="1:20" x14ac:dyDescent="0.2">
      <c r="A564" s="11" t="s">
        <v>447</v>
      </c>
      <c r="B564" s="14" t="s">
        <v>83</v>
      </c>
      <c r="C564" s="11" t="s">
        <v>59</v>
      </c>
      <c r="D564" s="15">
        <v>291841866</v>
      </c>
      <c r="E564" s="11" t="s">
        <v>29</v>
      </c>
      <c r="F564" s="20">
        <v>36728</v>
      </c>
      <c r="G564" s="16" t="str">
        <f t="shared" si="16"/>
        <v>July</v>
      </c>
      <c r="H564" s="2">
        <f t="shared" ca="1" si="17"/>
        <v>18</v>
      </c>
      <c r="I564" s="17" t="s">
        <v>47</v>
      </c>
      <c r="J564" s="18">
        <v>87089</v>
      </c>
      <c r="K564" s="19">
        <v>3</v>
      </c>
      <c r="N564" s="11" t="s">
        <v>1689</v>
      </c>
      <c r="O564" s="11" t="s">
        <v>32</v>
      </c>
      <c r="P564" s="11" t="s">
        <v>33</v>
      </c>
      <c r="Q564" s="11" t="s">
        <v>120</v>
      </c>
      <c r="R564" s="20">
        <f>(42340+(3*365))+112</f>
        <v>43547</v>
      </c>
      <c r="S564" s="17">
        <v>15</v>
      </c>
      <c r="T564" s="17">
        <v>7740</v>
      </c>
    </row>
    <row r="565" spans="1:20" x14ac:dyDescent="0.2">
      <c r="A565" s="11" t="s">
        <v>342</v>
      </c>
      <c r="B565" s="14" t="s">
        <v>19</v>
      </c>
      <c r="C565" s="11" t="s">
        <v>136</v>
      </c>
      <c r="D565" s="15">
        <v>503036433</v>
      </c>
      <c r="E565" s="11" t="s">
        <v>29</v>
      </c>
      <c r="F565" s="20">
        <v>36316</v>
      </c>
      <c r="G565" s="16" t="str">
        <f t="shared" si="16"/>
        <v>June</v>
      </c>
      <c r="H565" s="2">
        <f t="shared" ca="1" si="17"/>
        <v>20</v>
      </c>
      <c r="I565" s="17" t="s">
        <v>38</v>
      </c>
      <c r="J565" s="18">
        <v>104949</v>
      </c>
      <c r="K565" s="19">
        <v>1</v>
      </c>
      <c r="N565" s="11" t="s">
        <v>529</v>
      </c>
      <c r="O565" s="11" t="s">
        <v>75</v>
      </c>
      <c r="P565" s="11" t="s">
        <v>24</v>
      </c>
      <c r="Q565" s="11" t="s">
        <v>41</v>
      </c>
      <c r="R565" s="20">
        <f>(41841+(3*365))+112</f>
        <v>43048</v>
      </c>
      <c r="S565" s="17">
        <v>14</v>
      </c>
      <c r="T565" s="17">
        <v>4800</v>
      </c>
    </row>
    <row r="566" spans="1:20" x14ac:dyDescent="0.2">
      <c r="A566" s="11" t="s">
        <v>1462</v>
      </c>
      <c r="B566" s="14" t="s">
        <v>27</v>
      </c>
      <c r="C566" s="11" t="s">
        <v>152</v>
      </c>
      <c r="D566" s="15">
        <v>249416723</v>
      </c>
      <c r="E566" s="11" t="s">
        <v>29</v>
      </c>
      <c r="F566" s="20">
        <v>38881</v>
      </c>
      <c r="G566" s="16" t="str">
        <f t="shared" si="16"/>
        <v>June</v>
      </c>
      <c r="H566" s="2">
        <f t="shared" ca="1" si="17"/>
        <v>12</v>
      </c>
      <c r="I566" s="17" t="s">
        <v>87</v>
      </c>
      <c r="J566" s="18">
        <v>87035</v>
      </c>
      <c r="K566" s="19">
        <v>5</v>
      </c>
      <c r="N566" s="11" t="s">
        <v>583</v>
      </c>
      <c r="O566" s="11" t="s">
        <v>23</v>
      </c>
      <c r="P566" s="11" t="s">
        <v>24</v>
      </c>
      <c r="Q566" s="11" t="s">
        <v>25</v>
      </c>
      <c r="R566" s="20">
        <f>(41859+(3*365))+112</f>
        <v>43066</v>
      </c>
      <c r="S566" s="17">
        <v>5</v>
      </c>
      <c r="T566" s="17">
        <v>2790</v>
      </c>
    </row>
    <row r="567" spans="1:20" x14ac:dyDescent="0.2">
      <c r="A567" s="11" t="s">
        <v>372</v>
      </c>
      <c r="B567" s="14" t="s">
        <v>51</v>
      </c>
      <c r="C567" s="11" t="s">
        <v>145</v>
      </c>
      <c r="D567" s="15">
        <v>593584018</v>
      </c>
      <c r="E567" s="11" t="s">
        <v>29</v>
      </c>
      <c r="F567" s="20">
        <v>36310</v>
      </c>
      <c r="G567" s="16" t="str">
        <f t="shared" si="16"/>
        <v>May</v>
      </c>
      <c r="H567" s="2">
        <f t="shared" ca="1" si="17"/>
        <v>20</v>
      </c>
      <c r="I567" s="17" t="s">
        <v>47</v>
      </c>
      <c r="J567" s="18">
        <v>91692</v>
      </c>
      <c r="K567" s="19">
        <v>4</v>
      </c>
      <c r="N567" s="11" t="s">
        <v>1413</v>
      </c>
      <c r="O567" s="11" t="s">
        <v>117</v>
      </c>
      <c r="P567" s="11" t="s">
        <v>65</v>
      </c>
      <c r="Q567" s="11" t="s">
        <v>41</v>
      </c>
      <c r="R567" s="20">
        <f>(42174+(3*365))+112</f>
        <v>43381</v>
      </c>
      <c r="S567" s="17">
        <v>1</v>
      </c>
      <c r="T567" s="17">
        <v>430</v>
      </c>
    </row>
    <row r="568" spans="1:20" x14ac:dyDescent="0.2">
      <c r="A568" s="11" t="s">
        <v>1306</v>
      </c>
      <c r="B568" s="14" t="s">
        <v>43</v>
      </c>
      <c r="C568" s="11" t="s">
        <v>214</v>
      </c>
      <c r="D568" s="15">
        <v>612295735</v>
      </c>
      <c r="E568" s="11" t="s">
        <v>29</v>
      </c>
      <c r="F568" s="20">
        <v>38367</v>
      </c>
      <c r="G568" s="16" t="str">
        <f t="shared" si="16"/>
        <v>January</v>
      </c>
      <c r="H568" s="2">
        <f t="shared" ca="1" si="17"/>
        <v>14</v>
      </c>
      <c r="I568" s="17" t="s">
        <v>30</v>
      </c>
      <c r="J568" s="18">
        <v>98744</v>
      </c>
      <c r="K568" s="19">
        <v>5</v>
      </c>
      <c r="N568" s="11" t="s">
        <v>1437</v>
      </c>
      <c r="O568" s="11" t="s">
        <v>54</v>
      </c>
      <c r="P568" s="11" t="s">
        <v>40</v>
      </c>
      <c r="Q568" s="11" t="s">
        <v>25</v>
      </c>
      <c r="R568" s="20">
        <f>(42183+(3*365))+112</f>
        <v>43390</v>
      </c>
      <c r="S568" s="17">
        <v>5</v>
      </c>
      <c r="T568" s="17">
        <v>2930</v>
      </c>
    </row>
    <row r="569" spans="1:20" x14ac:dyDescent="0.2">
      <c r="A569" s="11" t="s">
        <v>870</v>
      </c>
      <c r="B569" s="14" t="s">
        <v>51</v>
      </c>
      <c r="C569" s="11" t="s">
        <v>254</v>
      </c>
      <c r="D569" s="15">
        <v>302854692</v>
      </c>
      <c r="E569" s="11" t="s">
        <v>80</v>
      </c>
      <c r="F569" s="20">
        <v>37473</v>
      </c>
      <c r="G569" s="16" t="str">
        <f t="shared" si="16"/>
        <v>August</v>
      </c>
      <c r="H569" s="2">
        <f t="shared" ca="1" si="17"/>
        <v>16</v>
      </c>
      <c r="I569" s="17" t="s">
        <v>47</v>
      </c>
      <c r="J569" s="18">
        <v>18137</v>
      </c>
      <c r="K569" s="19">
        <v>1</v>
      </c>
      <c r="N569" s="11" t="s">
        <v>1181</v>
      </c>
      <c r="O569" s="11" t="s">
        <v>45</v>
      </c>
      <c r="P569" s="11" t="s">
        <v>65</v>
      </c>
      <c r="Q569" s="11" t="s">
        <v>34</v>
      </c>
      <c r="R569" s="20">
        <f>(42077+(3*365))+112</f>
        <v>43284</v>
      </c>
      <c r="S569" s="17">
        <v>9</v>
      </c>
      <c r="T569" s="17">
        <v>4973</v>
      </c>
    </row>
    <row r="570" spans="1:20" x14ac:dyDescent="0.2">
      <c r="A570" s="11" t="s">
        <v>194</v>
      </c>
      <c r="B570" s="14" t="s">
        <v>27</v>
      </c>
      <c r="C570" s="11" t="s">
        <v>59</v>
      </c>
      <c r="D570" s="15">
        <v>927043360</v>
      </c>
      <c r="E570" s="11" t="s">
        <v>21</v>
      </c>
      <c r="F570" s="20">
        <v>36280</v>
      </c>
      <c r="G570" s="16" t="str">
        <f t="shared" si="16"/>
        <v>April</v>
      </c>
      <c r="H570" s="2">
        <f t="shared" ca="1" si="17"/>
        <v>20</v>
      </c>
      <c r="I570" s="17"/>
      <c r="J570" s="18">
        <v>30132</v>
      </c>
      <c r="K570" s="19">
        <v>2</v>
      </c>
      <c r="N570" s="11" t="s">
        <v>1547</v>
      </c>
      <c r="O570" s="11" t="s">
        <v>49</v>
      </c>
      <c r="P570" s="11" t="s">
        <v>40</v>
      </c>
      <c r="Q570" s="11" t="s">
        <v>219</v>
      </c>
      <c r="R570" s="20">
        <f>(42228+(3*365))+112</f>
        <v>43435</v>
      </c>
      <c r="S570" s="17">
        <v>1</v>
      </c>
      <c r="T570" s="17">
        <v>465</v>
      </c>
    </row>
    <row r="571" spans="1:20" x14ac:dyDescent="0.2">
      <c r="A571" s="11" t="s">
        <v>1302</v>
      </c>
      <c r="B571" s="14" t="s">
        <v>36</v>
      </c>
      <c r="C571" s="11" t="s">
        <v>214</v>
      </c>
      <c r="D571" s="15">
        <v>881975933</v>
      </c>
      <c r="E571" s="11" t="s">
        <v>29</v>
      </c>
      <c r="F571" s="20">
        <v>38686</v>
      </c>
      <c r="G571" s="16" t="str">
        <f t="shared" si="16"/>
        <v>November</v>
      </c>
      <c r="H571" s="2">
        <f t="shared" ca="1" si="17"/>
        <v>13</v>
      </c>
      <c r="I571" s="17" t="s">
        <v>38</v>
      </c>
      <c r="J571" s="18">
        <v>47871</v>
      </c>
      <c r="K571" s="19">
        <v>5</v>
      </c>
      <c r="N571" s="11" t="s">
        <v>274</v>
      </c>
      <c r="O571" s="11" t="s">
        <v>54</v>
      </c>
      <c r="P571" s="11" t="s">
        <v>33</v>
      </c>
      <c r="Q571" s="11" t="s">
        <v>41</v>
      </c>
      <c r="R571" s="20">
        <f>(41735+(3*365))+112</f>
        <v>42942</v>
      </c>
      <c r="S571" s="17">
        <v>14</v>
      </c>
      <c r="T571" s="17">
        <v>6620</v>
      </c>
    </row>
    <row r="572" spans="1:20" x14ac:dyDescent="0.2">
      <c r="A572" s="11" t="s">
        <v>1342</v>
      </c>
      <c r="B572" s="14" t="s">
        <v>27</v>
      </c>
      <c r="C572" s="11" t="s">
        <v>86</v>
      </c>
      <c r="D572" s="15">
        <v>983891302</v>
      </c>
      <c r="E572" s="11" t="s">
        <v>29</v>
      </c>
      <c r="F572" s="20">
        <v>38403</v>
      </c>
      <c r="G572" s="16" t="str">
        <f t="shared" si="16"/>
        <v>February</v>
      </c>
      <c r="H572" s="2">
        <f t="shared" ca="1" si="17"/>
        <v>14</v>
      </c>
      <c r="I572" s="17" t="s">
        <v>47</v>
      </c>
      <c r="J572" s="18">
        <v>110214</v>
      </c>
      <c r="K572" s="19">
        <v>4</v>
      </c>
      <c r="N572" s="11" t="s">
        <v>1407</v>
      </c>
      <c r="O572" s="11" t="s">
        <v>54</v>
      </c>
      <c r="P572" s="11" t="s">
        <v>24</v>
      </c>
      <c r="Q572" s="11" t="s">
        <v>219</v>
      </c>
      <c r="R572" s="20">
        <f>(42172+(3*365))+112</f>
        <v>43379</v>
      </c>
      <c r="S572" s="17">
        <v>11</v>
      </c>
      <c r="T572" s="17">
        <v>4190</v>
      </c>
    </row>
    <row r="573" spans="1:20" x14ac:dyDescent="0.2">
      <c r="A573" s="11" t="s">
        <v>874</v>
      </c>
      <c r="B573" s="14" t="s">
        <v>19</v>
      </c>
      <c r="C573" s="11" t="s">
        <v>249</v>
      </c>
      <c r="D573" s="15">
        <v>397835298</v>
      </c>
      <c r="E573" s="11" t="s">
        <v>21</v>
      </c>
      <c r="F573" s="20">
        <v>43228</v>
      </c>
      <c r="G573" s="16" t="str">
        <f t="shared" si="16"/>
        <v>May</v>
      </c>
      <c r="H573" s="2">
        <f t="shared" ca="1" si="17"/>
        <v>1</v>
      </c>
      <c r="I573" s="17"/>
      <c r="J573" s="18">
        <v>101385</v>
      </c>
      <c r="K573" s="19">
        <v>4</v>
      </c>
      <c r="N573" s="11" t="s">
        <v>519</v>
      </c>
      <c r="O573" s="11" t="s">
        <v>114</v>
      </c>
      <c r="P573" s="11" t="s">
        <v>40</v>
      </c>
      <c r="Q573" s="11" t="s">
        <v>41</v>
      </c>
      <c r="R573" s="20">
        <f>(41837+(3*365))+112</f>
        <v>43044</v>
      </c>
      <c r="S573" s="17">
        <v>6</v>
      </c>
      <c r="T573" s="17">
        <v>2815</v>
      </c>
    </row>
    <row r="574" spans="1:20" x14ac:dyDescent="0.2">
      <c r="A574" s="11" t="s">
        <v>1504</v>
      </c>
      <c r="B574" s="14" t="s">
        <v>27</v>
      </c>
      <c r="C574" s="11" t="s">
        <v>136</v>
      </c>
      <c r="D574" s="15">
        <v>938723321</v>
      </c>
      <c r="E574" s="11" t="s">
        <v>21</v>
      </c>
      <c r="F574" s="20">
        <v>42199</v>
      </c>
      <c r="G574" s="16" t="str">
        <f t="shared" si="16"/>
        <v>July</v>
      </c>
      <c r="H574" s="2">
        <f t="shared" ca="1" si="17"/>
        <v>3</v>
      </c>
      <c r="I574" s="17"/>
      <c r="J574" s="18">
        <v>121014</v>
      </c>
      <c r="K574" s="19">
        <v>4</v>
      </c>
      <c r="N574" s="11" t="s">
        <v>732</v>
      </c>
      <c r="O574" s="11" t="s">
        <v>23</v>
      </c>
      <c r="P574" s="11" t="s">
        <v>40</v>
      </c>
      <c r="Q574" s="11" t="s">
        <v>120</v>
      </c>
      <c r="R574" s="20">
        <f>(41921+(3*365))+112</f>
        <v>43128</v>
      </c>
      <c r="S574" s="17">
        <v>1</v>
      </c>
      <c r="T574" s="17">
        <v>590</v>
      </c>
    </row>
    <row r="575" spans="1:20" x14ac:dyDescent="0.2">
      <c r="A575" s="11" t="s">
        <v>564</v>
      </c>
      <c r="B575" s="14" t="s">
        <v>43</v>
      </c>
      <c r="C575" s="11" t="s">
        <v>214</v>
      </c>
      <c r="D575" s="15">
        <v>354619285</v>
      </c>
      <c r="E575" s="11" t="s">
        <v>29</v>
      </c>
      <c r="F575" s="20">
        <v>38978</v>
      </c>
      <c r="G575" s="16" t="str">
        <f t="shared" si="16"/>
        <v>September</v>
      </c>
      <c r="H575" s="2">
        <f t="shared" ca="1" si="17"/>
        <v>12</v>
      </c>
      <c r="I575" s="17" t="s">
        <v>87</v>
      </c>
      <c r="J575" s="18">
        <v>30591</v>
      </c>
      <c r="K575" s="19">
        <v>2</v>
      </c>
      <c r="N575" s="11" t="s">
        <v>1107</v>
      </c>
      <c r="O575" s="11" t="s">
        <v>78</v>
      </c>
      <c r="P575" s="11" t="s">
        <v>33</v>
      </c>
      <c r="Q575" s="11" t="s">
        <v>34</v>
      </c>
      <c r="R575" s="20">
        <f>(42040+(3*365))+112</f>
        <v>43247</v>
      </c>
      <c r="S575" s="17">
        <v>13</v>
      </c>
      <c r="T575" s="17">
        <v>7361</v>
      </c>
    </row>
    <row r="576" spans="1:20" x14ac:dyDescent="0.2">
      <c r="A576" s="11" t="s">
        <v>1326</v>
      </c>
      <c r="B576" s="14" t="s">
        <v>43</v>
      </c>
      <c r="C576" s="11" t="s">
        <v>145</v>
      </c>
      <c r="D576" s="15">
        <v>221347766</v>
      </c>
      <c r="E576" s="11" t="s">
        <v>21</v>
      </c>
      <c r="F576" s="20">
        <v>38926</v>
      </c>
      <c r="G576" s="16" t="str">
        <f t="shared" si="16"/>
        <v>July</v>
      </c>
      <c r="H576" s="2">
        <f t="shared" ca="1" si="17"/>
        <v>12</v>
      </c>
      <c r="I576" s="17"/>
      <c r="J576" s="18">
        <v>79718</v>
      </c>
      <c r="K576" s="19">
        <v>4</v>
      </c>
      <c r="N576" s="11" t="s">
        <v>1039</v>
      </c>
      <c r="O576" s="11" t="s">
        <v>54</v>
      </c>
      <c r="P576" s="11" t="s">
        <v>24</v>
      </c>
      <c r="Q576" s="11" t="s">
        <v>41</v>
      </c>
      <c r="R576" s="20">
        <f>(42019+(3*365))+112</f>
        <v>43226</v>
      </c>
      <c r="S576" s="17">
        <v>12</v>
      </c>
      <c r="T576" s="17">
        <v>3695</v>
      </c>
    </row>
    <row r="577" spans="1:20" x14ac:dyDescent="0.2">
      <c r="A577" s="11" t="s">
        <v>1270</v>
      </c>
      <c r="B577" s="14" t="s">
        <v>19</v>
      </c>
      <c r="C577" s="11" t="s">
        <v>52</v>
      </c>
      <c r="D577" s="15">
        <v>197789466</v>
      </c>
      <c r="E577" s="11" t="s">
        <v>21</v>
      </c>
      <c r="F577" s="20">
        <v>38593</v>
      </c>
      <c r="G577" s="16" t="str">
        <f t="shared" si="16"/>
        <v>August</v>
      </c>
      <c r="H577" s="2">
        <f t="shared" ca="1" si="17"/>
        <v>13</v>
      </c>
      <c r="I577" s="17"/>
      <c r="J577" s="18">
        <v>102627</v>
      </c>
      <c r="K577" s="19">
        <v>1</v>
      </c>
      <c r="N577" s="11" t="s">
        <v>272</v>
      </c>
      <c r="O577" s="11" t="s">
        <v>23</v>
      </c>
      <c r="P577" s="11" t="s">
        <v>65</v>
      </c>
      <c r="Q577" s="11" t="s">
        <v>25</v>
      </c>
      <c r="R577" s="20">
        <f>(41734+(3*365))+112</f>
        <v>42941</v>
      </c>
      <c r="S577" s="17">
        <v>6</v>
      </c>
      <c r="T577" s="17">
        <v>1930</v>
      </c>
    </row>
    <row r="578" spans="1:20" x14ac:dyDescent="0.2">
      <c r="A578" s="11" t="s">
        <v>471</v>
      </c>
      <c r="B578" s="14" t="s">
        <v>19</v>
      </c>
      <c r="C578" s="11" t="s">
        <v>214</v>
      </c>
      <c r="D578" s="15">
        <v>259573806</v>
      </c>
      <c r="E578" s="11" t="s">
        <v>29</v>
      </c>
      <c r="F578" s="20">
        <v>36504</v>
      </c>
      <c r="G578" s="16" t="str">
        <f t="shared" ref="G578:G641" si="18">CHOOSE(MONTH(F578),"January","February","March","April","May","June","July","August","September","October","November","December")</f>
        <v>December</v>
      </c>
      <c r="H578" s="2">
        <f t="shared" ref="H578:H641" ca="1" si="19">DATEDIF(F578,TODAY(),"Y")</f>
        <v>19</v>
      </c>
      <c r="I578" s="17" t="s">
        <v>71</v>
      </c>
      <c r="J578" s="18">
        <v>81513</v>
      </c>
      <c r="K578" s="19">
        <v>4</v>
      </c>
      <c r="N578" s="11" t="s">
        <v>1692</v>
      </c>
      <c r="O578" s="11" t="s">
        <v>125</v>
      </c>
      <c r="P578" s="11" t="s">
        <v>33</v>
      </c>
      <c r="Q578" s="11" t="s">
        <v>120</v>
      </c>
      <c r="R578" s="20">
        <f>(42342+(3*365))+112</f>
        <v>43549</v>
      </c>
      <c r="S578" s="17">
        <v>13</v>
      </c>
      <c r="T578" s="17">
        <v>6550</v>
      </c>
    </row>
    <row r="579" spans="1:20" x14ac:dyDescent="0.2">
      <c r="A579" s="11" t="s">
        <v>1086</v>
      </c>
      <c r="B579" s="14" t="s">
        <v>27</v>
      </c>
      <c r="C579" s="11" t="s">
        <v>136</v>
      </c>
      <c r="D579" s="15">
        <v>569882669</v>
      </c>
      <c r="E579" s="11" t="s">
        <v>29</v>
      </c>
      <c r="F579" s="20">
        <v>40424</v>
      </c>
      <c r="G579" s="16" t="str">
        <f t="shared" si="18"/>
        <v>September</v>
      </c>
      <c r="H579" s="2">
        <f t="shared" ca="1" si="19"/>
        <v>8</v>
      </c>
      <c r="I579" s="17" t="s">
        <v>87</v>
      </c>
      <c r="J579" s="18">
        <v>60885</v>
      </c>
      <c r="K579" s="19">
        <v>2</v>
      </c>
      <c r="N579" s="11" t="s">
        <v>1393</v>
      </c>
      <c r="O579" s="11" t="s">
        <v>23</v>
      </c>
      <c r="P579" s="11" t="s">
        <v>65</v>
      </c>
      <c r="Q579" s="11" t="s">
        <v>25</v>
      </c>
      <c r="R579" s="20">
        <f>(42165+(3*365))+112</f>
        <v>43372</v>
      </c>
      <c r="S579" s="17">
        <v>3</v>
      </c>
      <c r="T579" s="17">
        <v>1770</v>
      </c>
    </row>
    <row r="580" spans="1:20" x14ac:dyDescent="0.2">
      <c r="A580" s="11" t="s">
        <v>524</v>
      </c>
      <c r="B580" s="14" t="s">
        <v>27</v>
      </c>
      <c r="C580" s="11" t="s">
        <v>214</v>
      </c>
      <c r="D580" s="15">
        <v>798466688</v>
      </c>
      <c r="E580" s="11" t="s">
        <v>29</v>
      </c>
      <c r="F580" s="20">
        <v>43059</v>
      </c>
      <c r="G580" s="16" t="str">
        <f t="shared" si="18"/>
        <v>November</v>
      </c>
      <c r="H580" s="2">
        <f t="shared" ca="1" si="19"/>
        <v>1</v>
      </c>
      <c r="I580" s="17" t="s">
        <v>47</v>
      </c>
      <c r="J580" s="18">
        <v>48060</v>
      </c>
      <c r="K580" s="19">
        <v>5</v>
      </c>
      <c r="N580" s="11" t="s">
        <v>1137</v>
      </c>
      <c r="O580" s="11" t="s">
        <v>125</v>
      </c>
      <c r="P580" s="11" t="s">
        <v>65</v>
      </c>
      <c r="Q580" s="11" t="s">
        <v>120</v>
      </c>
      <c r="R580" s="20">
        <f>(42054+(3*365))+112</f>
        <v>43261</v>
      </c>
      <c r="S580" s="17">
        <v>2</v>
      </c>
      <c r="T580" s="17">
        <v>935</v>
      </c>
    </row>
    <row r="581" spans="1:20" x14ac:dyDescent="0.2">
      <c r="A581" s="11" t="s">
        <v>180</v>
      </c>
      <c r="B581" s="14" t="s">
        <v>19</v>
      </c>
      <c r="C581" s="11" t="s">
        <v>20</v>
      </c>
      <c r="D581" s="15">
        <v>459522265</v>
      </c>
      <c r="E581" s="11" t="s">
        <v>29</v>
      </c>
      <c r="F581" s="20">
        <v>36431</v>
      </c>
      <c r="G581" s="16" t="str">
        <f t="shared" si="18"/>
        <v>September</v>
      </c>
      <c r="H581" s="2">
        <f t="shared" ca="1" si="19"/>
        <v>19</v>
      </c>
      <c r="I581" s="17" t="s">
        <v>87</v>
      </c>
      <c r="J581" s="18">
        <v>82890</v>
      </c>
      <c r="K581" s="19">
        <v>5</v>
      </c>
      <c r="N581" s="11" t="s">
        <v>943</v>
      </c>
      <c r="O581" s="11" t="s">
        <v>78</v>
      </c>
      <c r="P581" s="11" t="s">
        <v>24</v>
      </c>
      <c r="Q581" s="11" t="s">
        <v>25</v>
      </c>
      <c r="R581" s="20">
        <f>(41997+(3*365))+112</f>
        <v>43204</v>
      </c>
      <c r="S581" s="17">
        <v>6</v>
      </c>
      <c r="T581" s="17">
        <v>3450</v>
      </c>
    </row>
    <row r="582" spans="1:20" x14ac:dyDescent="0.2">
      <c r="A582" s="11" t="s">
        <v>992</v>
      </c>
      <c r="B582" s="14" t="s">
        <v>43</v>
      </c>
      <c r="C582" s="11" t="s">
        <v>136</v>
      </c>
      <c r="D582" s="15">
        <v>160184934</v>
      </c>
      <c r="E582" s="11" t="s">
        <v>80</v>
      </c>
      <c r="F582" s="20">
        <v>37649</v>
      </c>
      <c r="G582" s="16" t="str">
        <f t="shared" si="18"/>
        <v>January</v>
      </c>
      <c r="H582" s="2">
        <f t="shared" ca="1" si="19"/>
        <v>16</v>
      </c>
      <c r="I582" s="17" t="s">
        <v>30</v>
      </c>
      <c r="J582" s="18">
        <v>14445</v>
      </c>
      <c r="K582" s="19">
        <v>4</v>
      </c>
      <c r="N582" s="11" t="s">
        <v>627</v>
      </c>
      <c r="O582" s="11" t="s">
        <v>125</v>
      </c>
      <c r="P582" s="11" t="s">
        <v>40</v>
      </c>
      <c r="Q582" s="11" t="s">
        <v>219</v>
      </c>
      <c r="R582" s="20">
        <f>(41879+(3*365))+112</f>
        <v>43086</v>
      </c>
      <c r="S582" s="17">
        <v>15</v>
      </c>
      <c r="T582" s="17">
        <v>6075</v>
      </c>
    </row>
    <row r="583" spans="1:20" x14ac:dyDescent="0.2">
      <c r="A583" s="11" t="s">
        <v>1354</v>
      </c>
      <c r="B583" s="14" t="s">
        <v>36</v>
      </c>
      <c r="C583" s="11" t="s">
        <v>152</v>
      </c>
      <c r="D583" s="15">
        <v>120224342</v>
      </c>
      <c r="E583" s="11" t="s">
        <v>56</v>
      </c>
      <c r="F583" s="20">
        <v>39314</v>
      </c>
      <c r="G583" s="16" t="str">
        <f t="shared" si="18"/>
        <v>August</v>
      </c>
      <c r="H583" s="2">
        <f t="shared" ca="1" si="19"/>
        <v>11</v>
      </c>
      <c r="I583" s="17"/>
      <c r="J583" s="18">
        <v>43924</v>
      </c>
      <c r="K583" s="19">
        <v>2</v>
      </c>
      <c r="N583" s="11" t="s">
        <v>444</v>
      </c>
      <c r="O583" s="11" t="s">
        <v>45</v>
      </c>
      <c r="P583" s="11" t="s">
        <v>24</v>
      </c>
      <c r="Q583" s="11" t="s">
        <v>41</v>
      </c>
      <c r="R583" s="20">
        <f>(41809+(3*365))+112</f>
        <v>43016</v>
      </c>
      <c r="S583" s="17">
        <v>6</v>
      </c>
      <c r="T583" s="17">
        <v>2075</v>
      </c>
    </row>
    <row r="584" spans="1:20" x14ac:dyDescent="0.2">
      <c r="A584" s="11" t="s">
        <v>1430</v>
      </c>
      <c r="B584" s="14" t="s">
        <v>27</v>
      </c>
      <c r="C584" s="11" t="s">
        <v>214</v>
      </c>
      <c r="D584" s="15">
        <v>618535019</v>
      </c>
      <c r="E584" s="11" t="s">
        <v>29</v>
      </c>
      <c r="F584" s="20">
        <v>38788</v>
      </c>
      <c r="G584" s="16" t="str">
        <f t="shared" si="18"/>
        <v>March</v>
      </c>
      <c r="H584" s="2">
        <f t="shared" ca="1" si="19"/>
        <v>13</v>
      </c>
      <c r="I584" s="17" t="s">
        <v>30</v>
      </c>
      <c r="J584" s="18">
        <v>121149</v>
      </c>
      <c r="K584" s="19">
        <v>5</v>
      </c>
      <c r="N584" s="11" t="s">
        <v>1033</v>
      </c>
      <c r="O584" s="11" t="s">
        <v>89</v>
      </c>
      <c r="P584" s="11" t="s">
        <v>40</v>
      </c>
      <c r="Q584" s="11" t="s">
        <v>34</v>
      </c>
      <c r="R584" s="20">
        <f>(42016+(3*365))+112</f>
        <v>43223</v>
      </c>
      <c r="S584" s="17">
        <v>6</v>
      </c>
      <c r="T584" s="17">
        <v>2910</v>
      </c>
    </row>
    <row r="585" spans="1:20" x14ac:dyDescent="0.2">
      <c r="A585" s="11" t="s">
        <v>131</v>
      </c>
      <c r="B585" s="14" t="s">
        <v>36</v>
      </c>
      <c r="C585" s="11" t="s">
        <v>101</v>
      </c>
      <c r="D585" s="15">
        <v>710460589</v>
      </c>
      <c r="E585" s="11" t="s">
        <v>29</v>
      </c>
      <c r="F585" s="20">
        <v>36035</v>
      </c>
      <c r="G585" s="16" t="str">
        <f t="shared" si="18"/>
        <v>August</v>
      </c>
      <c r="H585" s="2">
        <f t="shared" ca="1" si="19"/>
        <v>20</v>
      </c>
      <c r="I585" s="17" t="s">
        <v>30</v>
      </c>
      <c r="J585" s="18">
        <v>58199</v>
      </c>
      <c r="K585" s="19">
        <v>2</v>
      </c>
      <c r="N585" s="11" t="s">
        <v>798</v>
      </c>
      <c r="O585" s="11" t="s">
        <v>114</v>
      </c>
      <c r="P585" s="11" t="s">
        <v>33</v>
      </c>
      <c r="Q585" s="11" t="s">
        <v>25</v>
      </c>
      <c r="R585" s="20">
        <f>(41948+(3*365))+112</f>
        <v>43155</v>
      </c>
      <c r="S585" s="17">
        <v>2</v>
      </c>
      <c r="T585" s="17">
        <v>630</v>
      </c>
    </row>
    <row r="586" spans="1:20" x14ac:dyDescent="0.2">
      <c r="A586" s="11" t="s">
        <v>1222</v>
      </c>
      <c r="B586" s="14" t="s">
        <v>36</v>
      </c>
      <c r="C586" s="11" t="s">
        <v>145</v>
      </c>
      <c r="D586" s="15">
        <v>889210902</v>
      </c>
      <c r="E586" s="11" t="s">
        <v>29</v>
      </c>
      <c r="F586" s="20">
        <v>39370</v>
      </c>
      <c r="G586" s="16" t="str">
        <f t="shared" si="18"/>
        <v>October</v>
      </c>
      <c r="H586" s="2">
        <f t="shared" ca="1" si="19"/>
        <v>11</v>
      </c>
      <c r="I586" s="17" t="s">
        <v>30</v>
      </c>
      <c r="J586" s="18">
        <v>65138</v>
      </c>
      <c r="K586" s="19">
        <v>3</v>
      </c>
      <c r="N586" s="11" t="s">
        <v>456</v>
      </c>
      <c r="O586" s="11" t="s">
        <v>89</v>
      </c>
      <c r="P586" s="11" t="s">
        <v>24</v>
      </c>
      <c r="Q586" s="11" t="s">
        <v>219</v>
      </c>
      <c r="R586" s="20">
        <f>(41812+(3*365))+112</f>
        <v>43019</v>
      </c>
      <c r="S586" s="17">
        <v>6</v>
      </c>
      <c r="T586" s="17">
        <v>3485</v>
      </c>
    </row>
    <row r="587" spans="1:20" x14ac:dyDescent="0.2">
      <c r="A587" s="11" t="s">
        <v>723</v>
      </c>
      <c r="B587" s="14" t="s">
        <v>43</v>
      </c>
      <c r="C587" s="11" t="s">
        <v>214</v>
      </c>
      <c r="D587" s="15">
        <v>416394493</v>
      </c>
      <c r="E587" s="11" t="s">
        <v>29</v>
      </c>
      <c r="F587" s="20">
        <v>38794</v>
      </c>
      <c r="G587" s="16" t="str">
        <f t="shared" si="18"/>
        <v>March</v>
      </c>
      <c r="H587" s="2">
        <f t="shared" ca="1" si="19"/>
        <v>13</v>
      </c>
      <c r="I587" s="17" t="s">
        <v>38</v>
      </c>
      <c r="J587" s="18">
        <v>74858</v>
      </c>
      <c r="K587" s="19">
        <v>5</v>
      </c>
      <c r="N587" s="11" t="s">
        <v>282</v>
      </c>
      <c r="O587" s="11" t="s">
        <v>54</v>
      </c>
      <c r="P587" s="11" t="s">
        <v>33</v>
      </c>
      <c r="Q587" s="11" t="s">
        <v>25</v>
      </c>
      <c r="R587" s="20">
        <f>(41739+(3*365))+112</f>
        <v>42946</v>
      </c>
      <c r="S587" s="17">
        <v>13</v>
      </c>
      <c r="T587" s="17">
        <v>7240</v>
      </c>
    </row>
    <row r="588" spans="1:20" x14ac:dyDescent="0.2">
      <c r="A588" s="11" t="s">
        <v>966</v>
      </c>
      <c r="B588" s="14" t="s">
        <v>27</v>
      </c>
      <c r="C588" s="11" t="s">
        <v>254</v>
      </c>
      <c r="D588" s="15">
        <v>248820119</v>
      </c>
      <c r="E588" s="11" t="s">
        <v>29</v>
      </c>
      <c r="F588" s="20">
        <v>38759</v>
      </c>
      <c r="G588" s="16" t="str">
        <f t="shared" si="18"/>
        <v>February</v>
      </c>
      <c r="H588" s="2">
        <f t="shared" ca="1" si="19"/>
        <v>13</v>
      </c>
      <c r="I588" s="17" t="s">
        <v>47</v>
      </c>
      <c r="J588" s="18">
        <v>92502</v>
      </c>
      <c r="K588" s="19">
        <v>5</v>
      </c>
      <c r="N588" s="11" t="s">
        <v>1694</v>
      </c>
      <c r="O588" s="11" t="s">
        <v>49</v>
      </c>
      <c r="P588" s="11" t="s">
        <v>40</v>
      </c>
      <c r="Q588" s="11" t="s">
        <v>34</v>
      </c>
      <c r="R588" s="20">
        <f>(42343+(3*365))+112</f>
        <v>43550</v>
      </c>
      <c r="S588" s="17">
        <v>13</v>
      </c>
      <c r="T588" s="17">
        <v>6451</v>
      </c>
    </row>
    <row r="589" spans="1:20" x14ac:dyDescent="0.2">
      <c r="A589" s="11" t="s">
        <v>352</v>
      </c>
      <c r="B589" s="14" t="s">
        <v>19</v>
      </c>
      <c r="C589" s="11" t="s">
        <v>136</v>
      </c>
      <c r="D589" s="15">
        <v>191359642</v>
      </c>
      <c r="E589" s="11" t="s">
        <v>29</v>
      </c>
      <c r="F589" s="20">
        <v>36217</v>
      </c>
      <c r="G589" s="16" t="str">
        <f t="shared" si="18"/>
        <v>February</v>
      </c>
      <c r="H589" s="2">
        <f t="shared" ca="1" si="19"/>
        <v>20</v>
      </c>
      <c r="I589" s="17" t="s">
        <v>47</v>
      </c>
      <c r="J589" s="18">
        <v>32522</v>
      </c>
      <c r="K589" s="19">
        <v>4</v>
      </c>
      <c r="N589" s="11" t="s">
        <v>1113</v>
      </c>
      <c r="O589" s="11" t="s">
        <v>54</v>
      </c>
      <c r="P589" s="11" t="s">
        <v>40</v>
      </c>
      <c r="Q589" s="11" t="s">
        <v>219</v>
      </c>
      <c r="R589" s="20">
        <f>(42041+(3*365))+112</f>
        <v>43248</v>
      </c>
      <c r="S589" s="17">
        <v>9</v>
      </c>
      <c r="T589" s="17">
        <v>3025</v>
      </c>
    </row>
    <row r="590" spans="1:20" x14ac:dyDescent="0.2">
      <c r="A590" s="11" t="s">
        <v>1134</v>
      </c>
      <c r="B590" s="14" t="s">
        <v>43</v>
      </c>
      <c r="C590" s="11" t="s">
        <v>254</v>
      </c>
      <c r="D590" s="15">
        <v>869524136</v>
      </c>
      <c r="E590" s="11" t="s">
        <v>29</v>
      </c>
      <c r="F590" s="20">
        <v>38195</v>
      </c>
      <c r="G590" s="16" t="str">
        <f t="shared" si="18"/>
        <v>July</v>
      </c>
      <c r="H590" s="2">
        <f t="shared" ca="1" si="19"/>
        <v>14</v>
      </c>
      <c r="I590" s="17" t="s">
        <v>30</v>
      </c>
      <c r="J590" s="18">
        <v>58604</v>
      </c>
      <c r="K590" s="19">
        <v>1</v>
      </c>
      <c r="N590" s="11" t="s">
        <v>257</v>
      </c>
      <c r="O590" s="11" t="s">
        <v>64</v>
      </c>
      <c r="P590" s="11" t="s">
        <v>24</v>
      </c>
      <c r="Q590" s="11" t="s">
        <v>25</v>
      </c>
      <c r="R590" s="20">
        <f>(41725+(3*365))+112</f>
        <v>42932</v>
      </c>
      <c r="S590" s="17">
        <v>8</v>
      </c>
      <c r="T590" s="17">
        <v>4480</v>
      </c>
    </row>
    <row r="591" spans="1:20" x14ac:dyDescent="0.2">
      <c r="A591" s="11" t="s">
        <v>759</v>
      </c>
      <c r="B591" s="14" t="s">
        <v>27</v>
      </c>
      <c r="C591" s="11" t="s">
        <v>136</v>
      </c>
      <c r="D591" s="15">
        <v>967035612</v>
      </c>
      <c r="E591" s="11" t="s">
        <v>29</v>
      </c>
      <c r="F591" s="20">
        <v>37005</v>
      </c>
      <c r="G591" s="16" t="str">
        <f t="shared" si="18"/>
        <v>April</v>
      </c>
      <c r="H591" s="2">
        <f t="shared" ca="1" si="19"/>
        <v>18</v>
      </c>
      <c r="I591" s="17" t="s">
        <v>71</v>
      </c>
      <c r="J591" s="18">
        <v>85644</v>
      </c>
      <c r="K591" s="19">
        <v>3</v>
      </c>
      <c r="N591" s="11" t="s">
        <v>1529</v>
      </c>
      <c r="O591" s="11" t="s">
        <v>64</v>
      </c>
      <c r="P591" s="11" t="s">
        <v>33</v>
      </c>
      <c r="Q591" s="11" t="s">
        <v>219</v>
      </c>
      <c r="R591" s="20">
        <f>(42218+(3*365))+112</f>
        <v>43425</v>
      </c>
      <c r="S591" s="17">
        <v>5</v>
      </c>
      <c r="T591" s="17">
        <v>1710</v>
      </c>
    </row>
    <row r="592" spans="1:20" x14ac:dyDescent="0.2">
      <c r="A592" s="11" t="s">
        <v>275</v>
      </c>
      <c r="B592" s="14" t="s">
        <v>83</v>
      </c>
      <c r="C592" s="11" t="s">
        <v>265</v>
      </c>
      <c r="D592" s="15">
        <v>676831149</v>
      </c>
      <c r="E592" s="11" t="s">
        <v>29</v>
      </c>
      <c r="F592" s="20">
        <v>42244</v>
      </c>
      <c r="G592" s="16" t="str">
        <f t="shared" si="18"/>
        <v>August</v>
      </c>
      <c r="H592" s="2">
        <f t="shared" ca="1" si="19"/>
        <v>3</v>
      </c>
      <c r="I592" s="17" t="s">
        <v>47</v>
      </c>
      <c r="J592" s="18">
        <v>96012</v>
      </c>
      <c r="K592" s="19">
        <v>4</v>
      </c>
      <c r="N592" s="11" t="s">
        <v>1451</v>
      </c>
      <c r="O592" s="11" t="s">
        <v>78</v>
      </c>
      <c r="P592" s="11" t="s">
        <v>33</v>
      </c>
      <c r="Q592" s="11" t="s">
        <v>41</v>
      </c>
      <c r="R592" s="20">
        <f>(42188+(3*365))+112</f>
        <v>43395</v>
      </c>
      <c r="S592" s="17">
        <v>4</v>
      </c>
      <c r="T592" s="17">
        <v>1555</v>
      </c>
    </row>
    <row r="593" spans="1:20" x14ac:dyDescent="0.2">
      <c r="A593" s="11" t="s">
        <v>70</v>
      </c>
      <c r="B593" s="14" t="s">
        <v>36</v>
      </c>
      <c r="C593" s="11" t="s">
        <v>62</v>
      </c>
      <c r="D593" s="15">
        <v>456946966</v>
      </c>
      <c r="E593" s="11" t="s">
        <v>29</v>
      </c>
      <c r="F593" s="20">
        <v>39620</v>
      </c>
      <c r="G593" s="16" t="str">
        <f t="shared" si="18"/>
        <v>June</v>
      </c>
      <c r="H593" s="2">
        <f t="shared" ca="1" si="19"/>
        <v>10</v>
      </c>
      <c r="I593" s="17" t="s">
        <v>71</v>
      </c>
      <c r="J593" s="18">
        <v>101034</v>
      </c>
      <c r="K593" s="19">
        <v>4</v>
      </c>
      <c r="N593" s="11" t="s">
        <v>1085</v>
      </c>
      <c r="O593" s="11" t="s">
        <v>89</v>
      </c>
      <c r="P593" s="11" t="s">
        <v>40</v>
      </c>
      <c r="Q593" s="11" t="s">
        <v>120</v>
      </c>
      <c r="R593" s="20">
        <f>(42034+(3*365))+112</f>
        <v>43241</v>
      </c>
      <c r="S593" s="17">
        <v>8</v>
      </c>
      <c r="T593" s="17">
        <v>3470</v>
      </c>
    </row>
    <row r="594" spans="1:20" x14ac:dyDescent="0.2">
      <c r="A594" s="11" t="s">
        <v>129</v>
      </c>
      <c r="B594" s="14" t="s">
        <v>19</v>
      </c>
      <c r="C594" s="11" t="s">
        <v>127</v>
      </c>
      <c r="D594" s="15">
        <v>601942708</v>
      </c>
      <c r="E594" s="11" t="s">
        <v>80</v>
      </c>
      <c r="F594" s="20">
        <v>43008</v>
      </c>
      <c r="G594" s="16" t="str">
        <f t="shared" si="18"/>
        <v>September</v>
      </c>
      <c r="H594" s="2">
        <f t="shared" ca="1" si="19"/>
        <v>1</v>
      </c>
      <c r="I594" s="17" t="s">
        <v>30</v>
      </c>
      <c r="J594" s="18">
        <v>38718</v>
      </c>
      <c r="K594" s="19">
        <v>1</v>
      </c>
      <c r="N594" s="11" t="s">
        <v>684</v>
      </c>
      <c r="O594" s="11" t="s">
        <v>32</v>
      </c>
      <c r="P594" s="11" t="s">
        <v>24</v>
      </c>
      <c r="Q594" s="11" t="s">
        <v>41</v>
      </c>
      <c r="R594" s="20">
        <f>(41900+(3*365))+112</f>
        <v>43107</v>
      </c>
      <c r="S594" s="17">
        <v>8</v>
      </c>
      <c r="T594" s="17">
        <v>3625</v>
      </c>
    </row>
    <row r="595" spans="1:20" x14ac:dyDescent="0.2">
      <c r="A595" s="11" t="s">
        <v>1460</v>
      </c>
      <c r="B595" s="14" t="s">
        <v>36</v>
      </c>
      <c r="C595" s="11" t="s">
        <v>145</v>
      </c>
      <c r="D595" s="15">
        <v>313648228</v>
      </c>
      <c r="E595" s="11" t="s">
        <v>29</v>
      </c>
      <c r="F595" s="20">
        <v>40481</v>
      </c>
      <c r="G595" s="16" t="str">
        <f t="shared" si="18"/>
        <v>October</v>
      </c>
      <c r="H595" s="2">
        <f t="shared" ca="1" si="19"/>
        <v>8</v>
      </c>
      <c r="I595" s="17" t="s">
        <v>30</v>
      </c>
      <c r="J595" s="18">
        <v>111362</v>
      </c>
      <c r="K595" s="19">
        <v>5</v>
      </c>
      <c r="N595" s="11" t="s">
        <v>1297</v>
      </c>
      <c r="O595" s="11" t="s">
        <v>49</v>
      </c>
      <c r="P595" s="11" t="s">
        <v>24</v>
      </c>
      <c r="Q595" s="11" t="s">
        <v>41</v>
      </c>
      <c r="R595" s="20">
        <f>(42130+(3*365))+112</f>
        <v>43337</v>
      </c>
      <c r="S595" s="17">
        <v>7</v>
      </c>
      <c r="T595" s="17">
        <v>2875</v>
      </c>
    </row>
    <row r="596" spans="1:20" x14ac:dyDescent="0.2">
      <c r="A596" s="11" t="s">
        <v>628</v>
      </c>
      <c r="B596" s="14" t="s">
        <v>83</v>
      </c>
      <c r="C596" s="11" t="s">
        <v>214</v>
      </c>
      <c r="D596" s="15">
        <v>396727504</v>
      </c>
      <c r="E596" s="11" t="s">
        <v>21</v>
      </c>
      <c r="F596" s="20">
        <v>39456</v>
      </c>
      <c r="G596" s="16" t="str">
        <f t="shared" si="18"/>
        <v>January</v>
      </c>
      <c r="H596" s="2">
        <f t="shared" ca="1" si="19"/>
        <v>11</v>
      </c>
      <c r="I596" s="17"/>
      <c r="J596" s="18">
        <v>56484</v>
      </c>
      <c r="K596" s="19">
        <v>2</v>
      </c>
      <c r="N596" s="11" t="s">
        <v>551</v>
      </c>
      <c r="O596" s="11" t="s">
        <v>78</v>
      </c>
      <c r="P596" s="11" t="s">
        <v>65</v>
      </c>
      <c r="Q596" s="11" t="s">
        <v>41</v>
      </c>
      <c r="R596" s="20">
        <f>(41847+(3*365))+112</f>
        <v>43054</v>
      </c>
      <c r="S596" s="17">
        <v>9</v>
      </c>
      <c r="T596" s="17">
        <v>2745</v>
      </c>
    </row>
    <row r="597" spans="1:20" x14ac:dyDescent="0.2">
      <c r="A597" s="11" t="s">
        <v>186</v>
      </c>
      <c r="B597" s="14" t="s">
        <v>83</v>
      </c>
      <c r="C597" s="11" t="s">
        <v>20</v>
      </c>
      <c r="D597" s="15">
        <v>683222853</v>
      </c>
      <c r="E597" s="11" t="s">
        <v>21</v>
      </c>
      <c r="F597" s="20">
        <v>42778</v>
      </c>
      <c r="G597" s="16" t="str">
        <f t="shared" si="18"/>
        <v>February</v>
      </c>
      <c r="H597" s="2">
        <f t="shared" ca="1" si="19"/>
        <v>2</v>
      </c>
      <c r="I597" s="17"/>
      <c r="J597" s="18">
        <v>34817</v>
      </c>
      <c r="K597" s="19">
        <v>3</v>
      </c>
      <c r="N597" s="11" t="s">
        <v>1690</v>
      </c>
      <c r="O597" s="11" t="s">
        <v>114</v>
      </c>
      <c r="P597" s="11" t="s">
        <v>40</v>
      </c>
      <c r="Q597" s="11" t="s">
        <v>41</v>
      </c>
      <c r="R597" s="20">
        <f>(42340+(3*365))+112</f>
        <v>43547</v>
      </c>
      <c r="S597" s="17">
        <v>9</v>
      </c>
      <c r="T597" s="17">
        <v>3610</v>
      </c>
    </row>
    <row r="598" spans="1:20" x14ac:dyDescent="0.2">
      <c r="A598" s="11" t="s">
        <v>829</v>
      </c>
      <c r="B598" s="14" t="s">
        <v>51</v>
      </c>
      <c r="C598" s="11" t="s">
        <v>86</v>
      </c>
      <c r="D598" s="15">
        <v>345817459</v>
      </c>
      <c r="E598" s="11" t="s">
        <v>21</v>
      </c>
      <c r="F598" s="20">
        <v>39055</v>
      </c>
      <c r="G598" s="16" t="str">
        <f t="shared" si="18"/>
        <v>December</v>
      </c>
      <c r="H598" s="2">
        <f t="shared" ca="1" si="19"/>
        <v>12</v>
      </c>
      <c r="I598" s="17"/>
      <c r="J598" s="18">
        <v>42215</v>
      </c>
      <c r="K598" s="19">
        <v>5</v>
      </c>
      <c r="N598" s="11" t="s">
        <v>171</v>
      </c>
      <c r="O598" s="11" t="s">
        <v>117</v>
      </c>
      <c r="P598" s="11" t="s">
        <v>65</v>
      </c>
      <c r="Q598" s="11" t="s">
        <v>34</v>
      </c>
      <c r="R598" s="20">
        <f>(41685+(3*365))+112</f>
        <v>42892</v>
      </c>
      <c r="S598" s="17">
        <v>17</v>
      </c>
      <c r="T598" s="17">
        <v>7275</v>
      </c>
    </row>
    <row r="599" spans="1:20" x14ac:dyDescent="0.2">
      <c r="A599" s="11" t="s">
        <v>1520</v>
      </c>
      <c r="B599" s="14" t="s">
        <v>43</v>
      </c>
      <c r="C599" s="11" t="s">
        <v>152</v>
      </c>
      <c r="D599" s="15">
        <v>667745362</v>
      </c>
      <c r="E599" s="11" t="s">
        <v>21</v>
      </c>
      <c r="F599" s="20">
        <v>42584</v>
      </c>
      <c r="G599" s="16" t="str">
        <f t="shared" si="18"/>
        <v>August</v>
      </c>
      <c r="H599" s="2">
        <f t="shared" ca="1" si="19"/>
        <v>2</v>
      </c>
      <c r="I599" s="17"/>
      <c r="J599" s="18">
        <v>116154</v>
      </c>
      <c r="K599" s="19">
        <v>5</v>
      </c>
      <c r="N599" s="11" t="s">
        <v>1604</v>
      </c>
      <c r="O599" s="11" t="s">
        <v>45</v>
      </c>
      <c r="P599" s="11" t="s">
        <v>40</v>
      </c>
      <c r="Q599" s="11" t="s">
        <v>219</v>
      </c>
      <c r="R599" s="20">
        <f>(42270+(3*365))+112</f>
        <v>43477</v>
      </c>
      <c r="S599" s="17">
        <v>6</v>
      </c>
      <c r="T599" s="17">
        <v>3445</v>
      </c>
    </row>
    <row r="600" spans="1:20" x14ac:dyDescent="0.2">
      <c r="A600" s="11" t="s">
        <v>35</v>
      </c>
      <c r="B600" s="14" t="s">
        <v>36</v>
      </c>
      <c r="C600" s="4" t="s">
        <v>37</v>
      </c>
      <c r="D600" s="22">
        <v>991656720</v>
      </c>
      <c r="E600" s="4" t="s">
        <v>29</v>
      </c>
      <c r="F600" s="20">
        <v>42303</v>
      </c>
      <c r="G600" s="16" t="str">
        <f t="shared" si="18"/>
        <v>October</v>
      </c>
      <c r="H600" s="2">
        <f t="shared" ca="1" si="19"/>
        <v>3</v>
      </c>
      <c r="I600" s="17" t="s">
        <v>38</v>
      </c>
      <c r="J600" s="18">
        <v>98321</v>
      </c>
      <c r="K600" s="19">
        <v>2</v>
      </c>
      <c r="N600" s="11" t="s">
        <v>1638</v>
      </c>
      <c r="O600" s="11" t="s">
        <v>78</v>
      </c>
      <c r="P600" s="11" t="s">
        <v>40</v>
      </c>
      <c r="Q600" s="11" t="s">
        <v>41</v>
      </c>
      <c r="R600" s="20">
        <f>(42301+(3*365))+112</f>
        <v>43508</v>
      </c>
      <c r="S600" s="17">
        <v>6</v>
      </c>
      <c r="T600" s="17">
        <v>1865</v>
      </c>
    </row>
    <row r="601" spans="1:20" x14ac:dyDescent="0.2">
      <c r="A601" s="11" t="s">
        <v>550</v>
      </c>
      <c r="B601" s="14" t="s">
        <v>43</v>
      </c>
      <c r="C601" s="11" t="s">
        <v>214</v>
      </c>
      <c r="D601" s="15">
        <v>466947318</v>
      </c>
      <c r="E601" s="11" t="s">
        <v>29</v>
      </c>
      <c r="F601" s="20">
        <v>43434</v>
      </c>
      <c r="G601" s="16" t="str">
        <f t="shared" si="18"/>
        <v>November</v>
      </c>
      <c r="H601" s="2">
        <f t="shared" ca="1" si="19"/>
        <v>0</v>
      </c>
      <c r="I601" s="17" t="s">
        <v>47</v>
      </c>
      <c r="J601" s="18">
        <v>59157</v>
      </c>
      <c r="K601" s="19">
        <v>2</v>
      </c>
      <c r="N601" s="11" t="s">
        <v>1325</v>
      </c>
      <c r="O601" s="11" t="s">
        <v>78</v>
      </c>
      <c r="P601" s="11" t="s">
        <v>65</v>
      </c>
      <c r="Q601" s="11" t="s">
        <v>34</v>
      </c>
      <c r="R601" s="20">
        <f>(42141+(3*365))+112</f>
        <v>43348</v>
      </c>
      <c r="S601" s="17">
        <v>11</v>
      </c>
      <c r="T601" s="17">
        <v>3419</v>
      </c>
    </row>
    <row r="602" spans="1:20" x14ac:dyDescent="0.2">
      <c r="A602" s="11" t="s">
        <v>1352</v>
      </c>
      <c r="B602" s="14" t="s">
        <v>36</v>
      </c>
      <c r="C602" s="11" t="s">
        <v>152</v>
      </c>
      <c r="D602" s="15">
        <v>626648632</v>
      </c>
      <c r="E602" s="11" t="s">
        <v>21</v>
      </c>
      <c r="F602" s="20">
        <v>40309</v>
      </c>
      <c r="G602" s="16" t="str">
        <f t="shared" si="18"/>
        <v>May</v>
      </c>
      <c r="H602" s="2">
        <f t="shared" ca="1" si="19"/>
        <v>9</v>
      </c>
      <c r="I602" s="17"/>
      <c r="J602" s="18">
        <v>66272</v>
      </c>
      <c r="K602" s="19">
        <v>4</v>
      </c>
      <c r="N602" s="11" t="s">
        <v>1603</v>
      </c>
      <c r="O602" s="11" t="s">
        <v>75</v>
      </c>
      <c r="P602" s="11" t="s">
        <v>40</v>
      </c>
      <c r="Q602" s="11" t="s">
        <v>41</v>
      </c>
      <c r="R602" s="20">
        <f>(42270+(3*365))+112</f>
        <v>43477</v>
      </c>
      <c r="S602" s="17">
        <v>8</v>
      </c>
      <c r="T602" s="17">
        <v>2825</v>
      </c>
    </row>
    <row r="603" spans="1:20" x14ac:dyDescent="0.2">
      <c r="A603" s="11" t="s">
        <v>1502</v>
      </c>
      <c r="B603" s="14" t="s">
        <v>27</v>
      </c>
      <c r="C603" s="11" t="s">
        <v>145</v>
      </c>
      <c r="D603" s="15">
        <v>983047016</v>
      </c>
      <c r="E603" s="11" t="s">
        <v>21</v>
      </c>
      <c r="F603" s="20">
        <v>41649</v>
      </c>
      <c r="G603" s="16" t="str">
        <f t="shared" si="18"/>
        <v>January</v>
      </c>
      <c r="H603" s="2">
        <f t="shared" ca="1" si="19"/>
        <v>5</v>
      </c>
      <c r="I603" s="17"/>
      <c r="J603" s="18">
        <v>116006</v>
      </c>
      <c r="K603" s="19">
        <v>2</v>
      </c>
      <c r="N603" s="11" t="s">
        <v>1129</v>
      </c>
      <c r="O603" s="11" t="s">
        <v>49</v>
      </c>
      <c r="P603" s="11" t="s">
        <v>33</v>
      </c>
      <c r="Q603" s="11" t="s">
        <v>120</v>
      </c>
      <c r="R603" s="20">
        <f>(42047+(3*365))+112</f>
        <v>43254</v>
      </c>
      <c r="S603" s="17">
        <v>7</v>
      </c>
      <c r="T603" s="17">
        <v>2115</v>
      </c>
    </row>
    <row r="604" spans="1:20" x14ac:dyDescent="0.2">
      <c r="A604" s="11" t="s">
        <v>673</v>
      </c>
      <c r="B604" s="14" t="s">
        <v>43</v>
      </c>
      <c r="C604" s="11" t="s">
        <v>214</v>
      </c>
      <c r="D604" s="15">
        <v>138607245</v>
      </c>
      <c r="E604" s="11" t="s">
        <v>21</v>
      </c>
      <c r="F604" s="20">
        <v>36909</v>
      </c>
      <c r="G604" s="16" t="str">
        <f t="shared" si="18"/>
        <v>January</v>
      </c>
      <c r="H604" s="2">
        <f t="shared" ca="1" si="19"/>
        <v>18</v>
      </c>
      <c r="I604" s="17"/>
      <c r="J604" s="18">
        <v>106947</v>
      </c>
      <c r="K604" s="19">
        <v>4</v>
      </c>
      <c r="N604" s="11" t="s">
        <v>1605</v>
      </c>
      <c r="O604" s="11" t="s">
        <v>54</v>
      </c>
      <c r="P604" s="11" t="s">
        <v>65</v>
      </c>
      <c r="Q604" s="11" t="s">
        <v>120</v>
      </c>
      <c r="R604" s="20">
        <f>(42270+(3*365))+112</f>
        <v>43477</v>
      </c>
      <c r="S604" s="17">
        <v>6</v>
      </c>
      <c r="T604" s="17">
        <v>2375</v>
      </c>
    </row>
    <row r="605" spans="1:20" x14ac:dyDescent="0.2">
      <c r="A605" s="11" t="s">
        <v>1078</v>
      </c>
      <c r="B605" s="14" t="s">
        <v>36</v>
      </c>
      <c r="C605" s="11" t="s">
        <v>214</v>
      </c>
      <c r="D605" s="15">
        <v>906321388</v>
      </c>
      <c r="E605" s="11" t="s">
        <v>21</v>
      </c>
      <c r="F605" s="20">
        <v>38216</v>
      </c>
      <c r="G605" s="16" t="str">
        <f t="shared" si="18"/>
        <v>August</v>
      </c>
      <c r="H605" s="2">
        <f t="shared" ca="1" si="19"/>
        <v>14</v>
      </c>
      <c r="I605" s="17"/>
      <c r="J605" s="18">
        <v>38151</v>
      </c>
      <c r="K605" s="19">
        <v>5</v>
      </c>
      <c r="N605" s="11" t="s">
        <v>1349</v>
      </c>
      <c r="O605" s="11" t="s">
        <v>23</v>
      </c>
      <c r="P605" s="11" t="s">
        <v>65</v>
      </c>
      <c r="Q605" s="11" t="s">
        <v>41</v>
      </c>
      <c r="R605" s="20">
        <f>(42150+(3*365))+112</f>
        <v>43357</v>
      </c>
      <c r="S605" s="17">
        <v>12</v>
      </c>
      <c r="T605" s="17">
        <v>4415</v>
      </c>
    </row>
    <row r="606" spans="1:20" x14ac:dyDescent="0.2">
      <c r="A606" s="11" t="s">
        <v>739</v>
      </c>
      <c r="B606" s="14" t="s">
        <v>19</v>
      </c>
      <c r="C606" s="11" t="s">
        <v>214</v>
      </c>
      <c r="D606" s="15">
        <v>569701716</v>
      </c>
      <c r="E606" s="11" t="s">
        <v>80</v>
      </c>
      <c r="F606" s="20">
        <v>39033</v>
      </c>
      <c r="G606" s="16" t="str">
        <f t="shared" si="18"/>
        <v>November</v>
      </c>
      <c r="H606" s="2">
        <f t="shared" ca="1" si="19"/>
        <v>12</v>
      </c>
      <c r="I606" s="17" t="s">
        <v>38</v>
      </c>
      <c r="J606" s="18">
        <v>29255</v>
      </c>
      <c r="K606" s="19">
        <v>2</v>
      </c>
      <c r="N606" s="11" t="s">
        <v>290</v>
      </c>
      <c r="O606" s="11" t="s">
        <v>45</v>
      </c>
      <c r="P606" s="11" t="s">
        <v>40</v>
      </c>
      <c r="Q606" s="11" t="s">
        <v>120</v>
      </c>
      <c r="R606" s="20">
        <f>(41739+(3*365))+112</f>
        <v>42946</v>
      </c>
      <c r="S606" s="17">
        <v>13</v>
      </c>
      <c r="T606" s="17">
        <v>7590</v>
      </c>
    </row>
    <row r="607" spans="1:20" x14ac:dyDescent="0.2">
      <c r="A607" s="11" t="s">
        <v>731</v>
      </c>
      <c r="B607" s="14" t="s">
        <v>27</v>
      </c>
      <c r="C607" s="11" t="s">
        <v>86</v>
      </c>
      <c r="D607" s="15">
        <v>422957475</v>
      </c>
      <c r="E607" s="11" t="s">
        <v>29</v>
      </c>
      <c r="F607" s="20">
        <v>37033</v>
      </c>
      <c r="G607" s="16" t="str">
        <f t="shared" si="18"/>
        <v>May</v>
      </c>
      <c r="H607" s="2">
        <f t="shared" ca="1" si="19"/>
        <v>18</v>
      </c>
      <c r="I607" s="17" t="s">
        <v>30</v>
      </c>
      <c r="J607" s="18">
        <v>88088</v>
      </c>
      <c r="K607" s="19">
        <v>2</v>
      </c>
      <c r="N607" s="11" t="s">
        <v>1459</v>
      </c>
      <c r="O607" s="11" t="s">
        <v>23</v>
      </c>
      <c r="P607" s="11" t="s">
        <v>40</v>
      </c>
      <c r="Q607" s="11" t="s">
        <v>219</v>
      </c>
      <c r="R607" s="20">
        <f>(42192+(3*365))+112</f>
        <v>43399</v>
      </c>
      <c r="S607" s="17">
        <v>15</v>
      </c>
      <c r="T607" s="17">
        <v>4920</v>
      </c>
    </row>
    <row r="608" spans="1:20" x14ac:dyDescent="0.2">
      <c r="A608" s="11" t="s">
        <v>1362</v>
      </c>
      <c r="B608" s="14" t="s">
        <v>19</v>
      </c>
      <c r="C608" s="11" t="s">
        <v>864</v>
      </c>
      <c r="D608" s="15">
        <v>121688720</v>
      </c>
      <c r="E608" s="11" t="s">
        <v>21</v>
      </c>
      <c r="F608" s="20">
        <v>38423</v>
      </c>
      <c r="G608" s="16" t="str">
        <f t="shared" si="18"/>
        <v>March</v>
      </c>
      <c r="H608" s="2">
        <f t="shared" ca="1" si="19"/>
        <v>14</v>
      </c>
      <c r="I608" s="17"/>
      <c r="J608" s="18">
        <v>60507</v>
      </c>
      <c r="K608" s="19">
        <v>4</v>
      </c>
      <c r="N608" s="11" t="s">
        <v>1718</v>
      </c>
      <c r="O608" s="11" t="s">
        <v>54</v>
      </c>
      <c r="P608" s="11" t="s">
        <v>40</v>
      </c>
      <c r="Q608" s="11" t="s">
        <v>41</v>
      </c>
      <c r="R608" s="20">
        <f>(42361+(3*365))+112</f>
        <v>43568</v>
      </c>
      <c r="S608" s="17">
        <v>7</v>
      </c>
      <c r="T608" s="17">
        <v>3075</v>
      </c>
    </row>
    <row r="609" spans="1:20" x14ac:dyDescent="0.2">
      <c r="A609" s="11" t="s">
        <v>411</v>
      </c>
      <c r="B609" s="14" t="s">
        <v>51</v>
      </c>
      <c r="C609" s="11" t="s">
        <v>59</v>
      </c>
      <c r="D609" s="15">
        <v>281005046</v>
      </c>
      <c r="E609" s="11" t="s">
        <v>21</v>
      </c>
      <c r="F609" s="20">
        <v>42910</v>
      </c>
      <c r="G609" s="16" t="str">
        <f t="shared" si="18"/>
        <v>June</v>
      </c>
      <c r="H609" s="2">
        <f t="shared" ca="1" si="19"/>
        <v>1</v>
      </c>
      <c r="I609" s="17"/>
      <c r="J609" s="18">
        <v>76842</v>
      </c>
      <c r="K609" s="19">
        <v>4</v>
      </c>
      <c r="N609" s="11" t="s">
        <v>633</v>
      </c>
      <c r="O609" s="11" t="s">
        <v>117</v>
      </c>
      <c r="P609" s="11" t="s">
        <v>33</v>
      </c>
      <c r="Q609" s="11" t="s">
        <v>219</v>
      </c>
      <c r="R609" s="20">
        <f>(41886+(3*365))+112</f>
        <v>43093</v>
      </c>
      <c r="S609" s="17">
        <v>12</v>
      </c>
      <c r="T609" s="17">
        <v>6290</v>
      </c>
    </row>
    <row r="610" spans="1:20" x14ac:dyDescent="0.2">
      <c r="A610" s="11" t="s">
        <v>144</v>
      </c>
      <c r="B610" s="14" t="s">
        <v>43</v>
      </c>
      <c r="C610" s="11" t="s">
        <v>145</v>
      </c>
      <c r="D610" s="15">
        <v>352371400</v>
      </c>
      <c r="E610" s="11" t="s">
        <v>56</v>
      </c>
      <c r="F610" s="20">
        <v>36112</v>
      </c>
      <c r="G610" s="16" t="str">
        <f t="shared" si="18"/>
        <v>November</v>
      </c>
      <c r="H610" s="2">
        <f t="shared" ca="1" si="19"/>
        <v>20</v>
      </c>
      <c r="I610" s="17"/>
      <c r="J610" s="18">
        <v>41132</v>
      </c>
      <c r="K610" s="19">
        <v>2</v>
      </c>
      <c r="N610" s="11" t="s">
        <v>1628</v>
      </c>
      <c r="O610" s="11" t="s">
        <v>23</v>
      </c>
      <c r="P610" s="11" t="s">
        <v>24</v>
      </c>
      <c r="Q610" s="11" t="s">
        <v>219</v>
      </c>
      <c r="R610" s="20">
        <f>(42285+(3*365))+112</f>
        <v>43492</v>
      </c>
      <c r="S610" s="17">
        <v>1</v>
      </c>
      <c r="T610" s="17">
        <v>555</v>
      </c>
    </row>
    <row r="611" spans="1:20" x14ac:dyDescent="0.2">
      <c r="A611" s="11" t="s">
        <v>841</v>
      </c>
      <c r="B611" s="14" t="s">
        <v>43</v>
      </c>
      <c r="C611" s="11" t="s">
        <v>86</v>
      </c>
      <c r="D611" s="15">
        <v>132016163</v>
      </c>
      <c r="E611" s="11" t="s">
        <v>80</v>
      </c>
      <c r="F611" s="20">
        <v>42727</v>
      </c>
      <c r="G611" s="16" t="str">
        <f t="shared" si="18"/>
        <v>December</v>
      </c>
      <c r="H611" s="2">
        <f t="shared" ca="1" si="19"/>
        <v>2</v>
      </c>
      <c r="I611" s="17" t="s">
        <v>38</v>
      </c>
      <c r="J611" s="18">
        <v>52076</v>
      </c>
      <c r="K611" s="19">
        <v>2</v>
      </c>
      <c r="N611" s="11" t="s">
        <v>1672</v>
      </c>
      <c r="O611" s="11" t="s">
        <v>32</v>
      </c>
      <c r="P611" s="11" t="s">
        <v>40</v>
      </c>
      <c r="Q611" s="11" t="s">
        <v>219</v>
      </c>
      <c r="R611" s="20">
        <f>(42326+(3*365))+112</f>
        <v>43533</v>
      </c>
      <c r="S611" s="17">
        <v>3</v>
      </c>
      <c r="T611" s="17">
        <v>1030</v>
      </c>
    </row>
    <row r="612" spans="1:20" x14ac:dyDescent="0.2">
      <c r="A612" s="11" t="s">
        <v>1140</v>
      </c>
      <c r="B612" s="14" t="s">
        <v>36</v>
      </c>
      <c r="C612" s="11" t="s">
        <v>136</v>
      </c>
      <c r="D612" s="15">
        <v>920265140</v>
      </c>
      <c r="E612" s="11" t="s">
        <v>29</v>
      </c>
      <c r="F612" s="20">
        <v>41646</v>
      </c>
      <c r="G612" s="16" t="str">
        <f t="shared" si="18"/>
        <v>January</v>
      </c>
      <c r="H612" s="2">
        <f t="shared" ca="1" si="19"/>
        <v>5</v>
      </c>
      <c r="I612" s="17" t="s">
        <v>87</v>
      </c>
      <c r="J612" s="18">
        <v>84629</v>
      </c>
      <c r="K612" s="19">
        <v>3</v>
      </c>
      <c r="N612" s="11" t="s">
        <v>1671</v>
      </c>
      <c r="O612" s="11" t="s">
        <v>32</v>
      </c>
      <c r="P612" s="11" t="s">
        <v>33</v>
      </c>
      <c r="Q612" s="11" t="s">
        <v>219</v>
      </c>
      <c r="R612" s="20">
        <f>(42326+(3*365))+112</f>
        <v>43533</v>
      </c>
      <c r="S612" s="17">
        <v>8</v>
      </c>
      <c r="T612" s="17">
        <v>3800</v>
      </c>
    </row>
    <row r="613" spans="1:20" x14ac:dyDescent="0.2">
      <c r="A613" s="11" t="s">
        <v>1470</v>
      </c>
      <c r="B613" s="14" t="s">
        <v>83</v>
      </c>
      <c r="C613" s="11" t="s">
        <v>152</v>
      </c>
      <c r="D613" s="15">
        <v>276873359</v>
      </c>
      <c r="E613" s="11" t="s">
        <v>29</v>
      </c>
      <c r="F613" s="20">
        <v>42027</v>
      </c>
      <c r="G613" s="16" t="str">
        <f t="shared" si="18"/>
        <v>January</v>
      </c>
      <c r="H613" s="2">
        <f t="shared" ca="1" si="19"/>
        <v>4</v>
      </c>
      <c r="I613" s="17" t="s">
        <v>38</v>
      </c>
      <c r="J613" s="18">
        <v>34682</v>
      </c>
      <c r="K613" s="19">
        <v>2</v>
      </c>
      <c r="N613" s="11" t="s">
        <v>1271</v>
      </c>
      <c r="O613" s="11" t="s">
        <v>89</v>
      </c>
      <c r="P613" s="11" t="s">
        <v>65</v>
      </c>
      <c r="Q613" s="11" t="s">
        <v>25</v>
      </c>
      <c r="R613" s="20">
        <f>(42119+(3*365))+112</f>
        <v>43326</v>
      </c>
      <c r="S613" s="17">
        <v>14</v>
      </c>
      <c r="T613" s="17">
        <v>5850</v>
      </c>
    </row>
    <row r="614" spans="1:20" x14ac:dyDescent="0.2">
      <c r="A614" s="11" t="s">
        <v>554</v>
      </c>
      <c r="B614" s="14" t="s">
        <v>27</v>
      </c>
      <c r="C614" s="11" t="s">
        <v>145</v>
      </c>
      <c r="D614" s="15">
        <v>693965055</v>
      </c>
      <c r="E614" s="11" t="s">
        <v>29</v>
      </c>
      <c r="F614" s="20">
        <v>36567</v>
      </c>
      <c r="G614" s="16" t="str">
        <f t="shared" si="18"/>
        <v>February</v>
      </c>
      <c r="H614" s="2">
        <f t="shared" ca="1" si="19"/>
        <v>19</v>
      </c>
      <c r="I614" s="17" t="s">
        <v>47</v>
      </c>
      <c r="J614" s="18">
        <v>92435</v>
      </c>
      <c r="K614" s="19">
        <v>4</v>
      </c>
      <c r="N614" s="11" t="s">
        <v>963</v>
      </c>
      <c r="O614" s="11" t="s">
        <v>89</v>
      </c>
      <c r="P614" s="11" t="s">
        <v>33</v>
      </c>
      <c r="Q614" s="11" t="s">
        <v>120</v>
      </c>
      <c r="R614" s="20">
        <f>(42002+(3*365))+112</f>
        <v>43209</v>
      </c>
      <c r="S614" s="17">
        <v>8</v>
      </c>
      <c r="T614" s="17">
        <v>4265</v>
      </c>
    </row>
    <row r="615" spans="1:20" x14ac:dyDescent="0.2">
      <c r="A615" s="11" t="s">
        <v>709</v>
      </c>
      <c r="B615" s="14" t="s">
        <v>27</v>
      </c>
      <c r="C615" s="11" t="s">
        <v>214</v>
      </c>
      <c r="D615" s="15">
        <v>399060898</v>
      </c>
      <c r="E615" s="11" t="s">
        <v>21</v>
      </c>
      <c r="F615" s="20">
        <v>41177</v>
      </c>
      <c r="G615" s="16" t="str">
        <f t="shared" si="18"/>
        <v>September</v>
      </c>
      <c r="H615" s="2">
        <f t="shared" ca="1" si="19"/>
        <v>6</v>
      </c>
      <c r="I615" s="17"/>
      <c r="J615" s="18">
        <v>51273</v>
      </c>
      <c r="K615" s="19">
        <v>4</v>
      </c>
      <c r="N615" s="11" t="s">
        <v>460</v>
      </c>
      <c r="O615" s="11" t="s">
        <v>64</v>
      </c>
      <c r="P615" s="11" t="s">
        <v>24</v>
      </c>
      <c r="Q615" s="11" t="s">
        <v>25</v>
      </c>
      <c r="R615" s="20">
        <f>(41813+(3*365))+112</f>
        <v>43020</v>
      </c>
      <c r="S615" s="17">
        <v>3</v>
      </c>
      <c r="T615" s="17">
        <v>1645</v>
      </c>
    </row>
    <row r="616" spans="1:20" x14ac:dyDescent="0.2">
      <c r="A616" s="11" t="s">
        <v>1368</v>
      </c>
      <c r="B616" s="14" t="s">
        <v>51</v>
      </c>
      <c r="C616" s="11" t="s">
        <v>136</v>
      </c>
      <c r="D616" s="15">
        <v>698472533</v>
      </c>
      <c r="E616" s="11" t="s">
        <v>21</v>
      </c>
      <c r="F616" s="20">
        <v>38555</v>
      </c>
      <c r="G616" s="16" t="str">
        <f t="shared" si="18"/>
        <v>July</v>
      </c>
      <c r="H616" s="2">
        <f t="shared" ca="1" si="19"/>
        <v>13</v>
      </c>
      <c r="I616" s="17"/>
      <c r="J616" s="18">
        <v>48911</v>
      </c>
      <c r="K616" s="19">
        <v>2</v>
      </c>
      <c r="N616" s="11" t="s">
        <v>513</v>
      </c>
      <c r="O616" s="11" t="s">
        <v>54</v>
      </c>
      <c r="P616" s="11" t="s">
        <v>33</v>
      </c>
      <c r="Q616" s="11" t="s">
        <v>120</v>
      </c>
      <c r="R616" s="20">
        <f>(41834+(3*365))+112</f>
        <v>43041</v>
      </c>
      <c r="S616" s="17">
        <v>14</v>
      </c>
      <c r="T616" s="17">
        <v>4550</v>
      </c>
    </row>
    <row r="617" spans="1:20" x14ac:dyDescent="0.2">
      <c r="A617" s="11" t="s">
        <v>570</v>
      </c>
      <c r="B617" s="14" t="s">
        <v>27</v>
      </c>
      <c r="C617" s="11" t="s">
        <v>145</v>
      </c>
      <c r="D617" s="15">
        <v>195772503</v>
      </c>
      <c r="E617" s="11" t="s">
        <v>21</v>
      </c>
      <c r="F617" s="20">
        <v>36770</v>
      </c>
      <c r="G617" s="16" t="str">
        <f t="shared" si="18"/>
        <v>September</v>
      </c>
      <c r="H617" s="2">
        <f t="shared" ca="1" si="19"/>
        <v>18</v>
      </c>
      <c r="I617" s="17"/>
      <c r="J617" s="18">
        <v>75182</v>
      </c>
      <c r="K617" s="19">
        <v>2</v>
      </c>
      <c r="N617" s="11" t="s">
        <v>286</v>
      </c>
      <c r="O617" s="11" t="s">
        <v>32</v>
      </c>
      <c r="P617" s="11" t="s">
        <v>33</v>
      </c>
      <c r="Q617" s="11" t="s">
        <v>219</v>
      </c>
      <c r="R617" s="20">
        <f>(41739+(3*365))+112</f>
        <v>42946</v>
      </c>
      <c r="S617" s="17">
        <v>6</v>
      </c>
      <c r="T617" s="17">
        <v>3220</v>
      </c>
    </row>
    <row r="618" spans="1:20" x14ac:dyDescent="0.2">
      <c r="A618" s="11" t="s">
        <v>1310</v>
      </c>
      <c r="B618" s="14" t="s">
        <v>43</v>
      </c>
      <c r="C618" s="11" t="s">
        <v>214</v>
      </c>
      <c r="D618" s="15">
        <v>661850671</v>
      </c>
      <c r="E618" s="11" t="s">
        <v>56</v>
      </c>
      <c r="F618" s="20">
        <v>38685</v>
      </c>
      <c r="G618" s="16" t="str">
        <f t="shared" si="18"/>
        <v>November</v>
      </c>
      <c r="H618" s="2">
        <f t="shared" ca="1" si="19"/>
        <v>13</v>
      </c>
      <c r="I618" s="17"/>
      <c r="J618" s="18">
        <v>39388</v>
      </c>
      <c r="K618" s="19">
        <v>3</v>
      </c>
      <c r="N618" s="11" t="s">
        <v>1631</v>
      </c>
      <c r="O618" s="11" t="s">
        <v>75</v>
      </c>
      <c r="P618" s="11" t="s">
        <v>40</v>
      </c>
      <c r="Q618" s="11" t="s">
        <v>34</v>
      </c>
      <c r="R618" s="20">
        <f>(42287+(3*365))+112</f>
        <v>43494</v>
      </c>
      <c r="S618" s="17">
        <v>8</v>
      </c>
      <c r="T618" s="17">
        <v>3080</v>
      </c>
    </row>
    <row r="619" spans="1:20" x14ac:dyDescent="0.2">
      <c r="A619" s="11" t="s">
        <v>1328</v>
      </c>
      <c r="B619" s="14" t="s">
        <v>27</v>
      </c>
      <c r="C619" s="11" t="s">
        <v>145</v>
      </c>
      <c r="D619" s="15">
        <v>125540405</v>
      </c>
      <c r="E619" s="11" t="s">
        <v>29</v>
      </c>
      <c r="F619" s="20">
        <v>39101</v>
      </c>
      <c r="G619" s="16" t="str">
        <f t="shared" si="18"/>
        <v>January</v>
      </c>
      <c r="H619" s="2">
        <f t="shared" ca="1" si="19"/>
        <v>12</v>
      </c>
      <c r="I619" s="17" t="s">
        <v>47</v>
      </c>
      <c r="J619" s="18">
        <v>78854</v>
      </c>
      <c r="K619" s="19">
        <v>5</v>
      </c>
      <c r="N619" s="11" t="s">
        <v>1521</v>
      </c>
      <c r="O619" s="11" t="s">
        <v>54</v>
      </c>
      <c r="P619" s="11" t="s">
        <v>40</v>
      </c>
      <c r="Q619" s="11" t="s">
        <v>120</v>
      </c>
      <c r="R619" s="20">
        <f>(42214+(3*365))+112</f>
        <v>43421</v>
      </c>
      <c r="S619" s="17">
        <v>10</v>
      </c>
      <c r="T619" s="17">
        <v>3280</v>
      </c>
    </row>
    <row r="620" spans="1:20" x14ac:dyDescent="0.2">
      <c r="A620" s="11" t="s">
        <v>273</v>
      </c>
      <c r="B620" s="14" t="s">
        <v>19</v>
      </c>
      <c r="C620" s="11" t="s">
        <v>265</v>
      </c>
      <c r="D620" s="15">
        <v>106966222</v>
      </c>
      <c r="E620" s="11" t="s">
        <v>21</v>
      </c>
      <c r="F620" s="20">
        <v>42385</v>
      </c>
      <c r="G620" s="16" t="str">
        <f t="shared" si="18"/>
        <v>January</v>
      </c>
      <c r="H620" s="2">
        <f t="shared" ca="1" si="19"/>
        <v>3</v>
      </c>
      <c r="I620" s="17"/>
      <c r="J620" s="18">
        <v>48087</v>
      </c>
      <c r="K620" s="19">
        <v>4</v>
      </c>
      <c r="N620" s="11" t="s">
        <v>385</v>
      </c>
      <c r="O620" s="11" t="s">
        <v>125</v>
      </c>
      <c r="P620" s="11" t="s">
        <v>24</v>
      </c>
      <c r="Q620" s="11" t="s">
        <v>25</v>
      </c>
      <c r="R620" s="20">
        <f>(41778+(3*365))+112</f>
        <v>42985</v>
      </c>
      <c r="S620" s="17">
        <v>5</v>
      </c>
      <c r="T620" s="17">
        <v>1755</v>
      </c>
    </row>
    <row r="621" spans="1:20" x14ac:dyDescent="0.2">
      <c r="A621" s="11" t="s">
        <v>475</v>
      </c>
      <c r="B621" s="14" t="s">
        <v>43</v>
      </c>
      <c r="C621" s="11" t="s">
        <v>214</v>
      </c>
      <c r="D621" s="15">
        <v>467030396</v>
      </c>
      <c r="E621" s="11" t="s">
        <v>29</v>
      </c>
      <c r="F621" s="20">
        <v>36576</v>
      </c>
      <c r="G621" s="16" t="str">
        <f t="shared" si="18"/>
        <v>February</v>
      </c>
      <c r="H621" s="2">
        <f t="shared" ca="1" si="19"/>
        <v>19</v>
      </c>
      <c r="I621" s="17" t="s">
        <v>30</v>
      </c>
      <c r="J621" s="18">
        <v>79529</v>
      </c>
      <c r="K621" s="19">
        <v>1</v>
      </c>
      <c r="N621" s="11" t="s">
        <v>1533</v>
      </c>
      <c r="O621" s="11" t="s">
        <v>125</v>
      </c>
      <c r="P621" s="11" t="s">
        <v>33</v>
      </c>
      <c r="Q621" s="11" t="s">
        <v>219</v>
      </c>
      <c r="R621" s="20">
        <f>(42221+(3*365))+112</f>
        <v>43428</v>
      </c>
      <c r="S621" s="17">
        <v>5</v>
      </c>
      <c r="T621" s="17">
        <v>1875</v>
      </c>
    </row>
    <row r="622" spans="1:20" x14ac:dyDescent="0.2">
      <c r="A622" s="11" t="s">
        <v>924</v>
      </c>
      <c r="B622" s="14" t="s">
        <v>19</v>
      </c>
      <c r="C622" s="11" t="s">
        <v>254</v>
      </c>
      <c r="D622" s="15">
        <v>816607187</v>
      </c>
      <c r="E622" s="11" t="s">
        <v>56</v>
      </c>
      <c r="F622" s="20">
        <v>43308</v>
      </c>
      <c r="G622" s="16" t="str">
        <f t="shared" si="18"/>
        <v>July</v>
      </c>
      <c r="H622" s="2">
        <f t="shared" ca="1" si="19"/>
        <v>0</v>
      </c>
      <c r="I622" s="17"/>
      <c r="J622" s="18">
        <v>12393</v>
      </c>
      <c r="K622" s="19">
        <v>3</v>
      </c>
      <c r="N622" s="11" t="s">
        <v>77</v>
      </c>
      <c r="O622" s="11" t="s">
        <v>78</v>
      </c>
      <c r="P622" s="11" t="s">
        <v>24</v>
      </c>
      <c r="Q622" s="11" t="s">
        <v>34</v>
      </c>
      <c r="R622" s="20">
        <f>(41654+(3*365))+112</f>
        <v>42861</v>
      </c>
      <c r="S622" s="17">
        <v>11</v>
      </c>
      <c r="T622" s="17">
        <v>6032</v>
      </c>
    </row>
    <row r="623" spans="1:20" x14ac:dyDescent="0.2">
      <c r="A623" s="11" t="s">
        <v>156</v>
      </c>
      <c r="B623" s="14" t="s">
        <v>43</v>
      </c>
      <c r="C623" s="4" t="s">
        <v>37</v>
      </c>
      <c r="D623" s="22">
        <v>914428485</v>
      </c>
      <c r="E623" s="4" t="s">
        <v>80</v>
      </c>
      <c r="F623" s="20">
        <v>36146</v>
      </c>
      <c r="G623" s="16" t="str">
        <f t="shared" si="18"/>
        <v>December</v>
      </c>
      <c r="H623" s="2">
        <f t="shared" ca="1" si="19"/>
        <v>20</v>
      </c>
      <c r="I623" s="17" t="s">
        <v>87</v>
      </c>
      <c r="J623" s="18">
        <v>36173</v>
      </c>
      <c r="K623" s="19">
        <v>4</v>
      </c>
      <c r="N623" s="11" t="s">
        <v>1095</v>
      </c>
      <c r="O623" s="11" t="s">
        <v>54</v>
      </c>
      <c r="P623" s="11" t="s">
        <v>65</v>
      </c>
      <c r="Q623" s="11" t="s">
        <v>41</v>
      </c>
      <c r="R623" s="20">
        <f>(42037+(3*365))+112</f>
        <v>43244</v>
      </c>
      <c r="S623" s="17">
        <v>4</v>
      </c>
      <c r="T623" s="17">
        <v>1310</v>
      </c>
    </row>
    <row r="624" spans="1:20" x14ac:dyDescent="0.2">
      <c r="A624" s="11" t="s">
        <v>954</v>
      </c>
      <c r="B624" s="14" t="s">
        <v>27</v>
      </c>
      <c r="C624" s="11" t="s">
        <v>214</v>
      </c>
      <c r="D624" s="15">
        <v>565952209</v>
      </c>
      <c r="E624" s="11" t="s">
        <v>29</v>
      </c>
      <c r="F624" s="20">
        <v>37827</v>
      </c>
      <c r="G624" s="16" t="str">
        <f t="shared" si="18"/>
        <v>July</v>
      </c>
      <c r="H624" s="2">
        <f t="shared" ca="1" si="19"/>
        <v>15</v>
      </c>
      <c r="I624" s="17" t="s">
        <v>30</v>
      </c>
      <c r="J624" s="18">
        <v>90518</v>
      </c>
      <c r="K624" s="19">
        <v>4</v>
      </c>
      <c r="N624" s="11" t="s">
        <v>72</v>
      </c>
      <c r="O624" s="11" t="s">
        <v>32</v>
      </c>
      <c r="P624" s="11" t="s">
        <v>24</v>
      </c>
      <c r="Q624" s="11" t="s">
        <v>25</v>
      </c>
      <c r="R624" s="20">
        <f>(41653+(3*365))+112</f>
        <v>42860</v>
      </c>
      <c r="S624" s="17">
        <v>10</v>
      </c>
      <c r="T624" s="21">
        <v>4260</v>
      </c>
    </row>
    <row r="625" spans="1:20" x14ac:dyDescent="0.2">
      <c r="A625" s="11" t="s">
        <v>807</v>
      </c>
      <c r="B625" s="14" t="s">
        <v>19</v>
      </c>
      <c r="C625" s="11" t="s">
        <v>152</v>
      </c>
      <c r="D625" s="15">
        <v>750006979</v>
      </c>
      <c r="E625" s="11" t="s">
        <v>80</v>
      </c>
      <c r="F625" s="20">
        <v>36898</v>
      </c>
      <c r="G625" s="16" t="str">
        <f t="shared" si="18"/>
        <v>January</v>
      </c>
      <c r="H625" s="2">
        <f t="shared" ca="1" si="19"/>
        <v>18</v>
      </c>
      <c r="I625" s="17" t="s">
        <v>38</v>
      </c>
      <c r="J625" s="18">
        <v>37409</v>
      </c>
      <c r="K625" s="19">
        <v>3</v>
      </c>
      <c r="N625" s="11" t="s">
        <v>1647</v>
      </c>
      <c r="O625" s="11" t="s">
        <v>89</v>
      </c>
      <c r="P625" s="11" t="s">
        <v>33</v>
      </c>
      <c r="Q625" s="11" t="s">
        <v>41</v>
      </c>
      <c r="R625" s="20">
        <f>(42308+(3*365))+112</f>
        <v>43515</v>
      </c>
      <c r="S625" s="17">
        <v>2</v>
      </c>
      <c r="T625" s="17">
        <v>1155</v>
      </c>
    </row>
    <row r="626" spans="1:20" x14ac:dyDescent="0.2">
      <c r="A626" s="11" t="s">
        <v>1426</v>
      </c>
      <c r="B626" s="14" t="s">
        <v>83</v>
      </c>
      <c r="C626" s="11" t="s">
        <v>152</v>
      </c>
      <c r="D626" s="15">
        <v>658842625</v>
      </c>
      <c r="E626" s="11" t="s">
        <v>80</v>
      </c>
      <c r="F626" s="20">
        <v>38909</v>
      </c>
      <c r="G626" s="16" t="str">
        <f t="shared" si="18"/>
        <v>July</v>
      </c>
      <c r="H626" s="2">
        <f t="shared" ca="1" si="19"/>
        <v>12</v>
      </c>
      <c r="I626" s="17" t="s">
        <v>71</v>
      </c>
      <c r="J626" s="18">
        <v>62242</v>
      </c>
      <c r="K626" s="19">
        <v>5</v>
      </c>
      <c r="N626" s="11" t="s">
        <v>1383</v>
      </c>
      <c r="O626" s="11" t="s">
        <v>32</v>
      </c>
      <c r="P626" s="11" t="s">
        <v>40</v>
      </c>
      <c r="Q626" s="11" t="s">
        <v>34</v>
      </c>
      <c r="R626" s="20">
        <f>(42158+(3*365))+112</f>
        <v>43365</v>
      </c>
      <c r="S626" s="17">
        <v>14</v>
      </c>
      <c r="T626" s="17">
        <v>8089</v>
      </c>
    </row>
    <row r="627" spans="1:20" x14ac:dyDescent="0.2">
      <c r="A627" s="11" t="s">
        <v>592</v>
      </c>
      <c r="B627" s="14" t="s">
        <v>27</v>
      </c>
      <c r="C627" s="11" t="s">
        <v>214</v>
      </c>
      <c r="D627" s="15">
        <v>635767088</v>
      </c>
      <c r="E627" s="11" t="s">
        <v>21</v>
      </c>
      <c r="F627" s="20">
        <v>39833</v>
      </c>
      <c r="G627" s="16" t="str">
        <f t="shared" si="18"/>
        <v>January</v>
      </c>
      <c r="H627" s="2">
        <f t="shared" ca="1" si="19"/>
        <v>10</v>
      </c>
      <c r="I627" s="17"/>
      <c r="J627" s="18">
        <v>92489</v>
      </c>
      <c r="K627" s="19">
        <v>5</v>
      </c>
      <c r="N627" s="11" t="s">
        <v>252</v>
      </c>
      <c r="O627" s="11" t="s">
        <v>49</v>
      </c>
      <c r="P627" s="11" t="s">
        <v>65</v>
      </c>
      <c r="Q627" s="11" t="s">
        <v>120</v>
      </c>
      <c r="R627" s="20">
        <f>(41720+(3*365))+112</f>
        <v>42927</v>
      </c>
      <c r="S627" s="17">
        <v>9</v>
      </c>
      <c r="T627" s="17">
        <v>4480</v>
      </c>
    </row>
    <row r="628" spans="1:20" x14ac:dyDescent="0.2">
      <c r="A628" s="11" t="s">
        <v>1312</v>
      </c>
      <c r="B628" s="14" t="s">
        <v>43</v>
      </c>
      <c r="C628" s="11" t="s">
        <v>214</v>
      </c>
      <c r="D628" s="15">
        <v>136620388</v>
      </c>
      <c r="E628" s="11" t="s">
        <v>29</v>
      </c>
      <c r="F628" s="20">
        <v>38570</v>
      </c>
      <c r="G628" s="16" t="str">
        <f t="shared" si="18"/>
        <v>August</v>
      </c>
      <c r="H628" s="2">
        <f t="shared" ca="1" si="19"/>
        <v>13</v>
      </c>
      <c r="I628" s="17" t="s">
        <v>87</v>
      </c>
      <c r="J628" s="18">
        <v>94527</v>
      </c>
      <c r="K628" s="19">
        <v>3</v>
      </c>
      <c r="N628" s="11" t="s">
        <v>768</v>
      </c>
      <c r="O628" s="11" t="s">
        <v>45</v>
      </c>
      <c r="P628" s="11" t="s">
        <v>65</v>
      </c>
      <c r="Q628" s="11" t="s">
        <v>120</v>
      </c>
      <c r="R628" s="20">
        <f>(41938+(3*365))+112</f>
        <v>43145</v>
      </c>
      <c r="S628" s="17">
        <v>5</v>
      </c>
      <c r="T628" s="17">
        <v>1800</v>
      </c>
    </row>
    <row r="629" spans="1:20" x14ac:dyDescent="0.2">
      <c r="A629" s="11" t="s">
        <v>1220</v>
      </c>
      <c r="B629" s="14" t="s">
        <v>43</v>
      </c>
      <c r="C629" s="11" t="s">
        <v>145</v>
      </c>
      <c r="D629" s="15">
        <v>518009092</v>
      </c>
      <c r="E629" s="11" t="s">
        <v>56</v>
      </c>
      <c r="F629" s="20">
        <v>38725</v>
      </c>
      <c r="G629" s="16" t="str">
        <f t="shared" si="18"/>
        <v>January</v>
      </c>
      <c r="H629" s="2">
        <f t="shared" ca="1" si="19"/>
        <v>13</v>
      </c>
      <c r="I629" s="17"/>
      <c r="J629" s="18">
        <v>24181</v>
      </c>
      <c r="K629" s="19">
        <v>5</v>
      </c>
      <c r="N629" s="11" t="s">
        <v>603</v>
      </c>
      <c r="O629" s="11" t="s">
        <v>75</v>
      </c>
      <c r="P629" s="11" t="s">
        <v>65</v>
      </c>
      <c r="Q629" s="11" t="s">
        <v>41</v>
      </c>
      <c r="R629" s="20">
        <f>(41871+(3*365))+112</f>
        <v>43078</v>
      </c>
      <c r="S629" s="17">
        <v>3</v>
      </c>
      <c r="T629" s="17">
        <v>965</v>
      </c>
    </row>
    <row r="630" spans="1:20" x14ac:dyDescent="0.2">
      <c r="A630" s="11" t="s">
        <v>388</v>
      </c>
      <c r="B630" s="14" t="s">
        <v>27</v>
      </c>
      <c r="C630" s="11" t="s">
        <v>152</v>
      </c>
      <c r="D630" s="15">
        <v>277423593</v>
      </c>
      <c r="E630" s="11" t="s">
        <v>80</v>
      </c>
      <c r="F630" s="20">
        <v>36247</v>
      </c>
      <c r="G630" s="16" t="str">
        <f t="shared" si="18"/>
        <v>March</v>
      </c>
      <c r="H630" s="2">
        <f t="shared" ca="1" si="19"/>
        <v>20</v>
      </c>
      <c r="I630" s="17" t="s">
        <v>30</v>
      </c>
      <c r="J630" s="18">
        <v>18164</v>
      </c>
      <c r="K630" s="19">
        <v>2</v>
      </c>
      <c r="N630" s="11" t="s">
        <v>1549</v>
      </c>
      <c r="O630" s="11" t="s">
        <v>89</v>
      </c>
      <c r="P630" s="11" t="s">
        <v>65</v>
      </c>
      <c r="Q630" s="11" t="s">
        <v>41</v>
      </c>
      <c r="R630" s="20">
        <f>(42228+(3*365))+112</f>
        <v>43435</v>
      </c>
      <c r="S630" s="17">
        <v>13</v>
      </c>
      <c r="T630" s="17">
        <v>7760</v>
      </c>
    </row>
    <row r="631" spans="1:20" x14ac:dyDescent="0.2">
      <c r="A631" s="11" t="s">
        <v>184</v>
      </c>
      <c r="B631" s="14" t="s">
        <v>43</v>
      </c>
      <c r="C631" s="11" t="s">
        <v>20</v>
      </c>
      <c r="D631" s="15">
        <v>474999228</v>
      </c>
      <c r="E631" s="11" t="s">
        <v>21</v>
      </c>
      <c r="F631" s="20">
        <v>38943</v>
      </c>
      <c r="G631" s="16" t="str">
        <f t="shared" si="18"/>
        <v>August</v>
      </c>
      <c r="H631" s="2">
        <f t="shared" ca="1" si="19"/>
        <v>12</v>
      </c>
      <c r="I631" s="17"/>
      <c r="J631" s="18">
        <v>103856</v>
      </c>
      <c r="K631" s="19">
        <v>1</v>
      </c>
      <c r="N631" s="11" t="s">
        <v>1611</v>
      </c>
      <c r="O631" s="11" t="s">
        <v>64</v>
      </c>
      <c r="P631" s="11" t="s">
        <v>24</v>
      </c>
      <c r="Q631" s="11" t="s">
        <v>41</v>
      </c>
      <c r="R631" s="20">
        <f>(42276+(3*365))+112</f>
        <v>43483</v>
      </c>
      <c r="S631" s="17">
        <v>13</v>
      </c>
      <c r="T631" s="17">
        <v>4655</v>
      </c>
    </row>
    <row r="632" spans="1:20" x14ac:dyDescent="0.2">
      <c r="A632" s="11" t="s">
        <v>1514</v>
      </c>
      <c r="B632" s="14" t="s">
        <v>43</v>
      </c>
      <c r="C632" s="11" t="s">
        <v>254</v>
      </c>
      <c r="D632" s="15">
        <v>847051774</v>
      </c>
      <c r="E632" s="11" t="s">
        <v>29</v>
      </c>
      <c r="F632" s="20">
        <v>42513</v>
      </c>
      <c r="G632" s="16" t="str">
        <f t="shared" si="18"/>
        <v>May</v>
      </c>
      <c r="H632" s="2">
        <f t="shared" ca="1" si="19"/>
        <v>3</v>
      </c>
      <c r="I632" s="17" t="s">
        <v>71</v>
      </c>
      <c r="J632" s="18">
        <v>109188</v>
      </c>
      <c r="K632" s="19">
        <v>1</v>
      </c>
      <c r="N632" s="11" t="s">
        <v>181</v>
      </c>
      <c r="O632" s="11" t="s">
        <v>45</v>
      </c>
      <c r="P632" s="11" t="s">
        <v>40</v>
      </c>
      <c r="Q632" s="11" t="s">
        <v>120</v>
      </c>
      <c r="R632" s="20">
        <f>(41689+(3*365))+112</f>
        <v>42896</v>
      </c>
      <c r="S632" s="17">
        <v>5</v>
      </c>
      <c r="T632" s="21">
        <v>2330</v>
      </c>
    </row>
    <row r="633" spans="1:20" x14ac:dyDescent="0.2">
      <c r="A633" s="11" t="s">
        <v>741</v>
      </c>
      <c r="B633" s="14" t="s">
        <v>19</v>
      </c>
      <c r="C633" s="11" t="s">
        <v>214</v>
      </c>
      <c r="D633" s="15">
        <v>665773893</v>
      </c>
      <c r="E633" s="11" t="s">
        <v>56</v>
      </c>
      <c r="F633" s="20">
        <v>43430</v>
      </c>
      <c r="G633" s="16" t="str">
        <f t="shared" si="18"/>
        <v>November</v>
      </c>
      <c r="H633" s="2">
        <f t="shared" ca="1" si="19"/>
        <v>0</v>
      </c>
      <c r="I633" s="17"/>
      <c r="J633" s="18">
        <v>38372</v>
      </c>
      <c r="K633" s="19">
        <v>4</v>
      </c>
      <c r="N633" s="11" t="s">
        <v>891</v>
      </c>
      <c r="O633" s="11" t="s">
        <v>114</v>
      </c>
      <c r="P633" s="11" t="s">
        <v>40</v>
      </c>
      <c r="Q633" s="11" t="s">
        <v>25</v>
      </c>
      <c r="R633" s="20">
        <f>(41976+(3*365))+112</f>
        <v>43183</v>
      </c>
      <c r="S633" s="17">
        <v>14</v>
      </c>
      <c r="T633" s="17">
        <v>7490</v>
      </c>
    </row>
    <row r="634" spans="1:20" x14ac:dyDescent="0.2">
      <c r="A634" s="11" t="s">
        <v>251</v>
      </c>
      <c r="B634" s="14" t="s">
        <v>43</v>
      </c>
      <c r="C634" s="11" t="s">
        <v>20</v>
      </c>
      <c r="D634" s="15">
        <v>676534152</v>
      </c>
      <c r="E634" s="11" t="s">
        <v>29</v>
      </c>
      <c r="F634" s="20">
        <v>43148</v>
      </c>
      <c r="G634" s="16" t="str">
        <f t="shared" si="18"/>
        <v>February</v>
      </c>
      <c r="H634" s="2">
        <f t="shared" ca="1" si="19"/>
        <v>1</v>
      </c>
      <c r="I634" s="17" t="s">
        <v>47</v>
      </c>
      <c r="J634" s="18">
        <v>31428</v>
      </c>
      <c r="K634" s="19">
        <v>1</v>
      </c>
      <c r="N634" s="11" t="s">
        <v>1239</v>
      </c>
      <c r="O634" s="11" t="s">
        <v>78</v>
      </c>
      <c r="P634" s="11" t="s">
        <v>24</v>
      </c>
      <c r="Q634" s="11" t="s">
        <v>25</v>
      </c>
      <c r="R634" s="20">
        <f>(42104+(3*365))+112</f>
        <v>43311</v>
      </c>
      <c r="S634" s="17">
        <v>6</v>
      </c>
      <c r="T634" s="17">
        <v>2990</v>
      </c>
    </row>
    <row r="635" spans="1:20" x14ac:dyDescent="0.2">
      <c r="A635" s="11" t="s">
        <v>1030</v>
      </c>
      <c r="B635" s="14" t="s">
        <v>43</v>
      </c>
      <c r="C635" s="11" t="s">
        <v>136</v>
      </c>
      <c r="D635" s="15">
        <v>570756015</v>
      </c>
      <c r="E635" s="11" t="s">
        <v>80</v>
      </c>
      <c r="F635" s="20">
        <v>43277</v>
      </c>
      <c r="G635" s="16" t="str">
        <f t="shared" si="18"/>
        <v>June</v>
      </c>
      <c r="H635" s="2">
        <f t="shared" ca="1" si="19"/>
        <v>0</v>
      </c>
      <c r="I635" s="17" t="s">
        <v>87</v>
      </c>
      <c r="J635" s="18">
        <v>66629</v>
      </c>
      <c r="K635" s="19">
        <v>5</v>
      </c>
      <c r="N635" s="11" t="s">
        <v>1697</v>
      </c>
      <c r="O635" s="11" t="s">
        <v>49</v>
      </c>
      <c r="P635" s="11" t="s">
        <v>33</v>
      </c>
      <c r="Q635" s="11" t="s">
        <v>41</v>
      </c>
      <c r="R635" s="20">
        <f>(42347+(3*365))+112</f>
        <v>43554</v>
      </c>
      <c r="S635" s="17">
        <v>7</v>
      </c>
      <c r="T635" s="17">
        <v>3135</v>
      </c>
    </row>
    <row r="636" spans="1:20" x14ac:dyDescent="0.2">
      <c r="A636" s="11" t="s">
        <v>1428</v>
      </c>
      <c r="B636" s="14" t="s">
        <v>51</v>
      </c>
      <c r="C636" s="11" t="s">
        <v>59</v>
      </c>
      <c r="D636" s="15">
        <v>212136062</v>
      </c>
      <c r="E636" s="11" t="s">
        <v>29</v>
      </c>
      <c r="F636" s="20">
        <v>38938</v>
      </c>
      <c r="G636" s="16" t="str">
        <f t="shared" si="18"/>
        <v>August</v>
      </c>
      <c r="H636" s="2">
        <f t="shared" ca="1" si="19"/>
        <v>12</v>
      </c>
      <c r="I636" s="17" t="s">
        <v>30</v>
      </c>
      <c r="J636" s="18">
        <v>111240</v>
      </c>
      <c r="K636" s="19">
        <v>2</v>
      </c>
      <c r="N636" s="11" t="s">
        <v>1578</v>
      </c>
      <c r="O636" s="11" t="s">
        <v>114</v>
      </c>
      <c r="P636" s="11" t="s">
        <v>40</v>
      </c>
      <c r="Q636" s="11" t="s">
        <v>120</v>
      </c>
      <c r="R636" s="20">
        <f>(42244+(3*365))+112</f>
        <v>43451</v>
      </c>
      <c r="S636" s="17">
        <v>13</v>
      </c>
      <c r="T636" s="17">
        <v>7540</v>
      </c>
    </row>
    <row r="637" spans="1:20" x14ac:dyDescent="0.2">
      <c r="A637" s="11" t="s">
        <v>1510</v>
      </c>
      <c r="B637" s="14" t="s">
        <v>19</v>
      </c>
      <c r="C637" s="11" t="s">
        <v>214</v>
      </c>
      <c r="D637" s="15">
        <v>829216164</v>
      </c>
      <c r="E637" s="11" t="s">
        <v>21</v>
      </c>
      <c r="F637" s="20">
        <v>42401</v>
      </c>
      <c r="G637" s="16" t="str">
        <f t="shared" si="18"/>
        <v>February</v>
      </c>
      <c r="H637" s="2">
        <f t="shared" ca="1" si="19"/>
        <v>3</v>
      </c>
      <c r="I637" s="17"/>
      <c r="J637" s="18">
        <v>113630</v>
      </c>
      <c r="K637" s="19">
        <v>2</v>
      </c>
      <c r="N637" s="11" t="s">
        <v>921</v>
      </c>
      <c r="O637" s="11" t="s">
        <v>54</v>
      </c>
      <c r="P637" s="11" t="s">
        <v>24</v>
      </c>
      <c r="Q637" s="11" t="s">
        <v>41</v>
      </c>
      <c r="R637" s="20">
        <f>(41988+(3*365))+112</f>
        <v>43195</v>
      </c>
      <c r="S637" s="17">
        <v>7</v>
      </c>
      <c r="T637" s="17">
        <v>2925</v>
      </c>
    </row>
    <row r="638" spans="1:20" x14ac:dyDescent="0.2">
      <c r="A638" s="11" t="s">
        <v>1144</v>
      </c>
      <c r="B638" s="14" t="s">
        <v>27</v>
      </c>
      <c r="C638" s="11" t="s">
        <v>136</v>
      </c>
      <c r="D638" s="15">
        <v>963000861</v>
      </c>
      <c r="E638" s="11" t="s">
        <v>21</v>
      </c>
      <c r="F638" s="20">
        <v>38002</v>
      </c>
      <c r="G638" s="16" t="str">
        <f t="shared" si="18"/>
        <v>January</v>
      </c>
      <c r="H638" s="2">
        <f t="shared" ca="1" si="19"/>
        <v>15</v>
      </c>
      <c r="I638" s="17"/>
      <c r="J638" s="18">
        <v>98807</v>
      </c>
      <c r="K638" s="19">
        <v>1</v>
      </c>
      <c r="N638" s="11" t="s">
        <v>639</v>
      </c>
      <c r="O638" s="11" t="s">
        <v>32</v>
      </c>
      <c r="P638" s="11" t="s">
        <v>33</v>
      </c>
      <c r="Q638" s="11" t="s">
        <v>25</v>
      </c>
      <c r="R638" s="20">
        <f>(41886+(3*365))+112</f>
        <v>43093</v>
      </c>
      <c r="S638" s="17">
        <v>2</v>
      </c>
      <c r="T638" s="17">
        <v>775</v>
      </c>
    </row>
    <row r="639" spans="1:20" x14ac:dyDescent="0.2">
      <c r="A639" s="11" t="s">
        <v>1114</v>
      </c>
      <c r="B639" s="14" t="s">
        <v>19</v>
      </c>
      <c r="C639" s="11" t="s">
        <v>136</v>
      </c>
      <c r="D639" s="15">
        <v>990843236</v>
      </c>
      <c r="E639" s="11" t="s">
        <v>29</v>
      </c>
      <c r="F639" s="20">
        <v>41903</v>
      </c>
      <c r="G639" s="16" t="str">
        <f t="shared" si="18"/>
        <v>September</v>
      </c>
      <c r="H639" s="2">
        <f t="shared" ca="1" si="19"/>
        <v>4</v>
      </c>
      <c r="I639" s="17" t="s">
        <v>30</v>
      </c>
      <c r="J639" s="18">
        <v>88938</v>
      </c>
      <c r="K639" s="19">
        <v>5</v>
      </c>
      <c r="N639" s="11" t="s">
        <v>1283</v>
      </c>
      <c r="O639" s="11" t="s">
        <v>114</v>
      </c>
      <c r="P639" s="11" t="s">
        <v>24</v>
      </c>
      <c r="Q639" s="11" t="s">
        <v>219</v>
      </c>
      <c r="R639" s="20">
        <f>(42125+(3*365))+112</f>
        <v>43332</v>
      </c>
      <c r="S639" s="17">
        <v>9</v>
      </c>
      <c r="T639" s="17">
        <v>4835</v>
      </c>
    </row>
    <row r="640" spans="1:20" x14ac:dyDescent="0.2">
      <c r="A640" s="11" t="s">
        <v>126</v>
      </c>
      <c r="B640" s="14" t="s">
        <v>27</v>
      </c>
      <c r="C640" s="11" t="s">
        <v>127</v>
      </c>
      <c r="D640" s="15">
        <v>534034571</v>
      </c>
      <c r="E640" s="11" t="s">
        <v>80</v>
      </c>
      <c r="F640" s="20">
        <v>42273</v>
      </c>
      <c r="G640" s="16" t="str">
        <f t="shared" si="18"/>
        <v>September</v>
      </c>
      <c r="H640" s="2">
        <f t="shared" ca="1" si="19"/>
        <v>3</v>
      </c>
      <c r="I640" s="17" t="s">
        <v>38</v>
      </c>
      <c r="J640" s="18">
        <v>62228</v>
      </c>
      <c r="K640" s="19">
        <v>3</v>
      </c>
      <c r="N640" s="11" t="s">
        <v>167</v>
      </c>
      <c r="O640" s="11" t="s">
        <v>45</v>
      </c>
      <c r="P640" s="11" t="s">
        <v>33</v>
      </c>
      <c r="Q640" s="11" t="s">
        <v>41</v>
      </c>
      <c r="R640" s="20">
        <f>(41682+(3*365))+112</f>
        <v>42889</v>
      </c>
      <c r="S640" s="17">
        <v>4</v>
      </c>
      <c r="T640" s="21">
        <v>1695</v>
      </c>
    </row>
    <row r="641" spans="1:20" x14ac:dyDescent="0.2">
      <c r="A641" s="11" t="s">
        <v>1160</v>
      </c>
      <c r="B641" s="14" t="s">
        <v>51</v>
      </c>
      <c r="C641" s="11" t="s">
        <v>136</v>
      </c>
      <c r="D641" s="15">
        <v>618775364</v>
      </c>
      <c r="E641" s="11" t="s">
        <v>80</v>
      </c>
      <c r="F641" s="20">
        <v>43110</v>
      </c>
      <c r="G641" s="16" t="str">
        <f t="shared" si="18"/>
        <v>January</v>
      </c>
      <c r="H641" s="2">
        <f t="shared" ca="1" si="19"/>
        <v>1</v>
      </c>
      <c r="I641" s="17" t="s">
        <v>30</v>
      </c>
      <c r="J641" s="18">
        <v>65745</v>
      </c>
      <c r="K641" s="19">
        <v>3</v>
      </c>
      <c r="N641" s="11" t="s">
        <v>1659</v>
      </c>
      <c r="O641" s="11" t="s">
        <v>117</v>
      </c>
      <c r="P641" s="11" t="s">
        <v>40</v>
      </c>
      <c r="Q641" s="11" t="s">
        <v>120</v>
      </c>
      <c r="R641" s="20">
        <f>(42315+(3*365))+112</f>
        <v>43522</v>
      </c>
      <c r="S641" s="17">
        <v>6</v>
      </c>
      <c r="T641" s="17">
        <v>2785</v>
      </c>
    </row>
    <row r="642" spans="1:20" x14ac:dyDescent="0.2">
      <c r="A642" s="11" t="s">
        <v>1276</v>
      </c>
      <c r="B642" s="14" t="s">
        <v>83</v>
      </c>
      <c r="C642" s="11" t="s">
        <v>145</v>
      </c>
      <c r="D642" s="15">
        <v>614562070</v>
      </c>
      <c r="E642" s="11" t="s">
        <v>80</v>
      </c>
      <c r="F642" s="20">
        <v>40671</v>
      </c>
      <c r="G642" s="16" t="str">
        <f t="shared" ref="G642:G705" si="20">CHOOSE(MONTH(F642),"January","February","March","April","May","June","July","August","September","October","November","December")</f>
        <v>May</v>
      </c>
      <c r="H642" s="2">
        <f t="shared" ref="H642:H705" ca="1" si="21">DATEDIF(F642,TODAY(),"Y")</f>
        <v>8</v>
      </c>
      <c r="I642" s="17" t="s">
        <v>47</v>
      </c>
      <c r="J642" s="18">
        <v>65799</v>
      </c>
      <c r="K642" s="19">
        <v>1</v>
      </c>
      <c r="N642" s="11" t="s">
        <v>1716</v>
      </c>
      <c r="O642" s="11" t="s">
        <v>54</v>
      </c>
      <c r="P642" s="11" t="s">
        <v>65</v>
      </c>
      <c r="Q642" s="11" t="s">
        <v>25</v>
      </c>
      <c r="R642" s="20">
        <f>(42360+(3*365))+112</f>
        <v>43567</v>
      </c>
      <c r="S642" s="17">
        <v>12</v>
      </c>
      <c r="T642" s="17">
        <v>4870</v>
      </c>
    </row>
    <row r="643" spans="1:20" x14ac:dyDescent="0.2">
      <c r="A643" s="11" t="s">
        <v>1468</v>
      </c>
      <c r="B643" s="14" t="s">
        <v>27</v>
      </c>
      <c r="C643" s="11" t="s">
        <v>205</v>
      </c>
      <c r="D643" s="15">
        <v>771953685</v>
      </c>
      <c r="E643" s="11" t="s">
        <v>56</v>
      </c>
      <c r="F643" s="20">
        <v>40802</v>
      </c>
      <c r="G643" s="16" t="str">
        <f t="shared" si="20"/>
        <v>September</v>
      </c>
      <c r="H643" s="2">
        <f t="shared" ca="1" si="21"/>
        <v>7</v>
      </c>
      <c r="I643" s="17" t="s">
        <v>47</v>
      </c>
      <c r="J643" s="18">
        <v>114926</v>
      </c>
      <c r="K643" s="19">
        <v>5</v>
      </c>
      <c r="N643" s="11" t="s">
        <v>1576</v>
      </c>
      <c r="O643" s="11" t="s">
        <v>64</v>
      </c>
      <c r="P643" s="11" t="s">
        <v>40</v>
      </c>
      <c r="Q643" s="11" t="s">
        <v>219</v>
      </c>
      <c r="R643" s="20">
        <f>(42243+(3*365))+112</f>
        <v>43450</v>
      </c>
      <c r="S643" s="17">
        <v>15</v>
      </c>
      <c r="T643" s="17">
        <v>7485</v>
      </c>
    </row>
    <row r="644" spans="1:20" x14ac:dyDescent="0.2">
      <c r="A644" s="11" t="s">
        <v>76</v>
      </c>
      <c r="B644" s="14" t="s">
        <v>51</v>
      </c>
      <c r="C644" s="11" t="s">
        <v>62</v>
      </c>
      <c r="D644" s="15">
        <v>481336564</v>
      </c>
      <c r="E644" s="11" t="s">
        <v>29</v>
      </c>
      <c r="F644" s="20">
        <v>38999</v>
      </c>
      <c r="G644" s="16" t="str">
        <f t="shared" si="20"/>
        <v>October</v>
      </c>
      <c r="H644" s="2">
        <f t="shared" ca="1" si="21"/>
        <v>12</v>
      </c>
      <c r="I644" s="17" t="s">
        <v>30</v>
      </c>
      <c r="J644" s="18">
        <v>97322</v>
      </c>
      <c r="K644" s="19">
        <v>5</v>
      </c>
      <c r="N644" s="11" t="s">
        <v>1227</v>
      </c>
      <c r="O644" s="11" t="s">
        <v>78</v>
      </c>
      <c r="P644" s="11" t="s">
        <v>65</v>
      </c>
      <c r="Q644" s="11" t="s">
        <v>120</v>
      </c>
      <c r="R644" s="20">
        <f>(42098+(3*365))+112</f>
        <v>43305</v>
      </c>
      <c r="S644" s="17">
        <v>2</v>
      </c>
      <c r="T644" s="17">
        <v>745</v>
      </c>
    </row>
    <row r="645" spans="1:20" x14ac:dyDescent="0.2">
      <c r="A645" s="11" t="s">
        <v>1300</v>
      </c>
      <c r="B645" s="14" t="s">
        <v>36</v>
      </c>
      <c r="C645" s="11" t="s">
        <v>145</v>
      </c>
      <c r="D645" s="15">
        <v>733881041</v>
      </c>
      <c r="E645" s="11" t="s">
        <v>56</v>
      </c>
      <c r="F645" s="20">
        <v>39413</v>
      </c>
      <c r="G645" s="16" t="str">
        <f t="shared" si="20"/>
        <v>November</v>
      </c>
      <c r="H645" s="2">
        <f t="shared" ca="1" si="21"/>
        <v>11</v>
      </c>
      <c r="I645" s="17"/>
      <c r="J645" s="18">
        <v>20995</v>
      </c>
      <c r="K645" s="19">
        <v>4</v>
      </c>
      <c r="N645" s="11" t="s">
        <v>718</v>
      </c>
      <c r="O645" s="11" t="s">
        <v>89</v>
      </c>
      <c r="P645" s="11" t="s">
        <v>40</v>
      </c>
      <c r="Q645" s="11" t="s">
        <v>34</v>
      </c>
      <c r="R645" s="20">
        <f>(41916+(3*365))+112</f>
        <v>43123</v>
      </c>
      <c r="S645" s="17">
        <v>6</v>
      </c>
      <c r="T645" s="17">
        <v>1950</v>
      </c>
    </row>
    <row r="646" spans="1:20" x14ac:dyDescent="0.2">
      <c r="A646" s="11" t="s">
        <v>1484</v>
      </c>
      <c r="B646" s="14" t="s">
        <v>83</v>
      </c>
      <c r="C646" s="11" t="s">
        <v>145</v>
      </c>
      <c r="D646" s="15">
        <v>666194498</v>
      </c>
      <c r="E646" s="11" t="s">
        <v>29</v>
      </c>
      <c r="F646" s="20">
        <v>41209</v>
      </c>
      <c r="G646" s="16" t="str">
        <f t="shared" si="20"/>
        <v>October</v>
      </c>
      <c r="H646" s="2">
        <f t="shared" ca="1" si="21"/>
        <v>6</v>
      </c>
      <c r="I646" s="17" t="s">
        <v>30</v>
      </c>
      <c r="J646" s="18">
        <v>113009</v>
      </c>
      <c r="K646" s="19">
        <v>3</v>
      </c>
      <c r="N646" s="11" t="s">
        <v>1648</v>
      </c>
      <c r="O646" s="11" t="s">
        <v>114</v>
      </c>
      <c r="P646" s="11" t="s">
        <v>65</v>
      </c>
      <c r="Q646" s="11" t="s">
        <v>25</v>
      </c>
      <c r="R646" s="20">
        <f>(42309+(3*365))+112</f>
        <v>43516</v>
      </c>
      <c r="S646" s="17">
        <v>13</v>
      </c>
      <c r="T646" s="17">
        <v>6785</v>
      </c>
    </row>
    <row r="647" spans="1:20" x14ac:dyDescent="0.2">
      <c r="A647" s="11" t="s">
        <v>667</v>
      </c>
      <c r="B647" s="14" t="s">
        <v>19</v>
      </c>
      <c r="C647" s="11" t="s">
        <v>59</v>
      </c>
      <c r="D647" s="15">
        <v>603301910</v>
      </c>
      <c r="E647" s="11" t="s">
        <v>29</v>
      </c>
      <c r="F647" s="20">
        <v>37069</v>
      </c>
      <c r="G647" s="16" t="str">
        <f t="shared" si="20"/>
        <v>June</v>
      </c>
      <c r="H647" s="2">
        <f t="shared" ca="1" si="21"/>
        <v>17</v>
      </c>
      <c r="I647" s="17" t="s">
        <v>47</v>
      </c>
      <c r="J647" s="18">
        <v>98415</v>
      </c>
      <c r="K647" s="19">
        <v>3</v>
      </c>
      <c r="N647" s="11" t="s">
        <v>788</v>
      </c>
      <c r="O647" s="11" t="s">
        <v>49</v>
      </c>
      <c r="P647" s="11" t="s">
        <v>65</v>
      </c>
      <c r="Q647" s="11" t="s">
        <v>219</v>
      </c>
      <c r="R647" s="20">
        <f>(41943+(3*365))+112</f>
        <v>43150</v>
      </c>
      <c r="S647" s="17">
        <v>5</v>
      </c>
      <c r="T647" s="17">
        <v>2335</v>
      </c>
    </row>
    <row r="648" spans="1:20" x14ac:dyDescent="0.2">
      <c r="A648" s="11" t="s">
        <v>333</v>
      </c>
      <c r="B648" s="14" t="s">
        <v>19</v>
      </c>
      <c r="C648" s="11" t="s">
        <v>52</v>
      </c>
      <c r="D648" s="15">
        <v>469591073</v>
      </c>
      <c r="E648" s="11" t="s">
        <v>29</v>
      </c>
      <c r="F648" s="20">
        <v>39969</v>
      </c>
      <c r="G648" s="16" t="str">
        <f t="shared" si="20"/>
        <v>June</v>
      </c>
      <c r="H648" s="2">
        <f t="shared" ca="1" si="21"/>
        <v>10</v>
      </c>
      <c r="I648" s="17" t="s">
        <v>38</v>
      </c>
      <c r="J648" s="18">
        <v>82553</v>
      </c>
      <c r="K648" s="19">
        <v>4</v>
      </c>
      <c r="N648" s="11" t="s">
        <v>1285</v>
      </c>
      <c r="O648" s="11" t="s">
        <v>23</v>
      </c>
      <c r="P648" s="11" t="s">
        <v>33</v>
      </c>
      <c r="Q648" s="11" t="s">
        <v>25</v>
      </c>
      <c r="R648" s="20">
        <f>(42126+(3*365))+112</f>
        <v>43333</v>
      </c>
      <c r="S648" s="17">
        <v>4</v>
      </c>
      <c r="T648" s="17">
        <v>1360</v>
      </c>
    </row>
    <row r="649" spans="1:20" x14ac:dyDescent="0.2">
      <c r="A649" s="11" t="s">
        <v>773</v>
      </c>
      <c r="B649" s="14" t="s">
        <v>19</v>
      </c>
      <c r="C649" s="11" t="s">
        <v>145</v>
      </c>
      <c r="D649" s="15">
        <v>705186668</v>
      </c>
      <c r="E649" s="11" t="s">
        <v>56</v>
      </c>
      <c r="F649" s="20">
        <v>37036</v>
      </c>
      <c r="G649" s="16" t="str">
        <f t="shared" si="20"/>
        <v>May</v>
      </c>
      <c r="H649" s="2">
        <f t="shared" ca="1" si="21"/>
        <v>18</v>
      </c>
      <c r="I649" s="17"/>
      <c r="J649" s="18">
        <v>35753</v>
      </c>
      <c r="K649" s="19">
        <v>5</v>
      </c>
      <c r="N649" s="11" t="s">
        <v>1293</v>
      </c>
      <c r="O649" s="11" t="s">
        <v>54</v>
      </c>
      <c r="P649" s="11" t="s">
        <v>24</v>
      </c>
      <c r="Q649" s="11" t="s">
        <v>25</v>
      </c>
      <c r="R649" s="20">
        <f>(42129+(3*365))+112</f>
        <v>43336</v>
      </c>
      <c r="S649" s="17">
        <v>1</v>
      </c>
      <c r="T649" s="17">
        <v>305</v>
      </c>
    </row>
    <row r="650" spans="1:20" x14ac:dyDescent="0.2">
      <c r="A650" s="11" t="s">
        <v>1272</v>
      </c>
      <c r="B650" s="14" t="s">
        <v>27</v>
      </c>
      <c r="C650" s="11" t="s">
        <v>145</v>
      </c>
      <c r="D650" s="15">
        <v>932553359</v>
      </c>
      <c r="E650" s="11" t="s">
        <v>21</v>
      </c>
      <c r="F650" s="20">
        <v>42576</v>
      </c>
      <c r="G650" s="16" t="str">
        <f t="shared" si="20"/>
        <v>July</v>
      </c>
      <c r="H650" s="2">
        <f t="shared" ca="1" si="21"/>
        <v>2</v>
      </c>
      <c r="I650" s="17"/>
      <c r="J650" s="18">
        <v>58482</v>
      </c>
      <c r="K650" s="19">
        <v>5</v>
      </c>
      <c r="N650" s="11" t="s">
        <v>818</v>
      </c>
      <c r="O650" s="11" t="s">
        <v>23</v>
      </c>
      <c r="P650" s="11" t="s">
        <v>24</v>
      </c>
      <c r="Q650" s="11" t="s">
        <v>120</v>
      </c>
      <c r="R650" s="20">
        <f>(41956+(3*365))+112</f>
        <v>43163</v>
      </c>
      <c r="S650" s="17">
        <v>1</v>
      </c>
      <c r="T650" s="17">
        <v>350</v>
      </c>
    </row>
    <row r="651" spans="1:20" x14ac:dyDescent="0.2">
      <c r="A651" s="11" t="s">
        <v>1408</v>
      </c>
      <c r="B651" s="14" t="s">
        <v>27</v>
      </c>
      <c r="C651" s="11" t="s">
        <v>152</v>
      </c>
      <c r="D651" s="15">
        <v>240241467</v>
      </c>
      <c r="E651" s="11" t="s">
        <v>56</v>
      </c>
      <c r="F651" s="20">
        <v>38432</v>
      </c>
      <c r="G651" s="16" t="str">
        <f t="shared" si="20"/>
        <v>March</v>
      </c>
      <c r="H651" s="2">
        <f t="shared" ca="1" si="21"/>
        <v>14</v>
      </c>
      <c r="I651" s="17"/>
      <c r="J651" s="18">
        <v>38837</v>
      </c>
      <c r="K651" s="19">
        <v>3</v>
      </c>
      <c r="N651" s="11" t="s">
        <v>666</v>
      </c>
      <c r="O651" s="11" t="s">
        <v>45</v>
      </c>
      <c r="P651" s="11" t="s">
        <v>33</v>
      </c>
      <c r="Q651" s="11" t="s">
        <v>41</v>
      </c>
      <c r="R651" s="20">
        <f>(41895+(3*365))+112</f>
        <v>43102</v>
      </c>
      <c r="S651" s="17">
        <v>3</v>
      </c>
      <c r="T651" s="17">
        <v>1090</v>
      </c>
    </row>
    <row r="652" spans="1:20" x14ac:dyDescent="0.2">
      <c r="A652" s="11" t="s">
        <v>498</v>
      </c>
      <c r="B652" s="14" t="s">
        <v>83</v>
      </c>
      <c r="C652" s="11" t="s">
        <v>214</v>
      </c>
      <c r="D652" s="15">
        <v>180095803</v>
      </c>
      <c r="E652" s="11" t="s">
        <v>29</v>
      </c>
      <c r="F652" s="20">
        <v>42828</v>
      </c>
      <c r="G652" s="16" t="str">
        <f t="shared" si="20"/>
        <v>April</v>
      </c>
      <c r="H652" s="2">
        <f t="shared" ca="1" si="21"/>
        <v>2</v>
      </c>
      <c r="I652" s="17" t="s">
        <v>47</v>
      </c>
      <c r="J652" s="18">
        <v>105530</v>
      </c>
      <c r="K652" s="19">
        <v>5</v>
      </c>
      <c r="N652" s="11" t="s">
        <v>1143</v>
      </c>
      <c r="O652" s="11" t="s">
        <v>89</v>
      </c>
      <c r="P652" s="11" t="s">
        <v>24</v>
      </c>
      <c r="Q652" s="11" t="s">
        <v>41</v>
      </c>
      <c r="R652" s="20">
        <f>(42058+(3*365))+112</f>
        <v>43265</v>
      </c>
      <c r="S652" s="17">
        <v>3</v>
      </c>
      <c r="T652" s="17">
        <v>1635</v>
      </c>
    </row>
    <row r="653" spans="1:20" x14ac:dyDescent="0.2">
      <c r="A653" s="11" t="s">
        <v>634</v>
      </c>
      <c r="B653" s="14" t="s">
        <v>19</v>
      </c>
      <c r="C653" s="11" t="s">
        <v>214</v>
      </c>
      <c r="D653" s="15">
        <v>698869555</v>
      </c>
      <c r="E653" s="11" t="s">
        <v>80</v>
      </c>
      <c r="F653" s="20">
        <v>39359</v>
      </c>
      <c r="G653" s="16" t="str">
        <f t="shared" si="20"/>
        <v>October</v>
      </c>
      <c r="H653" s="2">
        <f t="shared" ca="1" si="21"/>
        <v>11</v>
      </c>
      <c r="I653" s="17" t="s">
        <v>38</v>
      </c>
      <c r="J653" s="18">
        <v>56180</v>
      </c>
      <c r="K653" s="19">
        <v>1</v>
      </c>
      <c r="N653" s="11" t="s">
        <v>1109</v>
      </c>
      <c r="O653" s="11" t="s">
        <v>75</v>
      </c>
      <c r="P653" s="11" t="s">
        <v>33</v>
      </c>
      <c r="Q653" s="11" t="s">
        <v>34</v>
      </c>
      <c r="R653" s="20">
        <f>(42041+(3*365))+112</f>
        <v>43248</v>
      </c>
      <c r="S653" s="17">
        <v>12</v>
      </c>
      <c r="T653" s="17">
        <v>5331</v>
      </c>
    </row>
    <row r="654" spans="1:20" x14ac:dyDescent="0.2">
      <c r="A654" s="11" t="s">
        <v>1506</v>
      </c>
      <c r="B654" s="14" t="s">
        <v>51</v>
      </c>
      <c r="C654" s="11" t="s">
        <v>152</v>
      </c>
      <c r="D654" s="15">
        <v>120361975</v>
      </c>
      <c r="E654" s="11" t="s">
        <v>29</v>
      </c>
      <c r="F654" s="20">
        <v>40351</v>
      </c>
      <c r="G654" s="16" t="str">
        <f t="shared" si="20"/>
        <v>June</v>
      </c>
      <c r="H654" s="2">
        <f t="shared" ca="1" si="21"/>
        <v>8</v>
      </c>
      <c r="I654" s="17" t="s">
        <v>71</v>
      </c>
      <c r="J654" s="18">
        <v>81405</v>
      </c>
      <c r="K654" s="19">
        <v>2</v>
      </c>
      <c r="N654" s="11" t="s">
        <v>826</v>
      </c>
      <c r="O654" s="11" t="s">
        <v>125</v>
      </c>
      <c r="P654" s="11" t="s">
        <v>24</v>
      </c>
      <c r="Q654" s="11" t="s">
        <v>34</v>
      </c>
      <c r="R654" s="20">
        <f>(41960+(3*365))+112</f>
        <v>43167</v>
      </c>
      <c r="S654" s="17">
        <v>15</v>
      </c>
      <c r="T654" s="17">
        <v>5580</v>
      </c>
    </row>
    <row r="655" spans="1:20" x14ac:dyDescent="0.2">
      <c r="A655" s="11" t="s">
        <v>394</v>
      </c>
      <c r="B655" s="14" t="s">
        <v>27</v>
      </c>
      <c r="C655" s="11" t="s">
        <v>152</v>
      </c>
      <c r="D655" s="15">
        <v>144722757</v>
      </c>
      <c r="E655" s="11" t="s">
        <v>21</v>
      </c>
      <c r="F655" s="20">
        <v>36418</v>
      </c>
      <c r="G655" s="16" t="str">
        <f t="shared" si="20"/>
        <v>September</v>
      </c>
      <c r="H655" s="2">
        <f t="shared" ca="1" si="21"/>
        <v>19</v>
      </c>
      <c r="I655" s="17"/>
      <c r="J655" s="18">
        <v>77625</v>
      </c>
      <c r="K655" s="19">
        <v>1</v>
      </c>
      <c r="N655" s="11" t="s">
        <v>446</v>
      </c>
      <c r="O655" s="11" t="s">
        <v>54</v>
      </c>
      <c r="P655" s="11" t="s">
        <v>65</v>
      </c>
      <c r="Q655" s="11" t="s">
        <v>41</v>
      </c>
      <c r="R655" s="20">
        <f>(41809+(3*365))+112</f>
        <v>43016</v>
      </c>
      <c r="S655" s="17">
        <v>9</v>
      </c>
      <c r="T655" s="17">
        <v>3115</v>
      </c>
    </row>
    <row r="656" spans="1:20" x14ac:dyDescent="0.2">
      <c r="A656" s="11" t="s">
        <v>787</v>
      </c>
      <c r="B656" s="14" t="s">
        <v>27</v>
      </c>
      <c r="C656" s="11" t="s">
        <v>145</v>
      </c>
      <c r="D656" s="15">
        <v>100703382</v>
      </c>
      <c r="E656" s="11" t="s">
        <v>29</v>
      </c>
      <c r="F656" s="20">
        <v>37016</v>
      </c>
      <c r="G656" s="16" t="str">
        <f t="shared" si="20"/>
        <v>May</v>
      </c>
      <c r="H656" s="2">
        <f t="shared" ca="1" si="21"/>
        <v>18</v>
      </c>
      <c r="I656" s="17" t="s">
        <v>47</v>
      </c>
      <c r="J656" s="18">
        <v>73170</v>
      </c>
      <c r="K656" s="19">
        <v>4</v>
      </c>
      <c r="N656" s="11" t="s">
        <v>782</v>
      </c>
      <c r="O656" s="11" t="s">
        <v>45</v>
      </c>
      <c r="P656" s="11" t="s">
        <v>40</v>
      </c>
      <c r="Q656" s="11" t="s">
        <v>120</v>
      </c>
      <c r="R656" s="20">
        <f>(41942+(3*365))+112</f>
        <v>43149</v>
      </c>
      <c r="S656" s="17">
        <v>15</v>
      </c>
      <c r="T656" s="17">
        <v>4785</v>
      </c>
    </row>
    <row r="657" spans="1:20" x14ac:dyDescent="0.2">
      <c r="A657" s="11" t="s">
        <v>1436</v>
      </c>
      <c r="B657" s="14" t="s">
        <v>27</v>
      </c>
      <c r="C657" s="11" t="s">
        <v>152</v>
      </c>
      <c r="D657" s="15">
        <v>862698919</v>
      </c>
      <c r="E657" s="11" t="s">
        <v>29</v>
      </c>
      <c r="F657" s="20">
        <v>41184</v>
      </c>
      <c r="G657" s="16" t="str">
        <f t="shared" si="20"/>
        <v>October</v>
      </c>
      <c r="H657" s="2">
        <f t="shared" ca="1" si="21"/>
        <v>6</v>
      </c>
      <c r="I657" s="17" t="s">
        <v>87</v>
      </c>
      <c r="J657" s="18">
        <v>65178</v>
      </c>
      <c r="K657" s="19">
        <v>4</v>
      </c>
      <c r="N657" s="11" t="s">
        <v>521</v>
      </c>
      <c r="O657" s="11" t="s">
        <v>23</v>
      </c>
      <c r="P657" s="11" t="s">
        <v>65</v>
      </c>
      <c r="Q657" s="11" t="s">
        <v>25</v>
      </c>
      <c r="R657" s="20">
        <f>(41837+(3*365))+112</f>
        <v>43044</v>
      </c>
      <c r="S657" s="17">
        <v>13</v>
      </c>
      <c r="T657" s="17">
        <v>7345</v>
      </c>
    </row>
    <row r="658" spans="1:20" x14ac:dyDescent="0.2">
      <c r="A658" s="11" t="s">
        <v>769</v>
      </c>
      <c r="B658" s="14" t="s">
        <v>19</v>
      </c>
      <c r="C658" s="11" t="s">
        <v>145</v>
      </c>
      <c r="D658" s="15">
        <v>404589373</v>
      </c>
      <c r="E658" s="11" t="s">
        <v>29</v>
      </c>
      <c r="F658" s="20">
        <v>36884</v>
      </c>
      <c r="G658" s="16" t="str">
        <f t="shared" si="20"/>
        <v>December</v>
      </c>
      <c r="H658" s="2">
        <f t="shared" ca="1" si="21"/>
        <v>18</v>
      </c>
      <c r="I658" s="17" t="s">
        <v>30</v>
      </c>
      <c r="J658" s="18">
        <v>90212</v>
      </c>
      <c r="K658" s="19">
        <v>2</v>
      </c>
      <c r="N658" s="11" t="s">
        <v>334</v>
      </c>
      <c r="O658" s="11" t="s">
        <v>54</v>
      </c>
      <c r="P658" s="11" t="s">
        <v>24</v>
      </c>
      <c r="Q658" s="11" t="s">
        <v>120</v>
      </c>
      <c r="R658" s="20">
        <f>(41755+(3*365))+112</f>
        <v>42962</v>
      </c>
      <c r="S658" s="17">
        <v>4</v>
      </c>
      <c r="T658" s="17">
        <v>2270</v>
      </c>
    </row>
    <row r="659" spans="1:20" x14ac:dyDescent="0.2">
      <c r="A659" s="4" t="s">
        <v>942</v>
      </c>
      <c r="B659" s="14" t="s">
        <v>27</v>
      </c>
      <c r="C659" s="11" t="s">
        <v>254</v>
      </c>
      <c r="D659" s="15">
        <v>619465100</v>
      </c>
      <c r="E659" s="11" t="s">
        <v>29</v>
      </c>
      <c r="F659" s="20">
        <v>41772</v>
      </c>
      <c r="G659" s="16" t="str">
        <f t="shared" si="20"/>
        <v>May</v>
      </c>
      <c r="H659" s="2">
        <f t="shared" ca="1" si="21"/>
        <v>5</v>
      </c>
      <c r="I659" s="17" t="s">
        <v>87</v>
      </c>
      <c r="J659" s="18">
        <v>37206</v>
      </c>
      <c r="K659" s="19">
        <v>2</v>
      </c>
      <c r="N659" s="11" t="s">
        <v>320</v>
      </c>
      <c r="O659" s="11" t="s">
        <v>125</v>
      </c>
      <c r="P659" s="11" t="s">
        <v>65</v>
      </c>
      <c r="Q659" s="11" t="s">
        <v>25</v>
      </c>
      <c r="R659" s="20">
        <f>(41750+(3*365))+112</f>
        <v>42957</v>
      </c>
      <c r="S659" s="17">
        <v>5</v>
      </c>
      <c r="T659" s="17">
        <v>3000</v>
      </c>
    </row>
    <row r="660" spans="1:20" x14ac:dyDescent="0.2">
      <c r="A660" s="11" t="s">
        <v>1380</v>
      </c>
      <c r="B660" s="14" t="s">
        <v>27</v>
      </c>
      <c r="C660" s="11" t="s">
        <v>136</v>
      </c>
      <c r="D660" s="15">
        <v>965916299</v>
      </c>
      <c r="E660" s="11" t="s">
        <v>29</v>
      </c>
      <c r="F660" s="20">
        <v>38549</v>
      </c>
      <c r="G660" s="16" t="str">
        <f t="shared" si="20"/>
        <v>July</v>
      </c>
      <c r="H660" s="2">
        <f t="shared" ca="1" si="21"/>
        <v>13</v>
      </c>
      <c r="I660" s="17" t="s">
        <v>87</v>
      </c>
      <c r="J660" s="18">
        <v>32859</v>
      </c>
      <c r="K660" s="19">
        <v>4</v>
      </c>
      <c r="N660" s="11" t="s">
        <v>1651</v>
      </c>
      <c r="O660" s="11" t="s">
        <v>23</v>
      </c>
      <c r="P660" s="11" t="s">
        <v>65</v>
      </c>
      <c r="Q660" s="11" t="s">
        <v>25</v>
      </c>
      <c r="R660" s="20">
        <f>(42312+(3*365))+112</f>
        <v>43519</v>
      </c>
      <c r="S660" s="17">
        <v>11</v>
      </c>
      <c r="T660" s="17">
        <v>6315</v>
      </c>
    </row>
    <row r="661" spans="1:20" x14ac:dyDescent="0.2">
      <c r="A661" s="11" t="s">
        <v>1298</v>
      </c>
      <c r="B661" s="14" t="s">
        <v>43</v>
      </c>
      <c r="C661" s="11" t="s">
        <v>145</v>
      </c>
      <c r="D661" s="15">
        <v>288741910</v>
      </c>
      <c r="E661" s="11" t="s">
        <v>29</v>
      </c>
      <c r="F661" s="20">
        <v>39216</v>
      </c>
      <c r="G661" s="16" t="str">
        <f t="shared" si="20"/>
        <v>May</v>
      </c>
      <c r="H661" s="2">
        <f t="shared" ca="1" si="21"/>
        <v>12</v>
      </c>
      <c r="I661" s="17" t="s">
        <v>30</v>
      </c>
      <c r="J661" s="18">
        <v>90477</v>
      </c>
      <c r="K661" s="19">
        <v>1</v>
      </c>
      <c r="N661" s="11" t="s">
        <v>1075</v>
      </c>
      <c r="O661" s="11" t="s">
        <v>54</v>
      </c>
      <c r="P661" s="11" t="s">
        <v>33</v>
      </c>
      <c r="Q661" s="11" t="s">
        <v>219</v>
      </c>
      <c r="R661" s="20">
        <f>(42030+(3*365))+112</f>
        <v>43237</v>
      </c>
      <c r="S661" s="17">
        <v>10</v>
      </c>
      <c r="T661" s="17">
        <v>3430</v>
      </c>
    </row>
    <row r="662" spans="1:20" x14ac:dyDescent="0.2">
      <c r="A662" s="11" t="s">
        <v>1124</v>
      </c>
      <c r="B662" s="14" t="s">
        <v>19</v>
      </c>
      <c r="C662" s="11" t="s">
        <v>136</v>
      </c>
      <c r="D662" s="15">
        <v>278129861</v>
      </c>
      <c r="E662" s="11" t="s">
        <v>21</v>
      </c>
      <c r="F662" s="20">
        <v>43260</v>
      </c>
      <c r="G662" s="16" t="str">
        <f t="shared" si="20"/>
        <v>June</v>
      </c>
      <c r="H662" s="2">
        <f t="shared" ca="1" si="21"/>
        <v>0</v>
      </c>
      <c r="I662" s="17"/>
      <c r="J662" s="18">
        <v>53393</v>
      </c>
      <c r="K662" s="19">
        <v>5</v>
      </c>
      <c r="N662" s="11" t="s">
        <v>134</v>
      </c>
      <c r="O662" s="11" t="s">
        <v>54</v>
      </c>
      <c r="P662" s="11" t="s">
        <v>65</v>
      </c>
      <c r="Q662" s="11" t="s">
        <v>34</v>
      </c>
      <c r="R662" s="20">
        <f>(41676+(3*365))+112</f>
        <v>42883</v>
      </c>
      <c r="S662" s="17">
        <v>12</v>
      </c>
      <c r="T662" s="17">
        <v>6986</v>
      </c>
    </row>
    <row r="663" spans="1:20" x14ac:dyDescent="0.2">
      <c r="A663" s="11" t="s">
        <v>1056</v>
      </c>
      <c r="B663" s="14" t="s">
        <v>51</v>
      </c>
      <c r="C663" s="11" t="s">
        <v>214</v>
      </c>
      <c r="D663" s="15">
        <v>682907379</v>
      </c>
      <c r="E663" s="11" t="s">
        <v>29</v>
      </c>
      <c r="F663" s="20">
        <v>38167</v>
      </c>
      <c r="G663" s="16" t="str">
        <f t="shared" si="20"/>
        <v>June</v>
      </c>
      <c r="H663" s="2">
        <f t="shared" ca="1" si="21"/>
        <v>14</v>
      </c>
      <c r="I663" s="17" t="s">
        <v>38</v>
      </c>
      <c r="J663" s="18">
        <v>53352</v>
      </c>
      <c r="K663" s="19">
        <v>5</v>
      </c>
      <c r="N663" s="11" t="s">
        <v>1049</v>
      </c>
      <c r="O663" s="11" t="s">
        <v>23</v>
      </c>
      <c r="P663" s="11" t="s">
        <v>24</v>
      </c>
      <c r="Q663" s="11" t="s">
        <v>219</v>
      </c>
      <c r="R663" s="20">
        <f>(42021+(3*365))+112</f>
        <v>43228</v>
      </c>
      <c r="S663" s="17">
        <v>13</v>
      </c>
      <c r="T663" s="17">
        <v>6280</v>
      </c>
    </row>
    <row r="664" spans="1:20" x14ac:dyDescent="0.2">
      <c r="A664" s="11" t="s">
        <v>1022</v>
      </c>
      <c r="B664" s="14" t="s">
        <v>83</v>
      </c>
      <c r="C664" s="11" t="s">
        <v>20</v>
      </c>
      <c r="D664" s="15">
        <v>247276092</v>
      </c>
      <c r="E664" s="11" t="s">
        <v>21</v>
      </c>
      <c r="F664" s="20">
        <v>37975</v>
      </c>
      <c r="G664" s="16" t="str">
        <f t="shared" si="20"/>
        <v>December</v>
      </c>
      <c r="H664" s="2">
        <f t="shared" ca="1" si="21"/>
        <v>15</v>
      </c>
      <c r="I664" s="17"/>
      <c r="J664" s="18">
        <v>86927</v>
      </c>
      <c r="K664" s="19">
        <v>2</v>
      </c>
      <c r="N664" s="11" t="s">
        <v>734</v>
      </c>
      <c r="O664" s="11" t="s">
        <v>78</v>
      </c>
      <c r="P664" s="11" t="s">
        <v>24</v>
      </c>
      <c r="Q664" s="11" t="s">
        <v>25</v>
      </c>
      <c r="R664" s="20">
        <f>(41921+(3*365))+112</f>
        <v>43128</v>
      </c>
      <c r="S664" s="17">
        <v>4</v>
      </c>
      <c r="T664" s="17">
        <v>1795</v>
      </c>
    </row>
    <row r="665" spans="1:20" x14ac:dyDescent="0.2">
      <c r="A665" s="11" t="s">
        <v>753</v>
      </c>
      <c r="B665" s="14" t="s">
        <v>27</v>
      </c>
      <c r="C665" s="11" t="s">
        <v>478</v>
      </c>
      <c r="D665" s="15">
        <v>214234804</v>
      </c>
      <c r="E665" s="11" t="s">
        <v>29</v>
      </c>
      <c r="F665" s="20">
        <v>40792</v>
      </c>
      <c r="G665" s="16" t="str">
        <f t="shared" si="20"/>
        <v>September</v>
      </c>
      <c r="H665" s="2">
        <f t="shared" ca="1" si="21"/>
        <v>7</v>
      </c>
      <c r="I665" s="17" t="s">
        <v>30</v>
      </c>
      <c r="J665" s="18">
        <v>72725</v>
      </c>
      <c r="K665" s="19">
        <v>2</v>
      </c>
      <c r="N665" s="11" t="s">
        <v>1601</v>
      </c>
      <c r="O665" s="11" t="s">
        <v>64</v>
      </c>
      <c r="P665" s="11" t="s">
        <v>24</v>
      </c>
      <c r="Q665" s="11" t="s">
        <v>219</v>
      </c>
      <c r="R665" s="20">
        <f>(42270+(3*365))+112</f>
        <v>43477</v>
      </c>
      <c r="S665" s="17">
        <v>6</v>
      </c>
      <c r="T665" s="17">
        <v>2220</v>
      </c>
    </row>
    <row r="666" spans="1:20" x14ac:dyDescent="0.2">
      <c r="A666" s="11" t="s">
        <v>1068</v>
      </c>
      <c r="B666" s="14" t="s">
        <v>19</v>
      </c>
      <c r="C666" s="11" t="s">
        <v>136</v>
      </c>
      <c r="D666" s="15">
        <v>924942231</v>
      </c>
      <c r="E666" s="11" t="s">
        <v>80</v>
      </c>
      <c r="F666" s="20">
        <v>43022</v>
      </c>
      <c r="G666" s="16" t="str">
        <f t="shared" si="20"/>
        <v>October</v>
      </c>
      <c r="H666" s="2">
        <f t="shared" ca="1" si="21"/>
        <v>1</v>
      </c>
      <c r="I666" s="17" t="s">
        <v>71</v>
      </c>
      <c r="J666" s="18">
        <v>34081</v>
      </c>
      <c r="K666" s="19">
        <v>5</v>
      </c>
      <c r="N666" s="11" t="s">
        <v>800</v>
      </c>
      <c r="O666" s="11" t="s">
        <v>89</v>
      </c>
      <c r="P666" s="11" t="s">
        <v>24</v>
      </c>
      <c r="Q666" s="11" t="s">
        <v>34</v>
      </c>
      <c r="R666" s="20">
        <f>(41948+(3*365))+112</f>
        <v>43155</v>
      </c>
      <c r="S666" s="17">
        <v>11</v>
      </c>
      <c r="T666" s="17">
        <v>5482</v>
      </c>
    </row>
    <row r="667" spans="1:20" x14ac:dyDescent="0.2">
      <c r="A667" s="11" t="s">
        <v>1412</v>
      </c>
      <c r="B667" s="14" t="s">
        <v>36</v>
      </c>
      <c r="C667" s="11" t="s">
        <v>152</v>
      </c>
      <c r="D667" s="15">
        <v>592709648</v>
      </c>
      <c r="E667" s="11" t="s">
        <v>21</v>
      </c>
      <c r="F667" s="20">
        <v>39921</v>
      </c>
      <c r="G667" s="16" t="str">
        <f t="shared" si="20"/>
        <v>April</v>
      </c>
      <c r="H667" s="2">
        <f t="shared" ca="1" si="21"/>
        <v>10</v>
      </c>
      <c r="I667" s="17"/>
      <c r="J667" s="18">
        <v>104134</v>
      </c>
      <c r="K667" s="19">
        <v>5</v>
      </c>
      <c r="N667" s="11" t="s">
        <v>1055</v>
      </c>
      <c r="O667" s="11" t="s">
        <v>64</v>
      </c>
      <c r="P667" s="11" t="s">
        <v>40</v>
      </c>
      <c r="Q667" s="11" t="s">
        <v>219</v>
      </c>
      <c r="R667" s="20">
        <f>(42022+(3*365))+112</f>
        <v>43229</v>
      </c>
      <c r="S667" s="17">
        <v>2</v>
      </c>
      <c r="T667" s="17">
        <v>790</v>
      </c>
    </row>
    <row r="668" spans="1:20" x14ac:dyDescent="0.2">
      <c r="A668" s="11" t="s">
        <v>1350</v>
      </c>
      <c r="B668" s="14" t="s">
        <v>36</v>
      </c>
      <c r="C668" s="11" t="s">
        <v>86</v>
      </c>
      <c r="D668" s="15">
        <v>650784238</v>
      </c>
      <c r="E668" s="11" t="s">
        <v>21</v>
      </c>
      <c r="F668" s="20">
        <v>38374</v>
      </c>
      <c r="G668" s="16" t="str">
        <f t="shared" si="20"/>
        <v>January</v>
      </c>
      <c r="H668" s="2">
        <f t="shared" ca="1" si="21"/>
        <v>14</v>
      </c>
      <c r="I668" s="17"/>
      <c r="J668" s="18">
        <v>72725</v>
      </c>
      <c r="K668" s="19">
        <v>2</v>
      </c>
      <c r="N668" s="11" t="s">
        <v>752</v>
      </c>
      <c r="O668" s="11" t="s">
        <v>54</v>
      </c>
      <c r="P668" s="11" t="s">
        <v>65</v>
      </c>
      <c r="Q668" s="11" t="s">
        <v>41</v>
      </c>
      <c r="R668" s="20">
        <f>(41934+(3*365))+112</f>
        <v>43141</v>
      </c>
      <c r="S668" s="17">
        <v>7</v>
      </c>
      <c r="T668" s="17">
        <v>2945</v>
      </c>
    </row>
    <row r="669" spans="1:20" x14ac:dyDescent="0.2">
      <c r="A669" s="11" t="s">
        <v>508</v>
      </c>
      <c r="B669" s="14" t="s">
        <v>27</v>
      </c>
      <c r="C669" s="11" t="s">
        <v>254</v>
      </c>
      <c r="D669" s="15">
        <v>210173249</v>
      </c>
      <c r="E669" s="11" t="s">
        <v>21</v>
      </c>
      <c r="F669" s="20">
        <v>36667</v>
      </c>
      <c r="G669" s="16" t="str">
        <f t="shared" si="20"/>
        <v>May</v>
      </c>
      <c r="H669" s="2">
        <f t="shared" ca="1" si="21"/>
        <v>19</v>
      </c>
      <c r="I669" s="17"/>
      <c r="J669" s="18">
        <v>44078</v>
      </c>
      <c r="K669" s="19">
        <v>1</v>
      </c>
      <c r="N669" s="11" t="s">
        <v>84</v>
      </c>
      <c r="O669" s="11" t="s">
        <v>64</v>
      </c>
      <c r="P669" s="11" t="s">
        <v>40</v>
      </c>
      <c r="Q669" s="11" t="s">
        <v>41</v>
      </c>
      <c r="R669" s="20">
        <f>(41655+(3*365))+112</f>
        <v>42862</v>
      </c>
      <c r="S669" s="17">
        <v>11</v>
      </c>
      <c r="T669" s="21">
        <v>4090</v>
      </c>
    </row>
    <row r="670" spans="1:20" x14ac:dyDescent="0.2">
      <c r="A670" s="11" t="s">
        <v>1546</v>
      </c>
      <c r="B670" s="14" t="s">
        <v>19</v>
      </c>
      <c r="C670" s="11" t="s">
        <v>405</v>
      </c>
      <c r="D670" s="15">
        <v>106099892</v>
      </c>
      <c r="E670" s="11" t="s">
        <v>21</v>
      </c>
      <c r="F670" s="20">
        <v>43575</v>
      </c>
      <c r="G670" s="16" t="str">
        <f t="shared" si="20"/>
        <v>April</v>
      </c>
      <c r="H670" s="2">
        <f t="shared" ca="1" si="21"/>
        <v>0</v>
      </c>
      <c r="I670" s="17"/>
      <c r="J670" s="18">
        <v>89278</v>
      </c>
      <c r="K670" s="19">
        <v>4</v>
      </c>
      <c r="N670" s="11" t="s">
        <v>1655</v>
      </c>
      <c r="O670" s="11" t="s">
        <v>45</v>
      </c>
      <c r="P670" s="11" t="s">
        <v>40</v>
      </c>
      <c r="Q670" s="11" t="s">
        <v>41</v>
      </c>
      <c r="R670" s="20">
        <f>(42313+(3*365))+112</f>
        <v>43520</v>
      </c>
      <c r="S670" s="17">
        <v>13</v>
      </c>
      <c r="T670" s="17">
        <v>5605</v>
      </c>
    </row>
    <row r="671" spans="1:20" x14ac:dyDescent="0.2">
      <c r="A671" s="11" t="s">
        <v>1006</v>
      </c>
      <c r="B671" s="14" t="s">
        <v>27</v>
      </c>
      <c r="C671" s="11" t="s">
        <v>152</v>
      </c>
      <c r="D671" s="15">
        <v>992674973</v>
      </c>
      <c r="E671" s="11" t="s">
        <v>29</v>
      </c>
      <c r="F671" s="20">
        <v>37908</v>
      </c>
      <c r="G671" s="16" t="str">
        <f t="shared" si="20"/>
        <v>October</v>
      </c>
      <c r="H671" s="2">
        <f t="shared" ca="1" si="21"/>
        <v>15</v>
      </c>
      <c r="I671" s="17" t="s">
        <v>38</v>
      </c>
      <c r="J671" s="18">
        <v>87453</v>
      </c>
      <c r="K671" s="19">
        <v>5</v>
      </c>
      <c r="N671" s="11" t="s">
        <v>1627</v>
      </c>
      <c r="O671" s="11" t="s">
        <v>64</v>
      </c>
      <c r="P671" s="11" t="s">
        <v>40</v>
      </c>
      <c r="Q671" s="11" t="s">
        <v>120</v>
      </c>
      <c r="R671" s="20">
        <f>(42285+(3*365))+112</f>
        <v>43492</v>
      </c>
      <c r="S671" s="17">
        <v>15</v>
      </c>
      <c r="T671" s="17">
        <v>8625</v>
      </c>
    </row>
    <row r="672" spans="1:20" x14ac:dyDescent="0.2">
      <c r="A672" s="11" t="s">
        <v>488</v>
      </c>
      <c r="B672" s="14" t="s">
        <v>27</v>
      </c>
      <c r="C672" s="11" t="s">
        <v>249</v>
      </c>
      <c r="D672" s="15">
        <v>802700229</v>
      </c>
      <c r="E672" s="11" t="s">
        <v>29</v>
      </c>
      <c r="F672" s="20">
        <v>36760</v>
      </c>
      <c r="G672" s="16" t="str">
        <f t="shared" si="20"/>
        <v>August</v>
      </c>
      <c r="H672" s="2">
        <f t="shared" ca="1" si="21"/>
        <v>18</v>
      </c>
      <c r="I672" s="17" t="s">
        <v>87</v>
      </c>
      <c r="J672" s="18">
        <v>118773</v>
      </c>
      <c r="K672" s="19">
        <v>1</v>
      </c>
      <c r="N672" s="11" t="s">
        <v>1624</v>
      </c>
      <c r="O672" s="11" t="s">
        <v>64</v>
      </c>
      <c r="P672" s="11" t="s">
        <v>24</v>
      </c>
      <c r="Q672" s="11" t="s">
        <v>120</v>
      </c>
      <c r="R672" s="20">
        <f>(42284+(3*365))+112</f>
        <v>43491</v>
      </c>
      <c r="S672" s="17">
        <v>15</v>
      </c>
      <c r="T672" s="17">
        <v>5385</v>
      </c>
    </row>
    <row r="673" spans="1:20" x14ac:dyDescent="0.2">
      <c r="A673" s="11" t="s">
        <v>1240</v>
      </c>
      <c r="B673" s="14" t="s">
        <v>83</v>
      </c>
      <c r="C673" s="11" t="s">
        <v>145</v>
      </c>
      <c r="D673" s="15">
        <v>491830893</v>
      </c>
      <c r="E673" s="11" t="s">
        <v>29</v>
      </c>
      <c r="F673" s="20">
        <v>42934</v>
      </c>
      <c r="G673" s="16" t="str">
        <f t="shared" si="20"/>
        <v>July</v>
      </c>
      <c r="H673" s="2">
        <f t="shared" ca="1" si="21"/>
        <v>1</v>
      </c>
      <c r="I673" s="17" t="s">
        <v>30</v>
      </c>
      <c r="J673" s="18">
        <v>31307</v>
      </c>
      <c r="K673" s="19">
        <v>5</v>
      </c>
      <c r="N673" s="11" t="s">
        <v>1103</v>
      </c>
      <c r="O673" s="11" t="s">
        <v>49</v>
      </c>
      <c r="P673" s="11" t="s">
        <v>24</v>
      </c>
      <c r="Q673" s="11" t="s">
        <v>120</v>
      </c>
      <c r="R673" s="20">
        <f>(42039+(3*365))+112</f>
        <v>43246</v>
      </c>
      <c r="S673" s="17">
        <v>1</v>
      </c>
      <c r="T673" s="17">
        <v>355</v>
      </c>
    </row>
    <row r="674" spans="1:20" x14ac:dyDescent="0.2">
      <c r="A674" s="11" t="s">
        <v>697</v>
      </c>
      <c r="B674" s="14" t="s">
        <v>83</v>
      </c>
      <c r="C674" s="11" t="s">
        <v>214</v>
      </c>
      <c r="D674" s="15">
        <v>312019803</v>
      </c>
      <c r="E674" s="11" t="s">
        <v>29</v>
      </c>
      <c r="F674" s="20">
        <v>40085</v>
      </c>
      <c r="G674" s="16" t="str">
        <f t="shared" si="20"/>
        <v>September</v>
      </c>
      <c r="H674" s="2">
        <f t="shared" ca="1" si="21"/>
        <v>9</v>
      </c>
      <c r="I674" s="17" t="s">
        <v>30</v>
      </c>
      <c r="J674" s="18">
        <v>34169</v>
      </c>
      <c r="K674" s="19">
        <v>4</v>
      </c>
      <c r="N674" s="11" t="s">
        <v>545</v>
      </c>
      <c r="O674" s="11" t="s">
        <v>117</v>
      </c>
      <c r="P674" s="11" t="s">
        <v>24</v>
      </c>
      <c r="Q674" s="11" t="s">
        <v>120</v>
      </c>
      <c r="R674" s="20">
        <f>(41845+(3*365))+112</f>
        <v>43052</v>
      </c>
      <c r="S674" s="17">
        <v>9</v>
      </c>
      <c r="T674" s="17">
        <v>3745</v>
      </c>
    </row>
    <row r="675" spans="1:20" x14ac:dyDescent="0.2">
      <c r="A675" s="11" t="s">
        <v>82</v>
      </c>
      <c r="B675" s="14" t="s">
        <v>83</v>
      </c>
      <c r="C675" s="11" t="s">
        <v>59</v>
      </c>
      <c r="D675" s="15">
        <v>171868795</v>
      </c>
      <c r="E675" s="11" t="s">
        <v>29</v>
      </c>
      <c r="F675" s="20">
        <v>35935</v>
      </c>
      <c r="G675" s="16" t="str">
        <f t="shared" si="20"/>
        <v>May</v>
      </c>
      <c r="H675" s="2">
        <f t="shared" ca="1" si="21"/>
        <v>21</v>
      </c>
      <c r="I675" s="17" t="s">
        <v>71</v>
      </c>
      <c r="J675" s="18">
        <v>43686</v>
      </c>
      <c r="K675" s="19">
        <v>4</v>
      </c>
      <c r="N675" s="11" t="s">
        <v>1331</v>
      </c>
      <c r="O675" s="11" t="s">
        <v>45</v>
      </c>
      <c r="P675" s="11" t="s">
        <v>24</v>
      </c>
      <c r="Q675" s="11" t="s">
        <v>34</v>
      </c>
      <c r="R675" s="20">
        <f>(42143+(3*365))+112</f>
        <v>43350</v>
      </c>
      <c r="S675" s="17">
        <v>17</v>
      </c>
      <c r="T675" s="17">
        <v>5454</v>
      </c>
    </row>
    <row r="676" spans="1:20" x14ac:dyDescent="0.2">
      <c r="A676" s="11" t="s">
        <v>777</v>
      </c>
      <c r="B676" s="14" t="s">
        <v>27</v>
      </c>
      <c r="C676" s="11" t="s">
        <v>86</v>
      </c>
      <c r="D676" s="15">
        <v>567266382</v>
      </c>
      <c r="E676" s="11" t="s">
        <v>29</v>
      </c>
      <c r="F676" s="20">
        <v>38972</v>
      </c>
      <c r="G676" s="16" t="str">
        <f t="shared" si="20"/>
        <v>September</v>
      </c>
      <c r="H676" s="2">
        <f t="shared" ca="1" si="21"/>
        <v>12</v>
      </c>
      <c r="I676" s="17" t="s">
        <v>71</v>
      </c>
      <c r="J676" s="18">
        <v>67190</v>
      </c>
      <c r="K676" s="19">
        <v>1</v>
      </c>
      <c r="N676" s="11" t="s">
        <v>871</v>
      </c>
      <c r="O676" s="11" t="s">
        <v>32</v>
      </c>
      <c r="P676" s="11" t="s">
        <v>65</v>
      </c>
      <c r="Q676" s="11" t="s">
        <v>34</v>
      </c>
      <c r="R676" s="20">
        <f>(41969+(3*365))+112</f>
        <v>43176</v>
      </c>
      <c r="S676" s="17">
        <v>14</v>
      </c>
      <c r="T676" s="17">
        <v>5514</v>
      </c>
    </row>
    <row r="677" spans="1:20" x14ac:dyDescent="0.2">
      <c r="A677" s="11" t="s">
        <v>1228</v>
      </c>
      <c r="B677" s="14" t="s">
        <v>43</v>
      </c>
      <c r="C677" s="11" t="s">
        <v>104</v>
      </c>
      <c r="D677" s="15">
        <v>796079833</v>
      </c>
      <c r="E677" s="11" t="s">
        <v>80</v>
      </c>
      <c r="F677" s="20">
        <v>38420</v>
      </c>
      <c r="G677" s="16" t="str">
        <f t="shared" si="20"/>
        <v>March</v>
      </c>
      <c r="H677" s="2">
        <f t="shared" ca="1" si="21"/>
        <v>14</v>
      </c>
      <c r="I677" s="17" t="s">
        <v>47</v>
      </c>
      <c r="J677" s="18">
        <v>14884</v>
      </c>
      <c r="K677" s="19">
        <v>1</v>
      </c>
      <c r="N677" s="11" t="s">
        <v>1265</v>
      </c>
      <c r="O677" s="11" t="s">
        <v>45</v>
      </c>
      <c r="P677" s="11" t="s">
        <v>40</v>
      </c>
      <c r="Q677" s="11" t="s">
        <v>120</v>
      </c>
      <c r="R677" s="20">
        <f>(42117+(3*365))+112</f>
        <v>43324</v>
      </c>
      <c r="S677" s="17">
        <v>12</v>
      </c>
      <c r="T677" s="17">
        <v>6395</v>
      </c>
    </row>
    <row r="678" spans="1:20" x14ac:dyDescent="0.2">
      <c r="A678" s="11" t="s">
        <v>433</v>
      </c>
      <c r="B678" s="14" t="s">
        <v>83</v>
      </c>
      <c r="C678" s="11" t="s">
        <v>205</v>
      </c>
      <c r="D678" s="15">
        <v>746497232</v>
      </c>
      <c r="E678" s="11" t="s">
        <v>21</v>
      </c>
      <c r="F678" s="20">
        <v>39529</v>
      </c>
      <c r="G678" s="16" t="str">
        <f t="shared" si="20"/>
        <v>March</v>
      </c>
      <c r="H678" s="2">
        <f t="shared" ca="1" si="21"/>
        <v>11</v>
      </c>
      <c r="I678" s="17" t="s">
        <v>30</v>
      </c>
      <c r="J678" s="18">
        <v>93704</v>
      </c>
      <c r="K678" s="19">
        <v>4</v>
      </c>
      <c r="N678" s="11" t="s">
        <v>873</v>
      </c>
      <c r="O678" s="11" t="s">
        <v>49</v>
      </c>
      <c r="P678" s="11" t="s">
        <v>40</v>
      </c>
      <c r="Q678" s="11" t="s">
        <v>41</v>
      </c>
      <c r="R678" s="20">
        <f>(41970+(3*365))+112</f>
        <v>43177</v>
      </c>
      <c r="S678" s="17">
        <v>2</v>
      </c>
      <c r="T678" s="17">
        <v>660</v>
      </c>
    </row>
    <row r="679" spans="1:20" x14ac:dyDescent="0.2">
      <c r="A679" s="11" t="s">
        <v>1060</v>
      </c>
      <c r="B679" s="14" t="s">
        <v>51</v>
      </c>
      <c r="C679" s="11" t="s">
        <v>214</v>
      </c>
      <c r="D679" s="15">
        <v>624234626</v>
      </c>
      <c r="E679" s="11" t="s">
        <v>80</v>
      </c>
      <c r="F679" s="20">
        <v>38199</v>
      </c>
      <c r="G679" s="16" t="str">
        <f t="shared" si="20"/>
        <v>July</v>
      </c>
      <c r="H679" s="2">
        <f t="shared" ca="1" si="21"/>
        <v>14</v>
      </c>
      <c r="I679" s="17" t="s">
        <v>47</v>
      </c>
      <c r="J679" s="18">
        <v>62971</v>
      </c>
      <c r="K679" s="19">
        <v>5</v>
      </c>
      <c r="N679" s="11" t="s">
        <v>1599</v>
      </c>
      <c r="O679" s="11" t="s">
        <v>125</v>
      </c>
      <c r="P679" s="11" t="s">
        <v>33</v>
      </c>
      <c r="Q679" s="11" t="s">
        <v>25</v>
      </c>
      <c r="R679" s="20">
        <f>(42265+(3*365))+112</f>
        <v>43472</v>
      </c>
      <c r="S679" s="17">
        <v>13</v>
      </c>
      <c r="T679" s="17">
        <v>4695</v>
      </c>
    </row>
    <row r="680" spans="1:20" x14ac:dyDescent="0.2">
      <c r="A680" s="11" t="s">
        <v>665</v>
      </c>
      <c r="B680" s="14" t="s">
        <v>27</v>
      </c>
      <c r="C680" s="11" t="s">
        <v>59</v>
      </c>
      <c r="D680" s="15">
        <v>302598687</v>
      </c>
      <c r="E680" s="11" t="s">
        <v>29</v>
      </c>
      <c r="F680" s="20">
        <v>36942</v>
      </c>
      <c r="G680" s="16" t="str">
        <f t="shared" si="20"/>
        <v>February</v>
      </c>
      <c r="H680" s="2">
        <f t="shared" ca="1" si="21"/>
        <v>18</v>
      </c>
      <c r="I680" s="17" t="s">
        <v>47</v>
      </c>
      <c r="J680" s="18">
        <v>42984</v>
      </c>
      <c r="K680" s="19">
        <v>1</v>
      </c>
      <c r="N680" s="11" t="s">
        <v>474</v>
      </c>
      <c r="O680" s="11" t="s">
        <v>54</v>
      </c>
      <c r="P680" s="11" t="s">
        <v>40</v>
      </c>
      <c r="Q680" s="11" t="s">
        <v>25</v>
      </c>
      <c r="R680" s="20">
        <f>(41817+(3*365))+112</f>
        <v>43024</v>
      </c>
      <c r="S680" s="17">
        <v>11</v>
      </c>
      <c r="T680" s="17">
        <v>6455</v>
      </c>
    </row>
    <row r="681" spans="1:20" x14ac:dyDescent="0.2">
      <c r="A681" s="11" t="s">
        <v>1136</v>
      </c>
      <c r="B681" s="14" t="s">
        <v>19</v>
      </c>
      <c r="C681" s="11" t="s">
        <v>136</v>
      </c>
      <c r="D681" s="15">
        <v>209846975</v>
      </c>
      <c r="E681" s="11" t="s">
        <v>80</v>
      </c>
      <c r="F681" s="20">
        <v>40105</v>
      </c>
      <c r="G681" s="16" t="str">
        <f t="shared" si="20"/>
        <v>October</v>
      </c>
      <c r="H681" s="2">
        <f t="shared" ca="1" si="21"/>
        <v>9</v>
      </c>
      <c r="I681" s="17" t="s">
        <v>71</v>
      </c>
      <c r="J681" s="18">
        <v>16936</v>
      </c>
      <c r="K681" s="19">
        <v>4</v>
      </c>
      <c r="N681" s="11" t="s">
        <v>539</v>
      </c>
      <c r="O681" s="11" t="s">
        <v>45</v>
      </c>
      <c r="P681" s="11" t="s">
        <v>33</v>
      </c>
      <c r="Q681" s="11" t="s">
        <v>41</v>
      </c>
      <c r="R681" s="20">
        <f>(41844+(3*365))+112</f>
        <v>43051</v>
      </c>
      <c r="S681" s="17">
        <v>2</v>
      </c>
      <c r="T681" s="17">
        <v>1155</v>
      </c>
    </row>
    <row r="682" spans="1:20" x14ac:dyDescent="0.2">
      <c r="A682" s="11" t="s">
        <v>1248</v>
      </c>
      <c r="B682" s="14" t="s">
        <v>36</v>
      </c>
      <c r="C682" s="11" t="s">
        <v>28</v>
      </c>
      <c r="D682" s="15">
        <v>452692136</v>
      </c>
      <c r="E682" s="11" t="s">
        <v>29</v>
      </c>
      <c r="F682" s="20">
        <v>38370</v>
      </c>
      <c r="G682" s="16" t="str">
        <f t="shared" si="20"/>
        <v>January</v>
      </c>
      <c r="H682" s="2">
        <f t="shared" ca="1" si="21"/>
        <v>14</v>
      </c>
      <c r="I682" s="17" t="s">
        <v>38</v>
      </c>
      <c r="J682" s="18">
        <v>35789</v>
      </c>
      <c r="K682" s="19">
        <v>1</v>
      </c>
      <c r="N682" s="11" t="s">
        <v>559</v>
      </c>
      <c r="O682" s="11" t="s">
        <v>64</v>
      </c>
      <c r="P682" s="11" t="s">
        <v>33</v>
      </c>
      <c r="Q682" s="11" t="s">
        <v>34</v>
      </c>
      <c r="R682" s="20">
        <f>(41851+(3*365))+112</f>
        <v>43058</v>
      </c>
      <c r="S682" s="17">
        <v>12</v>
      </c>
      <c r="T682" s="17">
        <v>7029</v>
      </c>
    </row>
    <row r="683" spans="1:20" x14ac:dyDescent="0.2">
      <c r="A683" s="11" t="s">
        <v>1464</v>
      </c>
      <c r="B683" s="14" t="s">
        <v>27</v>
      </c>
      <c r="C683" s="11" t="s">
        <v>20</v>
      </c>
      <c r="D683" s="15">
        <v>252276921</v>
      </c>
      <c r="E683" s="11" t="s">
        <v>29</v>
      </c>
      <c r="F683" s="20">
        <v>40641</v>
      </c>
      <c r="G683" s="16" t="str">
        <f t="shared" si="20"/>
        <v>April</v>
      </c>
      <c r="H683" s="2">
        <f t="shared" ca="1" si="21"/>
        <v>8</v>
      </c>
      <c r="I683" s="17" t="s">
        <v>30</v>
      </c>
      <c r="J683" s="18">
        <v>117828</v>
      </c>
      <c r="K683" s="19">
        <v>4</v>
      </c>
      <c r="N683" s="11" t="s">
        <v>953</v>
      </c>
      <c r="O683" s="11" t="s">
        <v>117</v>
      </c>
      <c r="P683" s="11" t="s">
        <v>65</v>
      </c>
      <c r="Q683" s="11" t="s">
        <v>34</v>
      </c>
      <c r="R683" s="20">
        <f>(41999+(3*365))+112</f>
        <v>43206</v>
      </c>
      <c r="S683" s="17">
        <v>20</v>
      </c>
      <c r="T683" s="17">
        <v>7840</v>
      </c>
    </row>
    <row r="684" spans="1:20" x14ac:dyDescent="0.2">
      <c r="A684" s="11" t="s">
        <v>624</v>
      </c>
      <c r="B684" s="14" t="s">
        <v>19</v>
      </c>
      <c r="C684" s="11" t="s">
        <v>214</v>
      </c>
      <c r="D684" s="15">
        <v>512405919</v>
      </c>
      <c r="E684" s="11" t="s">
        <v>29</v>
      </c>
      <c r="F684" s="20">
        <v>40292</v>
      </c>
      <c r="G684" s="16" t="str">
        <f t="shared" si="20"/>
        <v>April</v>
      </c>
      <c r="H684" s="2">
        <f t="shared" ca="1" si="21"/>
        <v>9</v>
      </c>
      <c r="I684" s="17" t="s">
        <v>38</v>
      </c>
      <c r="J684" s="18">
        <v>86576</v>
      </c>
      <c r="K684" s="19">
        <v>1</v>
      </c>
      <c r="N684" s="11" t="s">
        <v>1588</v>
      </c>
      <c r="O684" s="11" t="s">
        <v>114</v>
      </c>
      <c r="P684" s="11" t="s">
        <v>24</v>
      </c>
      <c r="Q684" s="11" t="s">
        <v>41</v>
      </c>
      <c r="R684" s="20">
        <f>(42256+(3*365))+112</f>
        <v>43463</v>
      </c>
      <c r="S684" s="17">
        <v>2</v>
      </c>
      <c r="T684" s="17">
        <v>860</v>
      </c>
    </row>
    <row r="685" spans="1:20" x14ac:dyDescent="0.2">
      <c r="A685" s="11" t="s">
        <v>1170</v>
      </c>
      <c r="B685" s="14" t="s">
        <v>27</v>
      </c>
      <c r="C685" s="11" t="s">
        <v>145</v>
      </c>
      <c r="D685" s="15">
        <v>984881714</v>
      </c>
      <c r="E685" s="11" t="s">
        <v>29</v>
      </c>
      <c r="F685" s="20">
        <v>38264</v>
      </c>
      <c r="G685" s="16" t="str">
        <f t="shared" si="20"/>
        <v>October</v>
      </c>
      <c r="H685" s="2">
        <f t="shared" ca="1" si="21"/>
        <v>14</v>
      </c>
      <c r="I685" s="17" t="s">
        <v>30</v>
      </c>
      <c r="J685" s="18">
        <v>46346</v>
      </c>
      <c r="K685" s="19">
        <v>3</v>
      </c>
      <c r="N685" s="11" t="s">
        <v>1505</v>
      </c>
      <c r="O685" s="11" t="s">
        <v>125</v>
      </c>
      <c r="P685" s="11" t="s">
        <v>40</v>
      </c>
      <c r="Q685" s="11" t="s">
        <v>41</v>
      </c>
      <c r="R685" s="20">
        <f>(42208+(3*365))+112</f>
        <v>43415</v>
      </c>
      <c r="S685" s="17">
        <v>2</v>
      </c>
      <c r="T685" s="17">
        <v>1050</v>
      </c>
    </row>
    <row r="686" spans="1:20" x14ac:dyDescent="0.2">
      <c r="A686" s="11" t="s">
        <v>1512</v>
      </c>
      <c r="B686" s="14" t="s">
        <v>27</v>
      </c>
      <c r="C686" s="11" t="s">
        <v>254</v>
      </c>
      <c r="D686" s="15">
        <v>555718765</v>
      </c>
      <c r="E686" s="11" t="s">
        <v>29</v>
      </c>
      <c r="F686" s="20">
        <v>42341</v>
      </c>
      <c r="G686" s="16" t="str">
        <f t="shared" si="20"/>
        <v>December</v>
      </c>
      <c r="H686" s="2">
        <f t="shared" ca="1" si="21"/>
        <v>3</v>
      </c>
      <c r="I686" s="17" t="s">
        <v>47</v>
      </c>
      <c r="J686" s="18">
        <v>119948</v>
      </c>
      <c r="K686" s="19">
        <v>3</v>
      </c>
      <c r="N686" s="11" t="s">
        <v>1341</v>
      </c>
      <c r="O686" s="11" t="s">
        <v>64</v>
      </c>
      <c r="P686" s="11" t="s">
        <v>24</v>
      </c>
      <c r="Q686" s="11" t="s">
        <v>120</v>
      </c>
      <c r="R686" s="20">
        <f>(42147+(3*365))+112</f>
        <v>43354</v>
      </c>
      <c r="S686" s="17">
        <v>2</v>
      </c>
      <c r="T686" s="17">
        <v>685</v>
      </c>
    </row>
    <row r="687" spans="1:20" x14ac:dyDescent="0.2">
      <c r="A687" s="11" t="s">
        <v>327</v>
      </c>
      <c r="B687" s="14" t="s">
        <v>43</v>
      </c>
      <c r="C687" s="11" t="s">
        <v>136</v>
      </c>
      <c r="D687" s="15">
        <v>452255054</v>
      </c>
      <c r="E687" s="11" t="s">
        <v>21</v>
      </c>
      <c r="F687" s="20">
        <v>36434</v>
      </c>
      <c r="G687" s="16" t="str">
        <f t="shared" si="20"/>
        <v>October</v>
      </c>
      <c r="H687" s="2">
        <f t="shared" ca="1" si="21"/>
        <v>19</v>
      </c>
      <c r="I687" s="17"/>
      <c r="J687" s="18">
        <v>68634</v>
      </c>
      <c r="K687" s="19">
        <v>4</v>
      </c>
      <c r="N687" s="11" t="s">
        <v>836</v>
      </c>
      <c r="O687" s="11" t="s">
        <v>64</v>
      </c>
      <c r="P687" s="11" t="s">
        <v>65</v>
      </c>
      <c r="Q687" s="11" t="s">
        <v>219</v>
      </c>
      <c r="R687" s="20">
        <f>(41963+(3*365))+112</f>
        <v>43170</v>
      </c>
      <c r="S687" s="17">
        <v>3</v>
      </c>
      <c r="T687" s="17">
        <v>1035</v>
      </c>
    </row>
    <row r="688" spans="1:20" x14ac:dyDescent="0.2">
      <c r="A688" s="11" t="s">
        <v>922</v>
      </c>
      <c r="B688" s="14" t="s">
        <v>19</v>
      </c>
      <c r="C688" s="11" t="s">
        <v>20</v>
      </c>
      <c r="D688" s="15">
        <v>923665952</v>
      </c>
      <c r="E688" s="11" t="s">
        <v>29</v>
      </c>
      <c r="F688" s="20">
        <v>37942</v>
      </c>
      <c r="G688" s="16" t="str">
        <f t="shared" si="20"/>
        <v>November</v>
      </c>
      <c r="H688" s="2">
        <f t="shared" ca="1" si="21"/>
        <v>15</v>
      </c>
      <c r="I688" s="17" t="s">
        <v>38</v>
      </c>
      <c r="J688" s="18">
        <v>104423</v>
      </c>
      <c r="K688" s="19">
        <v>5</v>
      </c>
      <c r="N688" s="11" t="s">
        <v>997</v>
      </c>
      <c r="O688" s="11" t="s">
        <v>54</v>
      </c>
      <c r="P688" s="11" t="s">
        <v>40</v>
      </c>
      <c r="Q688" s="11" t="s">
        <v>41</v>
      </c>
      <c r="R688" s="20">
        <f>(42008+(3*365))+112</f>
        <v>43215</v>
      </c>
      <c r="S688" s="17">
        <v>2</v>
      </c>
      <c r="T688" s="17">
        <v>1030</v>
      </c>
    </row>
    <row r="689" spans="1:20" x14ac:dyDescent="0.2">
      <c r="A689" s="11" t="s">
        <v>1040</v>
      </c>
      <c r="B689" s="14" t="s">
        <v>19</v>
      </c>
      <c r="C689" s="11" t="s">
        <v>136</v>
      </c>
      <c r="D689" s="15">
        <v>505680981</v>
      </c>
      <c r="E689" s="11" t="s">
        <v>29</v>
      </c>
      <c r="F689" s="20">
        <v>39994</v>
      </c>
      <c r="G689" s="16" t="str">
        <f t="shared" si="20"/>
        <v>June</v>
      </c>
      <c r="H689" s="2">
        <f t="shared" ca="1" si="21"/>
        <v>9</v>
      </c>
      <c r="I689" s="17" t="s">
        <v>47</v>
      </c>
      <c r="J689" s="18">
        <v>39326</v>
      </c>
      <c r="K689" s="19">
        <v>1</v>
      </c>
      <c r="N689" s="11" t="s">
        <v>1191</v>
      </c>
      <c r="O689" s="11" t="s">
        <v>78</v>
      </c>
      <c r="P689" s="11" t="s">
        <v>40</v>
      </c>
      <c r="Q689" s="11" t="s">
        <v>34</v>
      </c>
      <c r="R689" s="20">
        <f>(42082+(3*365))+112</f>
        <v>43289</v>
      </c>
      <c r="S689" s="17">
        <v>18</v>
      </c>
      <c r="T689" s="17">
        <v>8370</v>
      </c>
    </row>
    <row r="690" spans="1:20" x14ac:dyDescent="0.2">
      <c r="A690" s="11" t="s">
        <v>645</v>
      </c>
      <c r="B690" s="14" t="s">
        <v>83</v>
      </c>
      <c r="C690" s="11" t="s">
        <v>214</v>
      </c>
      <c r="D690" s="15">
        <v>596008829</v>
      </c>
      <c r="E690" s="11" t="s">
        <v>21</v>
      </c>
      <c r="F690" s="20">
        <v>38867</v>
      </c>
      <c r="G690" s="16" t="str">
        <f t="shared" si="20"/>
        <v>May</v>
      </c>
      <c r="H690" s="2">
        <f t="shared" ca="1" si="21"/>
        <v>13</v>
      </c>
      <c r="I690" s="17"/>
      <c r="J690" s="18">
        <v>60818</v>
      </c>
      <c r="K690" s="19">
        <v>1</v>
      </c>
      <c r="N690" s="11" t="s">
        <v>420</v>
      </c>
      <c r="O690" s="11" t="s">
        <v>54</v>
      </c>
      <c r="P690" s="11" t="s">
        <v>33</v>
      </c>
      <c r="Q690" s="11" t="s">
        <v>25</v>
      </c>
      <c r="R690" s="20">
        <f>(41795+(3*365))+112</f>
        <v>43002</v>
      </c>
      <c r="S690" s="17">
        <v>12</v>
      </c>
      <c r="T690" s="17">
        <v>4210</v>
      </c>
    </row>
    <row r="691" spans="1:20" x14ac:dyDescent="0.2">
      <c r="A691" s="11" t="s">
        <v>1414</v>
      </c>
      <c r="B691" s="14" t="s">
        <v>36</v>
      </c>
      <c r="C691" s="11" t="s">
        <v>152</v>
      </c>
      <c r="D691" s="15">
        <v>147683641</v>
      </c>
      <c r="E691" s="11" t="s">
        <v>21</v>
      </c>
      <c r="F691" s="20">
        <v>43190</v>
      </c>
      <c r="G691" s="16" t="str">
        <f t="shared" si="20"/>
        <v>March</v>
      </c>
      <c r="H691" s="2">
        <f t="shared" ca="1" si="21"/>
        <v>1</v>
      </c>
      <c r="I691" s="17"/>
      <c r="J691" s="18">
        <v>63828</v>
      </c>
      <c r="K691" s="19">
        <v>1</v>
      </c>
      <c r="N691" s="11" t="s">
        <v>1724</v>
      </c>
      <c r="O691" s="11" t="s">
        <v>49</v>
      </c>
      <c r="P691" s="11" t="s">
        <v>24</v>
      </c>
      <c r="Q691" s="11" t="s">
        <v>219</v>
      </c>
      <c r="R691" s="20">
        <f>(42364+(3*365))+112</f>
        <v>43571</v>
      </c>
      <c r="S691" s="17">
        <v>15</v>
      </c>
      <c r="T691" s="17">
        <v>6960</v>
      </c>
    </row>
    <row r="692" spans="1:20" x14ac:dyDescent="0.2">
      <c r="A692" s="11" t="s">
        <v>413</v>
      </c>
      <c r="B692" s="14" t="s">
        <v>27</v>
      </c>
      <c r="C692" s="11" t="s">
        <v>127</v>
      </c>
      <c r="D692" s="15">
        <v>682791418</v>
      </c>
      <c r="E692" s="11" t="s">
        <v>29</v>
      </c>
      <c r="F692" s="20">
        <v>36569</v>
      </c>
      <c r="G692" s="16" t="str">
        <f t="shared" si="20"/>
        <v>February</v>
      </c>
      <c r="H692" s="2">
        <f t="shared" ca="1" si="21"/>
        <v>19</v>
      </c>
      <c r="I692" s="17" t="s">
        <v>47</v>
      </c>
      <c r="J692" s="18">
        <v>62397</v>
      </c>
      <c r="K692" s="19">
        <v>3</v>
      </c>
      <c r="N692" s="11" t="s">
        <v>434</v>
      </c>
      <c r="O692" s="11" t="s">
        <v>64</v>
      </c>
      <c r="P692" s="11" t="s">
        <v>24</v>
      </c>
      <c r="Q692" s="11" t="s">
        <v>120</v>
      </c>
      <c r="R692" s="20">
        <f>(41803+(3*365))+112</f>
        <v>43010</v>
      </c>
      <c r="S692" s="17">
        <v>14</v>
      </c>
      <c r="T692" s="17">
        <v>5615</v>
      </c>
    </row>
    <row r="693" spans="1:20" x14ac:dyDescent="0.2">
      <c r="A693" s="11" t="s">
        <v>978</v>
      </c>
      <c r="B693" s="14" t="s">
        <v>36</v>
      </c>
      <c r="C693" s="11" t="s">
        <v>254</v>
      </c>
      <c r="D693" s="15">
        <v>851400058</v>
      </c>
      <c r="E693" s="11" t="s">
        <v>80</v>
      </c>
      <c r="F693" s="20">
        <v>43249</v>
      </c>
      <c r="G693" s="16" t="str">
        <f t="shared" si="20"/>
        <v>May</v>
      </c>
      <c r="H693" s="2">
        <f t="shared" ca="1" si="21"/>
        <v>1</v>
      </c>
      <c r="I693" s="17" t="s">
        <v>47</v>
      </c>
      <c r="J693" s="18">
        <v>22849</v>
      </c>
      <c r="K693" s="19">
        <v>1</v>
      </c>
      <c r="N693" s="11" t="s">
        <v>812</v>
      </c>
      <c r="O693" s="11" t="s">
        <v>54</v>
      </c>
      <c r="P693" s="11" t="s">
        <v>24</v>
      </c>
      <c r="Q693" s="11" t="s">
        <v>25</v>
      </c>
      <c r="R693" s="20">
        <f>(41956+(3*365))+112</f>
        <v>43163</v>
      </c>
      <c r="S693" s="17">
        <v>2</v>
      </c>
      <c r="T693" s="17">
        <v>890</v>
      </c>
    </row>
    <row r="694" spans="1:20" x14ac:dyDescent="0.2">
      <c r="A694" s="11" t="s">
        <v>677</v>
      </c>
      <c r="B694" s="14" t="s">
        <v>83</v>
      </c>
      <c r="C694" s="11" t="s">
        <v>214</v>
      </c>
      <c r="D694" s="15">
        <v>366740174</v>
      </c>
      <c r="E694" s="11" t="s">
        <v>56</v>
      </c>
      <c r="F694" s="20">
        <v>37021</v>
      </c>
      <c r="G694" s="16" t="str">
        <f t="shared" si="20"/>
        <v>May</v>
      </c>
      <c r="H694" s="2">
        <f t="shared" ca="1" si="21"/>
        <v>18</v>
      </c>
      <c r="I694" s="17"/>
      <c r="J694" s="18">
        <v>41062</v>
      </c>
      <c r="K694" s="19">
        <v>1</v>
      </c>
      <c r="N694" s="11" t="s">
        <v>1029</v>
      </c>
      <c r="O694" s="11" t="s">
        <v>49</v>
      </c>
      <c r="P694" s="11" t="s">
        <v>40</v>
      </c>
      <c r="Q694" s="11" t="s">
        <v>219</v>
      </c>
      <c r="R694" s="20">
        <f>(42016+(3*365))+112</f>
        <v>43223</v>
      </c>
      <c r="S694" s="17">
        <v>11</v>
      </c>
      <c r="T694" s="17">
        <v>4420</v>
      </c>
    </row>
    <row r="695" spans="1:20" x14ac:dyDescent="0.2">
      <c r="A695" s="11" t="s">
        <v>1332</v>
      </c>
      <c r="B695" s="14" t="s">
        <v>51</v>
      </c>
      <c r="C695" s="11" t="s">
        <v>145</v>
      </c>
      <c r="D695" s="15">
        <v>368385341</v>
      </c>
      <c r="E695" s="11" t="s">
        <v>21</v>
      </c>
      <c r="F695" s="20">
        <v>39938</v>
      </c>
      <c r="G695" s="16" t="str">
        <f t="shared" si="20"/>
        <v>May</v>
      </c>
      <c r="H695" s="2">
        <f t="shared" ca="1" si="21"/>
        <v>10</v>
      </c>
      <c r="I695" s="17"/>
      <c r="J695" s="18">
        <v>63153</v>
      </c>
      <c r="K695" s="19">
        <v>2</v>
      </c>
      <c r="N695" s="11" t="s">
        <v>300</v>
      </c>
      <c r="O695" s="11" t="s">
        <v>114</v>
      </c>
      <c r="P695" s="11" t="s">
        <v>65</v>
      </c>
      <c r="Q695" s="11" t="s">
        <v>219</v>
      </c>
      <c r="R695" s="20">
        <f>(41743+(3*365))+112</f>
        <v>42950</v>
      </c>
      <c r="S695" s="17">
        <v>8</v>
      </c>
      <c r="T695" s="17">
        <v>4535</v>
      </c>
    </row>
    <row r="696" spans="1:20" x14ac:dyDescent="0.2">
      <c r="A696" s="11" t="s">
        <v>626</v>
      </c>
      <c r="B696" s="14" t="s">
        <v>27</v>
      </c>
      <c r="C696" s="11" t="s">
        <v>214</v>
      </c>
      <c r="D696" s="15">
        <v>114005397</v>
      </c>
      <c r="E696" s="11" t="s">
        <v>21</v>
      </c>
      <c r="F696" s="20">
        <v>42045</v>
      </c>
      <c r="G696" s="16" t="str">
        <f t="shared" si="20"/>
        <v>February</v>
      </c>
      <c r="H696" s="2">
        <f t="shared" ca="1" si="21"/>
        <v>4</v>
      </c>
      <c r="I696" s="17"/>
      <c r="J696" s="18">
        <v>86198</v>
      </c>
      <c r="K696" s="19">
        <v>2</v>
      </c>
      <c r="N696" s="11" t="s">
        <v>1307</v>
      </c>
      <c r="O696" s="11" t="s">
        <v>64</v>
      </c>
      <c r="P696" s="11" t="s">
        <v>40</v>
      </c>
      <c r="Q696" s="11" t="s">
        <v>34</v>
      </c>
      <c r="R696" s="20">
        <f>(42134+(3*365))+112</f>
        <v>43341</v>
      </c>
      <c r="S696" s="17">
        <v>8</v>
      </c>
      <c r="T696" s="17">
        <v>3347</v>
      </c>
    </row>
    <row r="697" spans="1:20" x14ac:dyDescent="0.2">
      <c r="A697" s="11" t="s">
        <v>486</v>
      </c>
      <c r="B697" s="14" t="s">
        <v>27</v>
      </c>
      <c r="C697" s="11" t="s">
        <v>86</v>
      </c>
      <c r="D697" s="15">
        <v>275102740</v>
      </c>
      <c r="E697" s="11" t="s">
        <v>29</v>
      </c>
      <c r="F697" s="20">
        <v>36551</v>
      </c>
      <c r="G697" s="16" t="str">
        <f t="shared" si="20"/>
        <v>January</v>
      </c>
      <c r="H697" s="2">
        <f t="shared" ca="1" si="21"/>
        <v>19</v>
      </c>
      <c r="I697" s="17" t="s">
        <v>87</v>
      </c>
      <c r="J697" s="18">
        <v>81756</v>
      </c>
      <c r="K697" s="19">
        <v>4</v>
      </c>
      <c r="N697" s="11" t="s">
        <v>1633</v>
      </c>
      <c r="O697" s="11" t="s">
        <v>54</v>
      </c>
      <c r="P697" s="11" t="s">
        <v>40</v>
      </c>
      <c r="Q697" s="11" t="s">
        <v>41</v>
      </c>
      <c r="R697" s="20">
        <f>(42290+(3*365))+112</f>
        <v>43497</v>
      </c>
      <c r="S697" s="17">
        <v>4</v>
      </c>
      <c r="T697" s="17">
        <v>1710</v>
      </c>
    </row>
    <row r="698" spans="1:20" x14ac:dyDescent="0.2">
      <c r="A698" s="11" t="s">
        <v>504</v>
      </c>
      <c r="B698" s="14" t="s">
        <v>19</v>
      </c>
      <c r="C698" s="11" t="s">
        <v>254</v>
      </c>
      <c r="D698" s="15">
        <v>150132247</v>
      </c>
      <c r="E698" s="11" t="s">
        <v>29</v>
      </c>
      <c r="F698" s="20">
        <v>36737</v>
      </c>
      <c r="G698" s="16" t="str">
        <f t="shared" si="20"/>
        <v>July</v>
      </c>
      <c r="H698" s="2">
        <f t="shared" ca="1" si="21"/>
        <v>18</v>
      </c>
      <c r="I698" s="17" t="s">
        <v>71</v>
      </c>
      <c r="J698" s="18">
        <v>63329</v>
      </c>
      <c r="K698" s="19">
        <v>3</v>
      </c>
      <c r="N698" s="11" t="s">
        <v>189</v>
      </c>
      <c r="O698" s="11" t="s">
        <v>64</v>
      </c>
      <c r="P698" s="11" t="s">
        <v>65</v>
      </c>
      <c r="Q698" s="11" t="s">
        <v>120</v>
      </c>
      <c r="R698" s="20">
        <f>(41690+(3*365))+112</f>
        <v>42897</v>
      </c>
      <c r="S698" s="17">
        <v>8</v>
      </c>
      <c r="T698" s="21">
        <v>4305</v>
      </c>
    </row>
    <row r="699" spans="1:20" x14ac:dyDescent="0.2">
      <c r="A699" s="11" t="s">
        <v>1416</v>
      </c>
      <c r="B699" s="14" t="s">
        <v>27</v>
      </c>
      <c r="C699" s="11" t="s">
        <v>152</v>
      </c>
      <c r="D699" s="15">
        <v>695198896</v>
      </c>
      <c r="E699" s="11" t="s">
        <v>21</v>
      </c>
      <c r="F699" s="20">
        <v>38682</v>
      </c>
      <c r="G699" s="16" t="str">
        <f t="shared" si="20"/>
        <v>November</v>
      </c>
      <c r="H699" s="2">
        <f t="shared" ca="1" si="21"/>
        <v>13</v>
      </c>
      <c r="I699" s="17"/>
      <c r="J699" s="18">
        <v>60791</v>
      </c>
      <c r="K699" s="19">
        <v>3</v>
      </c>
      <c r="N699" s="11" t="s">
        <v>726</v>
      </c>
      <c r="O699" s="11" t="s">
        <v>117</v>
      </c>
      <c r="P699" s="11" t="s">
        <v>65</v>
      </c>
      <c r="Q699" s="11" t="s">
        <v>219</v>
      </c>
      <c r="R699" s="20">
        <f>(41921+(3*365))+112</f>
        <v>43128</v>
      </c>
      <c r="S699" s="17">
        <v>7</v>
      </c>
      <c r="T699" s="17">
        <v>2150</v>
      </c>
    </row>
    <row r="700" spans="1:20" x14ac:dyDescent="0.2">
      <c r="A700" s="11" t="s">
        <v>757</v>
      </c>
      <c r="B700" s="14" t="s">
        <v>43</v>
      </c>
      <c r="C700" s="11" t="s">
        <v>86</v>
      </c>
      <c r="D700" s="15">
        <v>662247915</v>
      </c>
      <c r="E700" s="11" t="s">
        <v>29</v>
      </c>
      <c r="F700" s="20">
        <v>39796</v>
      </c>
      <c r="G700" s="16" t="str">
        <f t="shared" si="20"/>
        <v>December</v>
      </c>
      <c r="H700" s="2">
        <f t="shared" ca="1" si="21"/>
        <v>10</v>
      </c>
      <c r="I700" s="17" t="s">
        <v>47</v>
      </c>
      <c r="J700" s="18">
        <v>66137</v>
      </c>
      <c r="K700" s="19">
        <v>5</v>
      </c>
      <c r="N700" s="11" t="s">
        <v>452</v>
      </c>
      <c r="O700" s="11" t="s">
        <v>49</v>
      </c>
      <c r="P700" s="11" t="s">
        <v>33</v>
      </c>
      <c r="Q700" s="11" t="s">
        <v>25</v>
      </c>
      <c r="R700" s="20">
        <f>(41810+(3*365))+112</f>
        <v>43017</v>
      </c>
      <c r="S700" s="17">
        <v>14</v>
      </c>
      <c r="T700" s="17">
        <v>5405</v>
      </c>
    </row>
    <row r="701" spans="1:20" x14ac:dyDescent="0.2">
      <c r="A701" s="11" t="s">
        <v>1246</v>
      </c>
      <c r="B701" s="14" t="s">
        <v>19</v>
      </c>
      <c r="C701" s="11" t="s">
        <v>145</v>
      </c>
      <c r="D701" s="15">
        <v>644489557</v>
      </c>
      <c r="E701" s="11" t="s">
        <v>29</v>
      </c>
      <c r="F701" s="20">
        <v>38868</v>
      </c>
      <c r="G701" s="16" t="str">
        <f t="shared" si="20"/>
        <v>May</v>
      </c>
      <c r="H701" s="2">
        <f t="shared" ca="1" si="21"/>
        <v>13</v>
      </c>
      <c r="I701" s="17" t="s">
        <v>87</v>
      </c>
      <c r="J701" s="18">
        <v>106583</v>
      </c>
      <c r="K701" s="19">
        <v>1</v>
      </c>
      <c r="N701" s="11" t="s">
        <v>1491</v>
      </c>
      <c r="O701" s="11" t="s">
        <v>32</v>
      </c>
      <c r="P701" s="11" t="s">
        <v>33</v>
      </c>
      <c r="Q701" s="11" t="s">
        <v>120</v>
      </c>
      <c r="R701" s="20">
        <f>(42201+(3*365))+112</f>
        <v>43408</v>
      </c>
      <c r="S701" s="17">
        <v>4</v>
      </c>
      <c r="T701" s="17">
        <v>1385</v>
      </c>
    </row>
    <row r="702" spans="1:20" x14ac:dyDescent="0.2">
      <c r="A702" s="11" t="s">
        <v>240</v>
      </c>
      <c r="B702" s="14" t="s">
        <v>19</v>
      </c>
      <c r="C702" s="11" t="s">
        <v>20</v>
      </c>
      <c r="D702" s="15">
        <v>721169660</v>
      </c>
      <c r="E702" s="11" t="s">
        <v>29</v>
      </c>
      <c r="F702" s="20">
        <v>43130</v>
      </c>
      <c r="G702" s="16" t="str">
        <f t="shared" si="20"/>
        <v>January</v>
      </c>
      <c r="H702" s="2">
        <f t="shared" ca="1" si="21"/>
        <v>1</v>
      </c>
      <c r="I702" s="17" t="s">
        <v>87</v>
      </c>
      <c r="J702" s="18">
        <v>52286</v>
      </c>
      <c r="K702" s="19">
        <v>1</v>
      </c>
      <c r="N702" s="11" t="s">
        <v>1381</v>
      </c>
      <c r="O702" s="11" t="s">
        <v>78</v>
      </c>
      <c r="P702" s="11" t="s">
        <v>33</v>
      </c>
      <c r="Q702" s="11" t="s">
        <v>120</v>
      </c>
      <c r="R702" s="20">
        <f>(42158+(3*365))+112</f>
        <v>43365</v>
      </c>
      <c r="S702" s="17">
        <v>4</v>
      </c>
      <c r="T702" s="17">
        <v>1335</v>
      </c>
    </row>
    <row r="703" spans="1:20" x14ac:dyDescent="0.2">
      <c r="A703" s="11" t="s">
        <v>1152</v>
      </c>
      <c r="B703" s="14" t="s">
        <v>27</v>
      </c>
      <c r="C703" s="11" t="s">
        <v>136</v>
      </c>
      <c r="D703" s="15">
        <v>475671127</v>
      </c>
      <c r="E703" s="11" t="s">
        <v>29</v>
      </c>
      <c r="F703" s="20">
        <v>38814</v>
      </c>
      <c r="G703" s="16" t="str">
        <f t="shared" si="20"/>
        <v>April</v>
      </c>
      <c r="H703" s="2">
        <f t="shared" ca="1" si="21"/>
        <v>13</v>
      </c>
      <c r="I703" s="17" t="s">
        <v>30</v>
      </c>
      <c r="J703" s="18">
        <v>82917</v>
      </c>
      <c r="K703" s="19">
        <v>4</v>
      </c>
      <c r="N703" s="11" t="s">
        <v>762</v>
      </c>
      <c r="O703" s="11" t="s">
        <v>54</v>
      </c>
      <c r="P703" s="11" t="s">
        <v>40</v>
      </c>
      <c r="Q703" s="11" t="s">
        <v>41</v>
      </c>
      <c r="R703" s="20">
        <f>(41935+(3*365))+112</f>
        <v>43142</v>
      </c>
      <c r="S703" s="17">
        <v>7</v>
      </c>
      <c r="T703" s="17">
        <v>3660</v>
      </c>
    </row>
    <row r="704" spans="1:20" x14ac:dyDescent="0.2">
      <c r="A704" s="11" t="s">
        <v>745</v>
      </c>
      <c r="B704" s="14" t="s">
        <v>43</v>
      </c>
      <c r="C704" s="11" t="s">
        <v>478</v>
      </c>
      <c r="D704" s="15">
        <v>620072502</v>
      </c>
      <c r="E704" s="11" t="s">
        <v>29</v>
      </c>
      <c r="F704" s="20">
        <v>41894</v>
      </c>
      <c r="G704" s="16" t="str">
        <f t="shared" si="20"/>
        <v>September</v>
      </c>
      <c r="H704" s="2">
        <f t="shared" ca="1" si="21"/>
        <v>4</v>
      </c>
      <c r="I704" s="17" t="s">
        <v>71</v>
      </c>
      <c r="J704" s="18">
        <v>96390</v>
      </c>
      <c r="K704" s="19">
        <v>4</v>
      </c>
      <c r="N704" s="11" t="s">
        <v>1657</v>
      </c>
      <c r="O704" s="11" t="s">
        <v>54</v>
      </c>
      <c r="P704" s="11" t="s">
        <v>65</v>
      </c>
      <c r="Q704" s="11" t="s">
        <v>41</v>
      </c>
      <c r="R704" s="20">
        <f>(42314+(3*365))+112</f>
        <v>43521</v>
      </c>
      <c r="S704" s="17">
        <v>2</v>
      </c>
      <c r="T704" s="17">
        <v>900</v>
      </c>
    </row>
    <row r="705" spans="1:20" x14ac:dyDescent="0.2">
      <c r="A705" s="11" t="s">
        <v>717</v>
      </c>
      <c r="B705" s="14" t="s">
        <v>36</v>
      </c>
      <c r="C705" s="11" t="s">
        <v>86</v>
      </c>
      <c r="D705" s="15">
        <v>466400098</v>
      </c>
      <c r="E705" s="11" t="s">
        <v>21</v>
      </c>
      <c r="F705" s="20">
        <v>36910</v>
      </c>
      <c r="G705" s="16" t="str">
        <f t="shared" si="20"/>
        <v>January</v>
      </c>
      <c r="H705" s="2">
        <f t="shared" ca="1" si="21"/>
        <v>18</v>
      </c>
      <c r="I705" s="17"/>
      <c r="J705" s="18">
        <v>39150</v>
      </c>
      <c r="K705" s="19">
        <v>5</v>
      </c>
      <c r="N705" s="11" t="s">
        <v>1301</v>
      </c>
      <c r="O705" s="11" t="s">
        <v>117</v>
      </c>
      <c r="P705" s="11" t="s">
        <v>24</v>
      </c>
      <c r="Q705" s="11" t="s">
        <v>120</v>
      </c>
      <c r="R705" s="20">
        <f>(42130+(3*365))+112</f>
        <v>43337</v>
      </c>
      <c r="S705" s="17">
        <v>11</v>
      </c>
      <c r="T705" s="17">
        <v>6525</v>
      </c>
    </row>
    <row r="706" spans="1:20" x14ac:dyDescent="0.2">
      <c r="A706" s="4" t="s">
        <v>940</v>
      </c>
      <c r="B706" s="14" t="s">
        <v>19</v>
      </c>
      <c r="C706" s="11" t="s">
        <v>59</v>
      </c>
      <c r="D706" s="15">
        <v>622274162</v>
      </c>
      <c r="E706" s="11" t="s">
        <v>21</v>
      </c>
      <c r="F706" s="20">
        <v>37627</v>
      </c>
      <c r="G706" s="16" t="str">
        <f t="shared" ref="G706:G742" si="22">CHOOSE(MONTH(F706),"January","February","March","April","May","June","July","August","September","October","November","December")</f>
        <v>January</v>
      </c>
      <c r="H706" s="2">
        <f t="shared" ref="H706:H742" ca="1" si="23">DATEDIF(F706,TODAY(),"Y")</f>
        <v>16</v>
      </c>
      <c r="I706" s="17"/>
      <c r="J706" s="18">
        <v>35586</v>
      </c>
      <c r="K706" s="19">
        <v>4</v>
      </c>
      <c r="N706" s="11" t="s">
        <v>1179</v>
      </c>
      <c r="O706" s="11" t="s">
        <v>78</v>
      </c>
      <c r="P706" s="11" t="s">
        <v>24</v>
      </c>
      <c r="Q706" s="11" t="s">
        <v>120</v>
      </c>
      <c r="R706" s="20">
        <f>(42077+(3*365))+112</f>
        <v>43284</v>
      </c>
      <c r="S706" s="17">
        <v>11</v>
      </c>
      <c r="T706" s="17">
        <v>3565</v>
      </c>
    </row>
    <row r="707" spans="1:20" x14ac:dyDescent="0.2">
      <c r="A707" s="11" t="s">
        <v>1500</v>
      </c>
      <c r="B707" s="14" t="s">
        <v>51</v>
      </c>
      <c r="C707" s="11" t="s">
        <v>214</v>
      </c>
      <c r="D707" s="15">
        <v>240272873</v>
      </c>
      <c r="E707" s="11" t="s">
        <v>21</v>
      </c>
      <c r="F707" s="20">
        <v>41768</v>
      </c>
      <c r="G707" s="16" t="str">
        <f t="shared" si="22"/>
        <v>May</v>
      </c>
      <c r="H707" s="2">
        <f t="shared" ca="1" si="23"/>
        <v>5</v>
      </c>
      <c r="I707" s="17"/>
      <c r="J707" s="18">
        <v>108446</v>
      </c>
      <c r="K707" s="19">
        <v>4</v>
      </c>
      <c r="N707" s="11" t="s">
        <v>1311</v>
      </c>
      <c r="O707" s="11" t="s">
        <v>75</v>
      </c>
      <c r="P707" s="11" t="s">
        <v>24</v>
      </c>
      <c r="Q707" s="11" t="s">
        <v>120</v>
      </c>
      <c r="R707" s="20">
        <f>(42134+(3*365))+112</f>
        <v>43341</v>
      </c>
      <c r="S707" s="17">
        <v>8</v>
      </c>
      <c r="T707" s="17">
        <v>4550</v>
      </c>
    </row>
    <row r="708" spans="1:20" x14ac:dyDescent="0.2">
      <c r="A708" s="11" t="s">
        <v>630</v>
      </c>
      <c r="B708" s="14" t="s">
        <v>43</v>
      </c>
      <c r="C708" s="11" t="s">
        <v>152</v>
      </c>
      <c r="D708" s="15">
        <v>741258203</v>
      </c>
      <c r="E708" s="11" t="s">
        <v>21</v>
      </c>
      <c r="F708" s="20">
        <v>36645</v>
      </c>
      <c r="G708" s="16" t="str">
        <f t="shared" si="22"/>
        <v>April</v>
      </c>
      <c r="H708" s="2">
        <f t="shared" ca="1" si="23"/>
        <v>19</v>
      </c>
      <c r="I708" s="17"/>
      <c r="J708" s="18">
        <v>79823</v>
      </c>
      <c r="K708" s="19">
        <v>4</v>
      </c>
      <c r="N708" s="11" t="s">
        <v>495</v>
      </c>
      <c r="O708" s="11" t="s">
        <v>45</v>
      </c>
      <c r="P708" s="11" t="s">
        <v>40</v>
      </c>
      <c r="Q708" s="11" t="s">
        <v>120</v>
      </c>
      <c r="R708" s="20">
        <f>(41826+(3*365))+112</f>
        <v>43033</v>
      </c>
      <c r="S708" s="17">
        <v>2</v>
      </c>
      <c r="T708" s="17">
        <v>915</v>
      </c>
    </row>
    <row r="709" spans="1:20" x14ac:dyDescent="0.2">
      <c r="A709" s="11" t="s">
        <v>1410</v>
      </c>
      <c r="B709" s="14" t="s">
        <v>83</v>
      </c>
      <c r="C709" s="11" t="s">
        <v>152</v>
      </c>
      <c r="D709" s="15">
        <v>311309049</v>
      </c>
      <c r="E709" s="11" t="s">
        <v>29</v>
      </c>
      <c r="F709" s="20">
        <v>39099</v>
      </c>
      <c r="G709" s="16" t="str">
        <f t="shared" si="22"/>
        <v>January</v>
      </c>
      <c r="H709" s="2">
        <f t="shared" ca="1" si="23"/>
        <v>12</v>
      </c>
      <c r="I709" s="17" t="s">
        <v>71</v>
      </c>
      <c r="J709" s="18">
        <v>104868</v>
      </c>
      <c r="K709" s="19">
        <v>3</v>
      </c>
      <c r="N709" s="11" t="s">
        <v>155</v>
      </c>
      <c r="O709" s="11" t="s">
        <v>117</v>
      </c>
      <c r="P709" s="11" t="s">
        <v>40</v>
      </c>
      <c r="Q709" s="11" t="s">
        <v>120</v>
      </c>
      <c r="R709" s="20">
        <f>(41681+(3*365))+112</f>
        <v>42888</v>
      </c>
      <c r="S709" s="17">
        <v>11</v>
      </c>
      <c r="T709" s="21">
        <v>4585</v>
      </c>
    </row>
    <row r="710" spans="1:20" x14ac:dyDescent="0.2">
      <c r="A710" s="11" t="s">
        <v>1274</v>
      </c>
      <c r="B710" s="14" t="s">
        <v>19</v>
      </c>
      <c r="C710" s="11" t="s">
        <v>145</v>
      </c>
      <c r="D710" s="15">
        <v>836953739</v>
      </c>
      <c r="E710" s="11" t="s">
        <v>80</v>
      </c>
      <c r="F710" s="20">
        <v>39387</v>
      </c>
      <c r="G710" s="16" t="str">
        <f t="shared" si="22"/>
        <v>November</v>
      </c>
      <c r="H710" s="2">
        <f t="shared" ca="1" si="23"/>
        <v>11</v>
      </c>
      <c r="I710" s="17" t="s">
        <v>38</v>
      </c>
      <c r="J710" s="18">
        <v>28337</v>
      </c>
      <c r="K710" s="19">
        <v>4</v>
      </c>
      <c r="N710" s="11" t="s">
        <v>772</v>
      </c>
      <c r="O710" s="11" t="s">
        <v>54</v>
      </c>
      <c r="P710" s="11" t="s">
        <v>40</v>
      </c>
      <c r="Q710" s="11" t="s">
        <v>41</v>
      </c>
      <c r="R710" s="20">
        <f>(41938+(3*365))+112</f>
        <v>43145</v>
      </c>
      <c r="S710" s="17">
        <v>12</v>
      </c>
      <c r="T710" s="17">
        <v>6670</v>
      </c>
    </row>
    <row r="711" spans="1:20" x14ac:dyDescent="0.2">
      <c r="A711" s="11" t="s">
        <v>492</v>
      </c>
      <c r="B711" s="14" t="s">
        <v>27</v>
      </c>
      <c r="C711" s="11" t="s">
        <v>254</v>
      </c>
      <c r="D711" s="15">
        <v>474117484</v>
      </c>
      <c r="E711" s="11" t="s">
        <v>29</v>
      </c>
      <c r="F711" s="20">
        <v>36498</v>
      </c>
      <c r="G711" s="16" t="str">
        <f t="shared" si="22"/>
        <v>December</v>
      </c>
      <c r="H711" s="2">
        <f t="shared" ca="1" si="23"/>
        <v>19</v>
      </c>
      <c r="I711" s="17" t="s">
        <v>47</v>
      </c>
      <c r="J711" s="18">
        <v>107690</v>
      </c>
      <c r="K711" s="19">
        <v>4</v>
      </c>
      <c r="N711" s="11" t="s">
        <v>292</v>
      </c>
      <c r="O711" s="11" t="s">
        <v>114</v>
      </c>
      <c r="P711" s="11" t="s">
        <v>40</v>
      </c>
      <c r="Q711" s="11" t="s">
        <v>34</v>
      </c>
      <c r="R711" s="20">
        <f>(41739+(3*365))+112</f>
        <v>42946</v>
      </c>
      <c r="S711" s="17">
        <v>18</v>
      </c>
      <c r="T711" s="17">
        <v>8550</v>
      </c>
    </row>
    <row r="712" spans="1:20" x14ac:dyDescent="0.2">
      <c r="A712" s="11" t="s">
        <v>1016</v>
      </c>
      <c r="B712" s="14" t="s">
        <v>83</v>
      </c>
      <c r="C712" s="11" t="s">
        <v>127</v>
      </c>
      <c r="D712" s="15">
        <v>529609767</v>
      </c>
      <c r="E712" s="11" t="s">
        <v>21</v>
      </c>
      <c r="F712" s="20">
        <v>38251</v>
      </c>
      <c r="G712" s="16" t="str">
        <f t="shared" si="22"/>
        <v>September</v>
      </c>
      <c r="H712" s="2">
        <f t="shared" ca="1" si="23"/>
        <v>14</v>
      </c>
      <c r="I712" s="17"/>
      <c r="J712" s="18">
        <v>78476</v>
      </c>
      <c r="K712" s="19">
        <v>2</v>
      </c>
      <c r="N712" s="11" t="s">
        <v>105</v>
      </c>
      <c r="O712" s="11" t="s">
        <v>45</v>
      </c>
      <c r="P712" s="11" t="s">
        <v>24</v>
      </c>
      <c r="Q712" s="11" t="s">
        <v>34</v>
      </c>
      <c r="R712" s="20">
        <f>(41667+(3*365))+112</f>
        <v>42874</v>
      </c>
      <c r="S712" s="17">
        <v>7</v>
      </c>
      <c r="T712" s="17">
        <v>2975</v>
      </c>
    </row>
    <row r="713" spans="1:20" x14ac:dyDescent="0.2">
      <c r="A713" s="11" t="s">
        <v>1168</v>
      </c>
      <c r="B713" s="14" t="s">
        <v>43</v>
      </c>
      <c r="C713" s="11" t="s">
        <v>136</v>
      </c>
      <c r="D713" s="15">
        <v>991221095</v>
      </c>
      <c r="E713" s="11" t="s">
        <v>29</v>
      </c>
      <c r="F713" s="20">
        <v>38007</v>
      </c>
      <c r="G713" s="16" t="str">
        <f t="shared" si="22"/>
        <v>January</v>
      </c>
      <c r="H713" s="2">
        <f t="shared" ca="1" si="23"/>
        <v>15</v>
      </c>
      <c r="I713" s="17" t="s">
        <v>71</v>
      </c>
      <c r="J713" s="18">
        <v>40176</v>
      </c>
      <c r="K713" s="19">
        <v>2</v>
      </c>
      <c r="N713" s="11" t="s">
        <v>481</v>
      </c>
      <c r="O713" s="11" t="s">
        <v>23</v>
      </c>
      <c r="P713" s="11" t="s">
        <v>40</v>
      </c>
      <c r="Q713" s="11" t="s">
        <v>25</v>
      </c>
      <c r="R713" s="20">
        <f>(41818+(3*365))+112</f>
        <v>43025</v>
      </c>
      <c r="S713" s="17">
        <v>2</v>
      </c>
      <c r="T713" s="17">
        <v>820</v>
      </c>
    </row>
    <row r="714" spans="1:20" x14ac:dyDescent="0.2">
      <c r="A714" s="11" t="s">
        <v>222</v>
      </c>
      <c r="B714" s="14" t="s">
        <v>43</v>
      </c>
      <c r="C714" s="11" t="s">
        <v>20</v>
      </c>
      <c r="D714" s="15">
        <v>365117800</v>
      </c>
      <c r="E714" s="11" t="s">
        <v>29</v>
      </c>
      <c r="F714" s="20">
        <v>40816</v>
      </c>
      <c r="G714" s="16" t="str">
        <f t="shared" si="22"/>
        <v>September</v>
      </c>
      <c r="H714" s="2">
        <f t="shared" ca="1" si="23"/>
        <v>7</v>
      </c>
      <c r="I714" s="17" t="s">
        <v>47</v>
      </c>
      <c r="J714" s="18">
        <v>90302</v>
      </c>
      <c r="K714" s="19">
        <v>5</v>
      </c>
      <c r="N714" s="11" t="s">
        <v>1693</v>
      </c>
      <c r="O714" s="11" t="s">
        <v>78</v>
      </c>
      <c r="P714" s="11" t="s">
        <v>33</v>
      </c>
      <c r="Q714" s="11" t="s">
        <v>219</v>
      </c>
      <c r="R714" s="20">
        <f>(42342+(3*365))+112</f>
        <v>43549</v>
      </c>
      <c r="S714" s="17">
        <v>5</v>
      </c>
      <c r="T714" s="17">
        <v>2635</v>
      </c>
    </row>
    <row r="715" spans="1:20" x14ac:dyDescent="0.2">
      <c r="A715" s="11" t="s">
        <v>974</v>
      </c>
      <c r="B715" s="14" t="s">
        <v>27</v>
      </c>
      <c r="C715" s="11" t="s">
        <v>864</v>
      </c>
      <c r="D715" s="15">
        <v>974912089</v>
      </c>
      <c r="E715" s="11" t="s">
        <v>29</v>
      </c>
      <c r="F715" s="20">
        <v>37670</v>
      </c>
      <c r="G715" s="16" t="str">
        <f t="shared" si="22"/>
        <v>February</v>
      </c>
      <c r="H715" s="2">
        <f t="shared" ca="1" si="23"/>
        <v>16</v>
      </c>
      <c r="I715" s="17" t="s">
        <v>47</v>
      </c>
      <c r="J715" s="18">
        <v>85307</v>
      </c>
      <c r="K715" s="19">
        <v>1</v>
      </c>
      <c r="N715" s="11" t="s">
        <v>1043</v>
      </c>
      <c r="O715" s="11" t="s">
        <v>45</v>
      </c>
      <c r="P715" s="11" t="s">
        <v>40</v>
      </c>
      <c r="Q715" s="11" t="s">
        <v>219</v>
      </c>
      <c r="R715" s="20">
        <f>(42019+(3*365))+112</f>
        <v>43226</v>
      </c>
      <c r="S715" s="17">
        <v>15</v>
      </c>
      <c r="T715" s="17">
        <v>8490</v>
      </c>
    </row>
    <row r="716" spans="1:20" x14ac:dyDescent="0.2">
      <c r="A716" s="11" t="s">
        <v>749</v>
      </c>
      <c r="B716" s="14" t="s">
        <v>36</v>
      </c>
      <c r="C716" s="11" t="s">
        <v>478</v>
      </c>
      <c r="D716" s="15">
        <v>380343690</v>
      </c>
      <c r="E716" s="11" t="s">
        <v>21</v>
      </c>
      <c r="F716" s="20">
        <v>43148</v>
      </c>
      <c r="G716" s="16" t="str">
        <f t="shared" si="22"/>
        <v>February</v>
      </c>
      <c r="H716" s="2">
        <f t="shared" ca="1" si="23"/>
        <v>1</v>
      </c>
      <c r="I716" s="17"/>
      <c r="J716" s="18">
        <v>83552</v>
      </c>
      <c r="K716" s="19">
        <v>2</v>
      </c>
      <c r="N716" s="11" t="s">
        <v>414</v>
      </c>
      <c r="O716" s="11" t="s">
        <v>64</v>
      </c>
      <c r="P716" s="11" t="s">
        <v>24</v>
      </c>
      <c r="Q716" s="11" t="s">
        <v>25</v>
      </c>
      <c r="R716" s="20">
        <f>(41788+(3*365))+112</f>
        <v>42995</v>
      </c>
      <c r="S716" s="17">
        <v>9</v>
      </c>
      <c r="T716" s="17">
        <v>4040</v>
      </c>
    </row>
    <row r="717" spans="1:20" x14ac:dyDescent="0.2">
      <c r="A717" s="11" t="s">
        <v>340</v>
      </c>
      <c r="B717" s="14" t="s">
        <v>43</v>
      </c>
      <c r="C717" s="11" t="s">
        <v>336</v>
      </c>
      <c r="D717" s="15">
        <v>885773638</v>
      </c>
      <c r="E717" s="11" t="s">
        <v>29</v>
      </c>
      <c r="F717" s="20">
        <v>39425</v>
      </c>
      <c r="G717" s="16" t="str">
        <f t="shared" si="22"/>
        <v>December</v>
      </c>
      <c r="H717" s="2">
        <f t="shared" ca="1" si="23"/>
        <v>11</v>
      </c>
      <c r="I717" s="17" t="s">
        <v>30</v>
      </c>
      <c r="J717" s="18">
        <v>101331</v>
      </c>
      <c r="K717" s="19">
        <v>5</v>
      </c>
      <c r="N717" s="11" t="s">
        <v>1199</v>
      </c>
      <c r="O717" s="11" t="s">
        <v>117</v>
      </c>
      <c r="P717" s="11" t="s">
        <v>33</v>
      </c>
      <c r="Q717" s="11" t="s">
        <v>34</v>
      </c>
      <c r="R717" s="20">
        <f>(42090+(3*365))+112</f>
        <v>43297</v>
      </c>
      <c r="S717" s="17">
        <v>18</v>
      </c>
      <c r="T717" s="17">
        <v>9990</v>
      </c>
    </row>
    <row r="718" spans="1:20" x14ac:dyDescent="0.2">
      <c r="A718" s="11" t="s">
        <v>295</v>
      </c>
      <c r="B718" s="14" t="s">
        <v>27</v>
      </c>
      <c r="C718" s="11" t="s">
        <v>28</v>
      </c>
      <c r="D718" s="15">
        <v>124203063</v>
      </c>
      <c r="E718" s="11" t="s">
        <v>80</v>
      </c>
      <c r="F718" s="20">
        <v>43428</v>
      </c>
      <c r="G718" s="16" t="str">
        <f t="shared" si="22"/>
        <v>November</v>
      </c>
      <c r="H718" s="2">
        <f t="shared" ca="1" si="23"/>
        <v>0</v>
      </c>
      <c r="I718" s="17" t="s">
        <v>30</v>
      </c>
      <c r="J718" s="18">
        <v>14202</v>
      </c>
      <c r="K718" s="19">
        <v>4</v>
      </c>
      <c r="N718" s="11" t="s">
        <v>595</v>
      </c>
      <c r="O718" s="11" t="s">
        <v>117</v>
      </c>
      <c r="P718" s="11" t="s">
        <v>40</v>
      </c>
      <c r="Q718" s="11" t="s">
        <v>120</v>
      </c>
      <c r="R718" s="20">
        <f>(41868+(3*365))+112</f>
        <v>43075</v>
      </c>
      <c r="S718" s="17">
        <v>9</v>
      </c>
      <c r="T718" s="17">
        <v>4970</v>
      </c>
    </row>
    <row r="719" spans="1:20" x14ac:dyDescent="0.2">
      <c r="A719" s="11" t="s">
        <v>362</v>
      </c>
      <c r="B719" s="14" t="s">
        <v>51</v>
      </c>
      <c r="C719" s="11" t="s">
        <v>145</v>
      </c>
      <c r="D719" s="15">
        <v>265993407</v>
      </c>
      <c r="E719" s="11" t="s">
        <v>21</v>
      </c>
      <c r="F719" s="20">
        <v>36138</v>
      </c>
      <c r="G719" s="16" t="str">
        <f t="shared" si="22"/>
        <v>December</v>
      </c>
      <c r="H719" s="2">
        <f t="shared" ca="1" si="23"/>
        <v>20</v>
      </c>
      <c r="I719" s="17"/>
      <c r="J719" s="18">
        <v>120758</v>
      </c>
      <c r="K719" s="19">
        <v>2</v>
      </c>
      <c r="N719" s="11" t="s">
        <v>367</v>
      </c>
      <c r="O719" s="11" t="s">
        <v>54</v>
      </c>
      <c r="P719" s="11" t="s">
        <v>40</v>
      </c>
      <c r="Q719" s="11" t="s">
        <v>41</v>
      </c>
      <c r="R719" s="20">
        <f>(41773+(3*365))+112</f>
        <v>42980</v>
      </c>
      <c r="S719" s="17">
        <v>9</v>
      </c>
      <c r="T719" s="17">
        <v>2900</v>
      </c>
    </row>
    <row r="720" spans="1:20" x14ac:dyDescent="0.2">
      <c r="A720" s="11" t="s">
        <v>1104</v>
      </c>
      <c r="B720" s="14" t="s">
        <v>43</v>
      </c>
      <c r="C720" s="11" t="s">
        <v>136</v>
      </c>
      <c r="D720" s="15">
        <v>525699951</v>
      </c>
      <c r="E720" s="11" t="s">
        <v>56</v>
      </c>
      <c r="F720" s="20">
        <v>38802</v>
      </c>
      <c r="G720" s="16" t="str">
        <f t="shared" si="22"/>
        <v>March</v>
      </c>
      <c r="H720" s="2">
        <f t="shared" ca="1" si="23"/>
        <v>13</v>
      </c>
      <c r="I720" s="17"/>
      <c r="J720" s="18">
        <v>19348</v>
      </c>
      <c r="K720" s="19">
        <v>5</v>
      </c>
      <c r="N720" s="11" t="s">
        <v>579</v>
      </c>
      <c r="O720" s="11" t="s">
        <v>117</v>
      </c>
      <c r="P720" s="11" t="s">
        <v>24</v>
      </c>
      <c r="Q720" s="11" t="s">
        <v>219</v>
      </c>
      <c r="R720" s="20">
        <f>(41858+(3*365))+112</f>
        <v>43065</v>
      </c>
      <c r="S720" s="17">
        <v>15</v>
      </c>
      <c r="T720" s="17">
        <v>6165</v>
      </c>
    </row>
    <row r="721" spans="1:20" x14ac:dyDescent="0.2">
      <c r="A721" s="11" t="s">
        <v>530</v>
      </c>
      <c r="B721" s="14" t="s">
        <v>19</v>
      </c>
      <c r="C721" s="11" t="s">
        <v>214</v>
      </c>
      <c r="D721" s="15">
        <v>708108747</v>
      </c>
      <c r="E721" s="11" t="s">
        <v>29</v>
      </c>
      <c r="F721" s="20">
        <v>40799</v>
      </c>
      <c r="G721" s="16" t="str">
        <f t="shared" si="22"/>
        <v>September</v>
      </c>
      <c r="H721" s="2">
        <f t="shared" ca="1" si="23"/>
        <v>7</v>
      </c>
      <c r="I721" s="17" t="s">
        <v>47</v>
      </c>
      <c r="J721" s="18">
        <v>101488</v>
      </c>
      <c r="K721" s="19">
        <v>3</v>
      </c>
      <c r="N721" s="11" t="s">
        <v>1469</v>
      </c>
      <c r="O721" s="11" t="s">
        <v>114</v>
      </c>
      <c r="P721" s="11" t="s">
        <v>40</v>
      </c>
      <c r="Q721" s="11" t="s">
        <v>41</v>
      </c>
      <c r="R721" s="20">
        <f>(42193+(3*365))+112</f>
        <v>43400</v>
      </c>
      <c r="S721" s="17">
        <v>3</v>
      </c>
      <c r="T721" s="17">
        <v>1255</v>
      </c>
    </row>
    <row r="722" spans="1:20" x14ac:dyDescent="0.2">
      <c r="A722" s="11" t="s">
        <v>1290</v>
      </c>
      <c r="B722" s="14" t="s">
        <v>19</v>
      </c>
      <c r="C722" s="11" t="s">
        <v>214</v>
      </c>
      <c r="D722" s="15">
        <v>501523688</v>
      </c>
      <c r="E722" s="11" t="s">
        <v>29</v>
      </c>
      <c r="F722" s="20">
        <v>38376</v>
      </c>
      <c r="G722" s="16" t="str">
        <f t="shared" si="22"/>
        <v>January</v>
      </c>
      <c r="H722" s="2">
        <f t="shared" ca="1" si="23"/>
        <v>14</v>
      </c>
      <c r="I722" s="17" t="s">
        <v>47</v>
      </c>
      <c r="J722" s="18">
        <v>107636</v>
      </c>
      <c r="K722" s="19">
        <v>2</v>
      </c>
      <c r="N722" s="11" t="s">
        <v>472</v>
      </c>
      <c r="O722" s="11" t="s">
        <v>64</v>
      </c>
      <c r="P722" s="11" t="s">
        <v>24</v>
      </c>
      <c r="Q722" s="11" t="s">
        <v>120</v>
      </c>
      <c r="R722" s="20">
        <f>(41817+(3*365))+112</f>
        <v>43024</v>
      </c>
      <c r="S722" s="17">
        <v>6</v>
      </c>
      <c r="T722" s="17">
        <v>2995</v>
      </c>
    </row>
    <row r="723" spans="1:20" x14ac:dyDescent="0.2">
      <c r="A723" s="11" t="s">
        <v>1118</v>
      </c>
      <c r="B723" s="14" t="s">
        <v>27</v>
      </c>
      <c r="C723" s="11" t="s">
        <v>249</v>
      </c>
      <c r="D723" s="15">
        <v>557568959</v>
      </c>
      <c r="E723" s="11" t="s">
        <v>21</v>
      </c>
      <c r="F723" s="20">
        <v>38303</v>
      </c>
      <c r="G723" s="16" t="str">
        <f t="shared" si="22"/>
        <v>November</v>
      </c>
      <c r="H723" s="2">
        <f t="shared" ca="1" si="23"/>
        <v>14</v>
      </c>
      <c r="I723" s="17"/>
      <c r="J723" s="18">
        <v>73157</v>
      </c>
      <c r="K723" s="19">
        <v>4</v>
      </c>
      <c r="N723" s="11" t="s">
        <v>642</v>
      </c>
      <c r="O723" s="11" t="s">
        <v>75</v>
      </c>
      <c r="P723" s="11" t="s">
        <v>33</v>
      </c>
      <c r="Q723" s="11" t="s">
        <v>219</v>
      </c>
      <c r="R723" s="20">
        <f>(41887+(3*365))+112</f>
        <v>43094</v>
      </c>
      <c r="S723" s="17">
        <v>9</v>
      </c>
      <c r="T723" s="17">
        <v>4715</v>
      </c>
    </row>
    <row r="724" spans="1:20" x14ac:dyDescent="0.2">
      <c r="A724" s="11" t="s">
        <v>110</v>
      </c>
      <c r="B724" s="14" t="s">
        <v>27</v>
      </c>
      <c r="C724" s="11" t="s">
        <v>101</v>
      </c>
      <c r="D724" s="15">
        <v>198564686</v>
      </c>
      <c r="E724" s="11" t="s">
        <v>29</v>
      </c>
      <c r="F724" s="20">
        <v>36102</v>
      </c>
      <c r="G724" s="16" t="str">
        <f t="shared" si="22"/>
        <v>November</v>
      </c>
      <c r="H724" s="2">
        <f t="shared" ca="1" si="23"/>
        <v>20</v>
      </c>
      <c r="I724" s="17" t="s">
        <v>47</v>
      </c>
      <c r="J724" s="18">
        <v>96836</v>
      </c>
      <c r="K724" s="19">
        <v>1</v>
      </c>
      <c r="N724" s="11" t="s">
        <v>1435</v>
      </c>
      <c r="O724" s="11" t="s">
        <v>23</v>
      </c>
      <c r="P724" s="11" t="s">
        <v>40</v>
      </c>
      <c r="Q724" s="11" t="s">
        <v>41</v>
      </c>
      <c r="R724" s="20">
        <f>(42183+(3*365))+112</f>
        <v>43390</v>
      </c>
      <c r="S724" s="17">
        <v>6</v>
      </c>
      <c r="T724" s="17">
        <v>2975</v>
      </c>
    </row>
    <row r="725" spans="1:20" x14ac:dyDescent="0.2">
      <c r="A725" s="11" t="s">
        <v>224</v>
      </c>
      <c r="B725" s="14" t="s">
        <v>19</v>
      </c>
      <c r="C725" s="11" t="s">
        <v>214</v>
      </c>
      <c r="D725" s="15">
        <v>806508287</v>
      </c>
      <c r="E725" s="11" t="s">
        <v>29</v>
      </c>
      <c r="F725" s="20">
        <v>36487</v>
      </c>
      <c r="G725" s="16" t="str">
        <f t="shared" si="22"/>
        <v>November</v>
      </c>
      <c r="H725" s="2">
        <f t="shared" ca="1" si="23"/>
        <v>19</v>
      </c>
      <c r="I725" s="17" t="s">
        <v>47</v>
      </c>
      <c r="J725" s="18">
        <v>71469</v>
      </c>
      <c r="K725" s="19">
        <v>4</v>
      </c>
      <c r="N725" s="11" t="s">
        <v>991</v>
      </c>
      <c r="O725" s="11" t="s">
        <v>78</v>
      </c>
      <c r="P725" s="11" t="s">
        <v>40</v>
      </c>
      <c r="Q725" s="11" t="s">
        <v>25</v>
      </c>
      <c r="R725" s="20">
        <f>(42006+(3*365))+112</f>
        <v>43213</v>
      </c>
      <c r="S725" s="17">
        <v>4</v>
      </c>
      <c r="T725" s="17">
        <v>1535</v>
      </c>
    </row>
    <row r="726" spans="1:20" x14ac:dyDescent="0.2">
      <c r="A726" s="11" t="s">
        <v>404</v>
      </c>
      <c r="B726" s="14" t="s">
        <v>43</v>
      </c>
      <c r="C726" s="11" t="s">
        <v>405</v>
      </c>
      <c r="D726" s="15">
        <v>776823797</v>
      </c>
      <c r="E726" s="11" t="s">
        <v>21</v>
      </c>
      <c r="F726" s="20">
        <v>36243</v>
      </c>
      <c r="G726" s="16" t="str">
        <f t="shared" si="22"/>
        <v>March</v>
      </c>
      <c r="H726" s="2">
        <f t="shared" ca="1" si="23"/>
        <v>20</v>
      </c>
      <c r="I726" s="17"/>
      <c r="J726" s="18">
        <v>115439</v>
      </c>
      <c r="K726" s="19">
        <v>4</v>
      </c>
      <c r="N726" s="11" t="s">
        <v>491</v>
      </c>
      <c r="O726" s="11" t="s">
        <v>32</v>
      </c>
      <c r="P726" s="11" t="s">
        <v>33</v>
      </c>
      <c r="Q726" s="11" t="s">
        <v>120</v>
      </c>
      <c r="R726" s="20">
        <f>(41825+(3*365))+112</f>
        <v>43032</v>
      </c>
      <c r="S726" s="17">
        <v>14</v>
      </c>
      <c r="T726" s="17">
        <v>6875</v>
      </c>
    </row>
    <row r="727" spans="1:20" x14ac:dyDescent="0.2">
      <c r="A727" s="11" t="s">
        <v>1268</v>
      </c>
      <c r="B727" s="14" t="s">
        <v>43</v>
      </c>
      <c r="C727" s="11" t="s">
        <v>145</v>
      </c>
      <c r="D727" s="15">
        <v>855135948</v>
      </c>
      <c r="E727" s="11" t="s">
        <v>29</v>
      </c>
      <c r="F727" s="20">
        <v>42671</v>
      </c>
      <c r="G727" s="16" t="str">
        <f t="shared" si="22"/>
        <v>October</v>
      </c>
      <c r="H727" s="2">
        <f t="shared" ca="1" si="23"/>
        <v>2</v>
      </c>
      <c r="I727" s="17" t="s">
        <v>30</v>
      </c>
      <c r="J727" s="18">
        <v>97281</v>
      </c>
      <c r="K727" s="19">
        <v>2</v>
      </c>
      <c r="N727" s="11" t="s">
        <v>1511</v>
      </c>
      <c r="O727" s="11" t="s">
        <v>64</v>
      </c>
      <c r="P727" s="11" t="s">
        <v>40</v>
      </c>
      <c r="Q727" s="11" t="s">
        <v>219</v>
      </c>
      <c r="R727" s="20">
        <f>(42210+(3*365))+112</f>
        <v>43417</v>
      </c>
      <c r="S727" s="17">
        <v>6</v>
      </c>
      <c r="T727" s="17">
        <v>2840</v>
      </c>
    </row>
    <row r="728" spans="1:20" x14ac:dyDescent="0.2">
      <c r="A728" s="11" t="s">
        <v>880</v>
      </c>
      <c r="B728" s="14" t="s">
        <v>83</v>
      </c>
      <c r="C728" s="11" t="s">
        <v>249</v>
      </c>
      <c r="D728" s="15">
        <v>665006199</v>
      </c>
      <c r="E728" s="11" t="s">
        <v>29</v>
      </c>
      <c r="F728" s="20">
        <v>39423</v>
      </c>
      <c r="G728" s="16" t="str">
        <f t="shared" si="22"/>
        <v>December</v>
      </c>
      <c r="H728" s="2">
        <f t="shared" ca="1" si="23"/>
        <v>11</v>
      </c>
      <c r="I728" s="17" t="s">
        <v>71</v>
      </c>
      <c r="J728" s="18">
        <v>61358</v>
      </c>
      <c r="K728" s="19">
        <v>5</v>
      </c>
      <c r="N728" s="11" t="s">
        <v>1141</v>
      </c>
      <c r="O728" s="11" t="s">
        <v>45</v>
      </c>
      <c r="P728" s="11" t="s">
        <v>40</v>
      </c>
      <c r="Q728" s="11" t="s">
        <v>25</v>
      </c>
      <c r="R728" s="20">
        <f>(42056+(3*365))+112</f>
        <v>43263</v>
      </c>
      <c r="S728" s="17">
        <v>4</v>
      </c>
      <c r="T728" s="17">
        <v>1655</v>
      </c>
    </row>
    <row r="729" spans="1:20" x14ac:dyDescent="0.2">
      <c r="A729" s="11" t="s">
        <v>803</v>
      </c>
      <c r="B729" s="14" t="s">
        <v>27</v>
      </c>
      <c r="C729" s="11" t="s">
        <v>152</v>
      </c>
      <c r="D729" s="15">
        <v>763182349</v>
      </c>
      <c r="E729" s="11" t="s">
        <v>21</v>
      </c>
      <c r="F729" s="20">
        <v>36982</v>
      </c>
      <c r="G729" s="16" t="str">
        <f t="shared" si="22"/>
        <v>April</v>
      </c>
      <c r="H729" s="2">
        <f t="shared" ca="1" si="23"/>
        <v>18</v>
      </c>
      <c r="I729" s="17"/>
      <c r="J729" s="18">
        <v>101993</v>
      </c>
      <c r="K729" s="19">
        <v>3</v>
      </c>
      <c r="N729" s="11" t="s">
        <v>263</v>
      </c>
      <c r="O729" s="11" t="s">
        <v>125</v>
      </c>
      <c r="P729" s="11" t="s">
        <v>24</v>
      </c>
      <c r="Q729" s="11" t="s">
        <v>34</v>
      </c>
      <c r="R729" s="20">
        <f>(41728+(3*365))+112</f>
        <v>42935</v>
      </c>
      <c r="S729" s="17">
        <v>20</v>
      </c>
      <c r="T729" s="17">
        <v>9660</v>
      </c>
    </row>
    <row r="730" spans="1:20" x14ac:dyDescent="0.2">
      <c r="A730" s="11" t="s">
        <v>657</v>
      </c>
      <c r="B730" s="14" t="s">
        <v>43</v>
      </c>
      <c r="C730" s="11" t="s">
        <v>214</v>
      </c>
      <c r="D730" s="15">
        <v>684054281</v>
      </c>
      <c r="E730" s="11" t="s">
        <v>29</v>
      </c>
      <c r="F730" s="20">
        <v>41002</v>
      </c>
      <c r="G730" s="16" t="str">
        <f t="shared" si="22"/>
        <v>April</v>
      </c>
      <c r="H730" s="2">
        <f t="shared" ca="1" si="23"/>
        <v>7</v>
      </c>
      <c r="I730" s="17" t="s">
        <v>47</v>
      </c>
      <c r="J730" s="18">
        <v>63909</v>
      </c>
      <c r="K730" s="19">
        <v>2</v>
      </c>
      <c r="N730" s="11" t="s">
        <v>1387</v>
      </c>
      <c r="O730" s="11" t="s">
        <v>49</v>
      </c>
      <c r="P730" s="11" t="s">
        <v>24</v>
      </c>
      <c r="Q730" s="11" t="s">
        <v>41</v>
      </c>
      <c r="R730" s="20">
        <f>(42161+(3*365))+112</f>
        <v>43368</v>
      </c>
      <c r="S730" s="17">
        <v>2</v>
      </c>
      <c r="T730" s="17">
        <v>1025</v>
      </c>
    </row>
    <row r="731" spans="1:20" x14ac:dyDescent="0.2">
      <c r="A731" s="11" t="s">
        <v>1146</v>
      </c>
      <c r="B731" s="14" t="s">
        <v>19</v>
      </c>
      <c r="C731" s="11" t="s">
        <v>136</v>
      </c>
      <c r="D731" s="15">
        <v>113252240</v>
      </c>
      <c r="E731" s="11" t="s">
        <v>29</v>
      </c>
      <c r="F731" s="20">
        <v>39392</v>
      </c>
      <c r="G731" s="16" t="str">
        <f t="shared" si="22"/>
        <v>November</v>
      </c>
      <c r="H731" s="2">
        <f t="shared" ca="1" si="23"/>
        <v>11</v>
      </c>
      <c r="I731" s="17" t="s">
        <v>47</v>
      </c>
      <c r="J731" s="18">
        <v>84240</v>
      </c>
      <c r="K731" s="19">
        <v>4</v>
      </c>
      <c r="N731" s="11" t="s">
        <v>1676</v>
      </c>
      <c r="O731" s="11" t="s">
        <v>49</v>
      </c>
      <c r="P731" s="11" t="s">
        <v>65</v>
      </c>
      <c r="Q731" s="11" t="s">
        <v>25</v>
      </c>
      <c r="R731" s="20">
        <f>(42328+(3*365))+112</f>
        <v>43535</v>
      </c>
      <c r="S731" s="17">
        <v>3</v>
      </c>
      <c r="T731" s="17">
        <v>1435</v>
      </c>
    </row>
    <row r="732" spans="1:20" x14ac:dyDescent="0.2">
      <c r="A732" s="11" t="s">
        <v>96</v>
      </c>
      <c r="B732" s="14" t="s">
        <v>43</v>
      </c>
      <c r="C732" s="4" t="s">
        <v>62</v>
      </c>
      <c r="D732" s="22">
        <v>297852686</v>
      </c>
      <c r="E732" s="4" t="s">
        <v>29</v>
      </c>
      <c r="F732" s="20">
        <v>42560</v>
      </c>
      <c r="G732" s="16" t="str">
        <f t="shared" si="22"/>
        <v>July</v>
      </c>
      <c r="H732" s="2">
        <f t="shared" ca="1" si="23"/>
        <v>2</v>
      </c>
      <c r="I732" s="17" t="s">
        <v>71</v>
      </c>
      <c r="J732" s="18">
        <v>78692</v>
      </c>
      <c r="K732" s="19">
        <v>5</v>
      </c>
      <c r="N732" s="11" t="s">
        <v>233</v>
      </c>
      <c r="O732" s="11" t="s">
        <v>114</v>
      </c>
      <c r="P732" s="11" t="s">
        <v>40</v>
      </c>
      <c r="Q732" s="11" t="s">
        <v>34</v>
      </c>
      <c r="R732" s="20">
        <f>(41712+(3*365))+112</f>
        <v>42919</v>
      </c>
      <c r="S732" s="17">
        <v>17</v>
      </c>
      <c r="T732" s="17">
        <v>9945</v>
      </c>
    </row>
    <row r="733" spans="1:20" x14ac:dyDescent="0.2">
      <c r="A733" s="11" t="s">
        <v>417</v>
      </c>
      <c r="B733" s="14" t="s">
        <v>43</v>
      </c>
      <c r="C733" s="11" t="s">
        <v>20</v>
      </c>
      <c r="D733" s="15">
        <v>648911225</v>
      </c>
      <c r="E733" s="11" t="s">
        <v>21</v>
      </c>
      <c r="F733" s="20">
        <v>36837</v>
      </c>
      <c r="G733" s="16" t="str">
        <f t="shared" si="22"/>
        <v>November</v>
      </c>
      <c r="H733" s="2">
        <f t="shared" ca="1" si="23"/>
        <v>18</v>
      </c>
      <c r="I733" s="17"/>
      <c r="J733" s="18">
        <v>112077</v>
      </c>
      <c r="K733" s="19">
        <v>4</v>
      </c>
      <c r="N733" s="11" t="s">
        <v>1499</v>
      </c>
      <c r="O733" s="11" t="s">
        <v>32</v>
      </c>
      <c r="P733" s="11" t="s">
        <v>24</v>
      </c>
      <c r="Q733" s="11" t="s">
        <v>219</v>
      </c>
      <c r="R733" s="20">
        <f>(42203+(3*365))+112</f>
        <v>43410</v>
      </c>
      <c r="S733" s="17">
        <v>3</v>
      </c>
      <c r="T733" s="17">
        <v>1470</v>
      </c>
    </row>
    <row r="734" spans="1:20" x14ac:dyDescent="0.2">
      <c r="A734" s="11" t="s">
        <v>502</v>
      </c>
      <c r="B734" s="14" t="s">
        <v>27</v>
      </c>
      <c r="C734" s="11" t="s">
        <v>214</v>
      </c>
      <c r="D734" s="15">
        <v>167058119</v>
      </c>
      <c r="E734" s="11" t="s">
        <v>56</v>
      </c>
      <c r="F734" s="20">
        <v>40586</v>
      </c>
      <c r="G734" s="16" t="str">
        <f t="shared" si="22"/>
        <v>February</v>
      </c>
      <c r="H734" s="2">
        <f t="shared" ca="1" si="23"/>
        <v>8</v>
      </c>
      <c r="I734" s="17"/>
      <c r="J734" s="18">
        <v>12004</v>
      </c>
      <c r="K734" s="19">
        <v>1</v>
      </c>
      <c r="N734" s="11" t="s">
        <v>1313</v>
      </c>
      <c r="O734" s="11" t="s">
        <v>75</v>
      </c>
      <c r="P734" s="11" t="s">
        <v>33</v>
      </c>
      <c r="Q734" s="11" t="s">
        <v>120</v>
      </c>
      <c r="R734" s="20">
        <f>(42136+(3*365))+112</f>
        <v>43343</v>
      </c>
      <c r="S734" s="17">
        <v>14</v>
      </c>
      <c r="T734" s="17">
        <v>6665</v>
      </c>
    </row>
    <row r="735" spans="1:20" x14ac:dyDescent="0.2">
      <c r="A735" s="11" t="s">
        <v>918</v>
      </c>
      <c r="B735" s="14" t="s">
        <v>19</v>
      </c>
      <c r="C735" s="11" t="s">
        <v>254</v>
      </c>
      <c r="D735" s="15">
        <v>948252103</v>
      </c>
      <c r="E735" s="11" t="s">
        <v>56</v>
      </c>
      <c r="F735" s="20">
        <v>39185</v>
      </c>
      <c r="G735" s="16" t="str">
        <f t="shared" si="22"/>
        <v>April</v>
      </c>
      <c r="H735" s="2">
        <f t="shared" ca="1" si="23"/>
        <v>12</v>
      </c>
      <c r="I735" s="17"/>
      <c r="J735" s="18">
        <v>53681</v>
      </c>
      <c r="K735" s="19">
        <v>1</v>
      </c>
      <c r="N735" s="11" t="s">
        <v>1621</v>
      </c>
      <c r="O735" s="11" t="s">
        <v>64</v>
      </c>
      <c r="P735" s="11" t="s">
        <v>40</v>
      </c>
      <c r="Q735" s="11" t="s">
        <v>34</v>
      </c>
      <c r="R735" s="20">
        <f>(42283+(3*365))+112</f>
        <v>43490</v>
      </c>
      <c r="S735" s="17">
        <v>14</v>
      </c>
      <c r="T735" s="17">
        <v>6331</v>
      </c>
    </row>
    <row r="736" spans="1:20" x14ac:dyDescent="0.2">
      <c r="A736" s="11" t="s">
        <v>733</v>
      </c>
      <c r="B736" s="14" t="s">
        <v>19</v>
      </c>
      <c r="C736" s="11" t="s">
        <v>254</v>
      </c>
      <c r="D736" s="15">
        <v>934447306</v>
      </c>
      <c r="E736" s="11" t="s">
        <v>29</v>
      </c>
      <c r="F736" s="20">
        <v>36967</v>
      </c>
      <c r="G736" s="16" t="str">
        <f t="shared" si="22"/>
        <v>March</v>
      </c>
      <c r="H736" s="2">
        <v>10</v>
      </c>
      <c r="I736" s="17" t="s">
        <v>30</v>
      </c>
      <c r="J736" s="18">
        <v>98591</v>
      </c>
      <c r="K736" s="19">
        <v>5</v>
      </c>
      <c r="N736" s="11" t="s">
        <v>1650</v>
      </c>
      <c r="O736" s="11" t="s">
        <v>117</v>
      </c>
      <c r="P736" s="11" t="s">
        <v>24</v>
      </c>
      <c r="Q736" s="11" t="s">
        <v>41</v>
      </c>
      <c r="R736" s="20">
        <f>(42312+(3*365))+112</f>
        <v>43519</v>
      </c>
      <c r="S736" s="17">
        <v>7</v>
      </c>
      <c r="T736" s="17">
        <v>3820</v>
      </c>
    </row>
    <row r="737" spans="1:20" x14ac:dyDescent="0.2">
      <c r="A737" s="11" t="s">
        <v>679</v>
      </c>
      <c r="B737" s="14" t="s">
        <v>43</v>
      </c>
      <c r="C737" s="11" t="s">
        <v>214</v>
      </c>
      <c r="D737" s="15">
        <v>436778229</v>
      </c>
      <c r="E737" s="11" t="s">
        <v>21</v>
      </c>
      <c r="F737" s="20">
        <v>42678</v>
      </c>
      <c r="G737" s="16" t="str">
        <f t="shared" si="22"/>
        <v>November</v>
      </c>
      <c r="H737" s="2">
        <f t="shared" ca="1" si="23"/>
        <v>2</v>
      </c>
      <c r="I737" s="17"/>
      <c r="J737" s="18">
        <v>81054</v>
      </c>
      <c r="K737" s="19">
        <v>5</v>
      </c>
      <c r="N737" s="11" t="s">
        <v>999</v>
      </c>
      <c r="O737" s="11" t="s">
        <v>89</v>
      </c>
      <c r="P737" s="11" t="s">
        <v>33</v>
      </c>
      <c r="Q737" s="11" t="s">
        <v>219</v>
      </c>
      <c r="R737" s="20">
        <f>(42008+(3*365))+112</f>
        <v>43215</v>
      </c>
      <c r="S737" s="17">
        <v>1</v>
      </c>
      <c r="T737" s="17">
        <v>590</v>
      </c>
    </row>
    <row r="738" spans="1:20" x14ac:dyDescent="0.2">
      <c r="A738" s="11" t="s">
        <v>761</v>
      </c>
      <c r="B738" s="14" t="s">
        <v>19</v>
      </c>
      <c r="C738" s="11" t="s">
        <v>136</v>
      </c>
      <c r="D738" s="15">
        <v>313358310</v>
      </c>
      <c r="E738" s="11" t="s">
        <v>29</v>
      </c>
      <c r="F738" s="20">
        <v>37078</v>
      </c>
      <c r="G738" s="16" t="str">
        <f t="shared" si="22"/>
        <v>July</v>
      </c>
      <c r="H738" s="2">
        <v>13</v>
      </c>
      <c r="I738" s="17" t="s">
        <v>47</v>
      </c>
      <c r="J738" s="18">
        <v>84629</v>
      </c>
      <c r="K738" s="19">
        <v>2</v>
      </c>
      <c r="N738" s="11" t="s">
        <v>694</v>
      </c>
      <c r="O738" s="11" t="s">
        <v>64</v>
      </c>
      <c r="P738" s="11" t="s">
        <v>33</v>
      </c>
      <c r="Q738" s="11" t="s">
        <v>219</v>
      </c>
      <c r="R738" s="20">
        <f>(41904+(3*365))+112</f>
        <v>43111</v>
      </c>
      <c r="S738" s="17">
        <v>12</v>
      </c>
      <c r="T738" s="17">
        <v>7115</v>
      </c>
    </row>
    <row r="739" spans="1:20" x14ac:dyDescent="0.2">
      <c r="A739" s="11" t="s">
        <v>590</v>
      </c>
      <c r="B739" s="14" t="s">
        <v>43</v>
      </c>
      <c r="C739" s="11" t="s">
        <v>214</v>
      </c>
      <c r="D739" s="15">
        <v>405396173</v>
      </c>
      <c r="E739" s="11" t="s">
        <v>29</v>
      </c>
      <c r="F739" s="20">
        <v>41589</v>
      </c>
      <c r="G739" s="16" t="str">
        <f t="shared" si="22"/>
        <v>November</v>
      </c>
      <c r="H739" s="2">
        <f t="shared" ca="1" si="23"/>
        <v>5</v>
      </c>
      <c r="I739" s="17" t="s">
        <v>71</v>
      </c>
      <c r="J739" s="18">
        <v>92759</v>
      </c>
      <c r="K739" s="19">
        <v>4</v>
      </c>
      <c r="N739" s="11" t="s">
        <v>662</v>
      </c>
      <c r="O739" s="11" t="s">
        <v>32</v>
      </c>
      <c r="P739" s="11" t="s">
        <v>40</v>
      </c>
      <c r="Q739" s="11" t="s">
        <v>219</v>
      </c>
      <c r="R739" s="20">
        <f>(41895+(3*365))+112</f>
        <v>43102</v>
      </c>
      <c r="S739" s="17">
        <v>10</v>
      </c>
      <c r="T739" s="17">
        <v>4880</v>
      </c>
    </row>
    <row r="740" spans="1:20" x14ac:dyDescent="0.2">
      <c r="A740" s="11" t="s">
        <v>293</v>
      </c>
      <c r="B740" s="14" t="s">
        <v>19</v>
      </c>
      <c r="C740" s="11" t="s">
        <v>28</v>
      </c>
      <c r="D740" s="15">
        <v>651995963</v>
      </c>
      <c r="E740" s="11" t="s">
        <v>56</v>
      </c>
      <c r="F740" s="20">
        <v>43169</v>
      </c>
      <c r="G740" s="16" t="str">
        <f t="shared" si="22"/>
        <v>March</v>
      </c>
      <c r="H740" s="2">
        <f t="shared" ca="1" si="23"/>
        <v>1</v>
      </c>
      <c r="I740" s="17"/>
      <c r="J740" s="18">
        <v>37103</v>
      </c>
      <c r="K740" s="19">
        <v>4</v>
      </c>
      <c r="N740" s="11" t="s">
        <v>804</v>
      </c>
      <c r="O740" s="11" t="s">
        <v>64</v>
      </c>
      <c r="P740" s="11" t="s">
        <v>24</v>
      </c>
      <c r="Q740" s="11" t="s">
        <v>219</v>
      </c>
      <c r="R740" s="20">
        <f>(41949+(3*365))+112</f>
        <v>43156</v>
      </c>
      <c r="S740" s="17">
        <v>7</v>
      </c>
      <c r="T740" s="17">
        <v>3655</v>
      </c>
    </row>
    <row r="741" spans="1:20" x14ac:dyDescent="0.2">
      <c r="A741" s="11" t="s">
        <v>771</v>
      </c>
      <c r="B741" s="14" t="s">
        <v>19</v>
      </c>
      <c r="C741" s="11" t="s">
        <v>145</v>
      </c>
      <c r="D741" s="15">
        <v>272659955</v>
      </c>
      <c r="E741" s="11" t="s">
        <v>29</v>
      </c>
      <c r="F741" s="20">
        <v>37141</v>
      </c>
      <c r="G741" s="16" t="str">
        <f t="shared" si="22"/>
        <v>September</v>
      </c>
      <c r="H741" s="2">
        <v>14</v>
      </c>
      <c r="I741" s="17" t="s">
        <v>38</v>
      </c>
      <c r="J741" s="18">
        <v>65462</v>
      </c>
      <c r="K741" s="19">
        <v>2</v>
      </c>
      <c r="N741" s="11" t="s">
        <v>53</v>
      </c>
      <c r="O741" s="11" t="s">
        <v>54</v>
      </c>
      <c r="P741" s="11" t="s">
        <v>33</v>
      </c>
      <c r="Q741" s="11" t="s">
        <v>41</v>
      </c>
      <c r="R741" s="20">
        <f>(41649+(3*365))+112</f>
        <v>42856</v>
      </c>
      <c r="S741" s="17">
        <v>13</v>
      </c>
      <c r="T741" s="21">
        <v>5225</v>
      </c>
    </row>
    <row r="742" spans="1:20" x14ac:dyDescent="0.2">
      <c r="A742" s="11" t="s">
        <v>230</v>
      </c>
      <c r="B742" s="14" t="s">
        <v>43</v>
      </c>
      <c r="C742" s="11" t="s">
        <v>20</v>
      </c>
      <c r="D742" s="15">
        <v>822974734</v>
      </c>
      <c r="E742" s="11" t="s">
        <v>56</v>
      </c>
      <c r="F742" s="20">
        <v>39343</v>
      </c>
      <c r="G742" s="16" t="str">
        <f t="shared" si="22"/>
        <v>September</v>
      </c>
      <c r="H742" s="2">
        <f t="shared" ca="1" si="23"/>
        <v>11</v>
      </c>
      <c r="I742" s="17"/>
      <c r="J742" s="18">
        <v>44626</v>
      </c>
      <c r="K742" s="19">
        <v>5</v>
      </c>
      <c r="N742" s="11" t="s">
        <v>1629</v>
      </c>
      <c r="O742" s="11" t="s">
        <v>89</v>
      </c>
      <c r="P742" s="11" t="s">
        <v>65</v>
      </c>
      <c r="Q742" s="11" t="s">
        <v>219</v>
      </c>
      <c r="R742" s="20">
        <f>(42285+(3*365))+112</f>
        <v>43492</v>
      </c>
      <c r="S742" s="17">
        <v>14</v>
      </c>
      <c r="T742" s="17">
        <v>6330</v>
      </c>
    </row>
    <row r="743" spans="1:20" x14ac:dyDescent="0.2">
      <c r="N743" s="11" t="s">
        <v>195</v>
      </c>
      <c r="O743" s="11" t="s">
        <v>54</v>
      </c>
      <c r="P743" s="11" t="s">
        <v>24</v>
      </c>
      <c r="Q743" s="11" t="s">
        <v>34</v>
      </c>
      <c r="R743" s="20">
        <f>(41692+(3*365))+112</f>
        <v>42899</v>
      </c>
      <c r="S743" s="17">
        <v>18</v>
      </c>
      <c r="T743" s="17">
        <v>10191</v>
      </c>
    </row>
    <row r="744" spans="1:20" x14ac:dyDescent="0.2">
      <c r="N744" s="11" t="s">
        <v>116</v>
      </c>
      <c r="O744" s="11" t="s">
        <v>117</v>
      </c>
      <c r="P744" s="11" t="s">
        <v>40</v>
      </c>
      <c r="Q744" s="11" t="s">
        <v>41</v>
      </c>
      <c r="R744" s="20">
        <f>(41670+(3*365))+112</f>
        <v>42877</v>
      </c>
      <c r="S744" s="17">
        <v>4</v>
      </c>
      <c r="T744" s="21">
        <v>1805</v>
      </c>
    </row>
    <row r="745" spans="1:20" x14ac:dyDescent="0.2">
      <c r="N745" s="11" t="s">
        <v>1065</v>
      </c>
      <c r="O745" s="11" t="s">
        <v>23</v>
      </c>
      <c r="P745" s="11" t="s">
        <v>40</v>
      </c>
      <c r="Q745" s="11" t="s">
        <v>219</v>
      </c>
      <c r="R745" s="20">
        <f>(42026+(3*365))+112</f>
        <v>43233</v>
      </c>
      <c r="S745" s="17">
        <v>8</v>
      </c>
      <c r="T745" s="17">
        <v>4480</v>
      </c>
    </row>
    <row r="746" spans="1:20" x14ac:dyDescent="0.2">
      <c r="N746" s="11" t="s">
        <v>1089</v>
      </c>
      <c r="O746" s="11" t="s">
        <v>64</v>
      </c>
      <c r="P746" s="11" t="s">
        <v>40</v>
      </c>
      <c r="Q746" s="11" t="s">
        <v>41</v>
      </c>
      <c r="R746" s="20">
        <f>(42035+(3*365))+112</f>
        <v>43242</v>
      </c>
      <c r="S746" s="17">
        <v>9</v>
      </c>
      <c r="T746" s="17">
        <v>4480</v>
      </c>
    </row>
    <row r="747" spans="1:20" x14ac:dyDescent="0.2">
      <c r="N747" s="11" t="s">
        <v>955</v>
      </c>
      <c r="O747" s="11" t="s">
        <v>64</v>
      </c>
      <c r="P747" s="11" t="s">
        <v>24</v>
      </c>
      <c r="Q747" s="11" t="s">
        <v>120</v>
      </c>
      <c r="R747" s="20">
        <f>(41999+(3*365))+112</f>
        <v>43206</v>
      </c>
      <c r="S747" s="17">
        <v>12</v>
      </c>
      <c r="T747" s="17">
        <v>5760</v>
      </c>
    </row>
    <row r="748" spans="1:20" x14ac:dyDescent="0.2">
      <c r="N748" s="11" t="s">
        <v>599</v>
      </c>
      <c r="O748" s="11" t="s">
        <v>89</v>
      </c>
      <c r="P748" s="11" t="s">
        <v>24</v>
      </c>
      <c r="Q748" s="11" t="s">
        <v>120</v>
      </c>
      <c r="R748" s="20">
        <f>(41871+(3*365))+112</f>
        <v>43078</v>
      </c>
      <c r="S748" s="17">
        <v>2</v>
      </c>
      <c r="T748" s="17">
        <v>870</v>
      </c>
    </row>
    <row r="749" spans="1:20" x14ac:dyDescent="0.2">
      <c r="N749" s="11" t="s">
        <v>1177</v>
      </c>
      <c r="O749" s="11" t="s">
        <v>54</v>
      </c>
      <c r="P749" s="11" t="s">
        <v>33</v>
      </c>
      <c r="Q749" s="11" t="s">
        <v>41</v>
      </c>
      <c r="R749" s="20">
        <f>(42077+(3*365))+112</f>
        <v>43284</v>
      </c>
      <c r="S749" s="17">
        <v>13</v>
      </c>
      <c r="T749" s="17">
        <v>5005</v>
      </c>
    </row>
    <row r="750" spans="1:20" x14ac:dyDescent="0.2">
      <c r="N750" s="11" t="s">
        <v>1335</v>
      </c>
      <c r="O750" s="11" t="s">
        <v>54</v>
      </c>
      <c r="P750" s="11" t="s">
        <v>65</v>
      </c>
      <c r="Q750" s="11" t="s">
        <v>25</v>
      </c>
      <c r="R750" s="20">
        <f>(42144+(3*365))+112</f>
        <v>43351</v>
      </c>
      <c r="S750" s="17">
        <v>8</v>
      </c>
      <c r="T750" s="17">
        <v>3640</v>
      </c>
    </row>
    <row r="751" spans="1:20" x14ac:dyDescent="0.2">
      <c r="N751" s="11" t="s">
        <v>1111</v>
      </c>
      <c r="O751" s="11" t="s">
        <v>125</v>
      </c>
      <c r="P751" s="11" t="s">
        <v>33</v>
      </c>
      <c r="Q751" s="11" t="s">
        <v>219</v>
      </c>
      <c r="R751" s="20">
        <f>(42041+(3*365))+112</f>
        <v>43248</v>
      </c>
      <c r="S751" s="17">
        <v>6</v>
      </c>
      <c r="T751" s="17">
        <v>2045</v>
      </c>
    </row>
    <row r="752" spans="1:20" x14ac:dyDescent="0.2">
      <c r="N752" s="11" t="s">
        <v>1041</v>
      </c>
      <c r="O752" s="11" t="s">
        <v>54</v>
      </c>
      <c r="P752" s="11" t="s">
        <v>24</v>
      </c>
      <c r="Q752" s="11" t="s">
        <v>219</v>
      </c>
      <c r="R752" s="20">
        <f>(42019+(3*365))+112</f>
        <v>43226</v>
      </c>
      <c r="S752" s="17">
        <v>1</v>
      </c>
      <c r="T752" s="17">
        <v>345</v>
      </c>
    </row>
    <row r="753" spans="14:20" x14ac:dyDescent="0.2">
      <c r="N753" s="11" t="s">
        <v>939</v>
      </c>
      <c r="O753" s="11" t="s">
        <v>89</v>
      </c>
      <c r="P753" s="11" t="s">
        <v>40</v>
      </c>
      <c r="Q753" s="11" t="s">
        <v>34</v>
      </c>
      <c r="R753" s="20">
        <f>(41995+(3*365))+112</f>
        <v>43202</v>
      </c>
      <c r="S753" s="17">
        <v>11</v>
      </c>
      <c r="T753" s="17">
        <v>3355</v>
      </c>
    </row>
    <row r="754" spans="14:20" x14ac:dyDescent="0.2">
      <c r="N754" s="11" t="s">
        <v>830</v>
      </c>
      <c r="O754" s="11" t="s">
        <v>75</v>
      </c>
      <c r="P754" s="11" t="s">
        <v>40</v>
      </c>
      <c r="Q754" s="11" t="s">
        <v>25</v>
      </c>
      <c r="R754" s="20">
        <f>(41963+(3*365))+112</f>
        <v>43170</v>
      </c>
      <c r="S754" s="17">
        <v>9</v>
      </c>
      <c r="T754" s="17">
        <v>3455</v>
      </c>
    </row>
    <row r="755" spans="14:20" x14ac:dyDescent="0.2">
      <c r="N755" s="11" t="s">
        <v>1597</v>
      </c>
      <c r="O755" s="11" t="s">
        <v>75</v>
      </c>
      <c r="P755" s="11" t="s">
        <v>24</v>
      </c>
      <c r="Q755" s="11" t="s">
        <v>25</v>
      </c>
      <c r="R755" s="20">
        <f>(42264+(3*365))+112</f>
        <v>43471</v>
      </c>
      <c r="S755" s="17">
        <v>1</v>
      </c>
      <c r="T755" s="17">
        <v>305</v>
      </c>
    </row>
    <row r="756" spans="14:20" x14ac:dyDescent="0.2">
      <c r="N756" s="11" t="s">
        <v>1612</v>
      </c>
      <c r="O756" s="11" t="s">
        <v>117</v>
      </c>
      <c r="P756" s="11" t="s">
        <v>65</v>
      </c>
      <c r="Q756" s="11" t="s">
        <v>25</v>
      </c>
      <c r="R756" s="20">
        <f>(42277+(3*365))+112</f>
        <v>43484</v>
      </c>
      <c r="S756" s="17">
        <v>3</v>
      </c>
      <c r="T756" s="17">
        <v>1175</v>
      </c>
    </row>
    <row r="757" spans="14:20" x14ac:dyDescent="0.2">
      <c r="N757" s="11" t="s">
        <v>537</v>
      </c>
      <c r="O757" s="11" t="s">
        <v>54</v>
      </c>
      <c r="P757" s="11" t="s">
        <v>40</v>
      </c>
      <c r="Q757" s="11" t="s">
        <v>25</v>
      </c>
      <c r="R757" s="20">
        <f>(41844+(3*365))+112</f>
        <v>43051</v>
      </c>
      <c r="S757" s="17">
        <v>13</v>
      </c>
      <c r="T757" s="17">
        <v>4330</v>
      </c>
    </row>
    <row r="758" spans="14:20" x14ac:dyDescent="0.2">
      <c r="N758" s="11" t="s">
        <v>1709</v>
      </c>
      <c r="O758" s="11" t="s">
        <v>75</v>
      </c>
      <c r="P758" s="11" t="s">
        <v>40</v>
      </c>
      <c r="Q758" s="11" t="s">
        <v>25</v>
      </c>
      <c r="R758" s="20">
        <f>(42354+(3*365))+112</f>
        <v>43561</v>
      </c>
      <c r="S758" s="17">
        <v>5</v>
      </c>
      <c r="T758" s="17">
        <v>2900</v>
      </c>
    </row>
    <row r="759" spans="14:20" x14ac:dyDescent="0.2">
      <c r="N759" s="11" t="s">
        <v>318</v>
      </c>
      <c r="O759" s="11" t="s">
        <v>49</v>
      </c>
      <c r="P759" s="11" t="s">
        <v>40</v>
      </c>
      <c r="Q759" s="11" t="s">
        <v>120</v>
      </c>
      <c r="R759" s="20">
        <f>(41749+(3*365))+112</f>
        <v>42956</v>
      </c>
      <c r="S759" s="17">
        <v>8</v>
      </c>
      <c r="T759" s="17">
        <v>3425</v>
      </c>
    </row>
    <row r="760" spans="14:20" x14ac:dyDescent="0.2">
      <c r="N760" s="11" t="s">
        <v>585</v>
      </c>
      <c r="O760" s="11" t="s">
        <v>117</v>
      </c>
      <c r="P760" s="11" t="s">
        <v>33</v>
      </c>
      <c r="Q760" s="11" t="s">
        <v>41</v>
      </c>
      <c r="R760" s="20">
        <f>(41861+(3*365))+112</f>
        <v>43068</v>
      </c>
      <c r="S760" s="17">
        <v>14</v>
      </c>
      <c r="T760" s="17">
        <v>6230</v>
      </c>
    </row>
    <row r="761" spans="14:20" x14ac:dyDescent="0.2">
      <c r="N761" s="11" t="s">
        <v>660</v>
      </c>
      <c r="O761" s="11" t="s">
        <v>78</v>
      </c>
      <c r="P761" s="11" t="s">
        <v>24</v>
      </c>
      <c r="Q761" s="11" t="s">
        <v>41</v>
      </c>
      <c r="R761" s="20">
        <f>(41893+(3*365))+112</f>
        <v>43100</v>
      </c>
      <c r="S761" s="17">
        <v>14</v>
      </c>
      <c r="T761" s="17">
        <v>4915</v>
      </c>
    </row>
    <row r="762" spans="14:20" x14ac:dyDescent="0.2">
      <c r="N762" s="11" t="s">
        <v>1233</v>
      </c>
      <c r="O762" s="11" t="s">
        <v>78</v>
      </c>
      <c r="P762" s="11" t="s">
        <v>40</v>
      </c>
      <c r="Q762" s="11" t="s">
        <v>41</v>
      </c>
      <c r="R762" s="20">
        <f>(42102+(3*365))+112</f>
        <v>43309</v>
      </c>
      <c r="S762" s="17">
        <v>4</v>
      </c>
      <c r="T762" s="17">
        <v>1640</v>
      </c>
    </row>
    <row r="763" spans="14:20" x14ac:dyDescent="0.2">
      <c r="N763" s="11" t="s">
        <v>1243</v>
      </c>
      <c r="O763" s="11" t="s">
        <v>45</v>
      </c>
      <c r="P763" s="11" t="s">
        <v>33</v>
      </c>
      <c r="Q763" s="11" t="s">
        <v>34</v>
      </c>
      <c r="R763" s="20">
        <f>(42106+(3*365))+112</f>
        <v>43313</v>
      </c>
      <c r="S763" s="17">
        <v>15</v>
      </c>
      <c r="T763" s="17">
        <v>5715</v>
      </c>
    </row>
    <row r="764" spans="14:20" x14ac:dyDescent="0.2">
      <c r="N764" s="11" t="s">
        <v>403</v>
      </c>
      <c r="O764" s="11" t="s">
        <v>45</v>
      </c>
      <c r="P764" s="11" t="s">
        <v>24</v>
      </c>
      <c r="Q764" s="11" t="s">
        <v>120</v>
      </c>
      <c r="R764" s="20">
        <f>(41787+(3*365))+112</f>
        <v>42994</v>
      </c>
      <c r="S764" s="17">
        <v>10</v>
      </c>
      <c r="T764" s="17">
        <v>4440</v>
      </c>
    </row>
    <row r="765" spans="14:20" x14ac:dyDescent="0.2">
      <c r="N765" s="11" t="s">
        <v>1507</v>
      </c>
      <c r="O765" s="11" t="s">
        <v>23</v>
      </c>
      <c r="P765" s="11" t="s">
        <v>65</v>
      </c>
      <c r="Q765" s="11" t="s">
        <v>41</v>
      </c>
      <c r="R765" s="20">
        <f>(42208+(3*365))+112</f>
        <v>43415</v>
      </c>
      <c r="S765" s="17">
        <v>2</v>
      </c>
      <c r="T765" s="17">
        <v>935</v>
      </c>
    </row>
    <row r="766" spans="14:20" x14ac:dyDescent="0.2">
      <c r="N766" s="11" t="s">
        <v>806</v>
      </c>
      <c r="O766" s="11" t="s">
        <v>78</v>
      </c>
      <c r="P766" s="11" t="s">
        <v>33</v>
      </c>
      <c r="Q766" s="11" t="s">
        <v>34</v>
      </c>
      <c r="R766" s="20">
        <f>(41952+(3*365))+112</f>
        <v>43159</v>
      </c>
      <c r="S766" s="17">
        <v>9</v>
      </c>
      <c r="T766" s="17">
        <v>3173</v>
      </c>
    </row>
    <row r="767" spans="14:20" x14ac:dyDescent="0.2">
      <c r="N767" s="11" t="s">
        <v>141</v>
      </c>
      <c r="O767" s="11" t="s">
        <v>45</v>
      </c>
      <c r="P767" s="11" t="s">
        <v>40</v>
      </c>
      <c r="Q767" s="11" t="s">
        <v>34</v>
      </c>
      <c r="R767" s="20">
        <f>(41676+(3*365))+112</f>
        <v>42883</v>
      </c>
      <c r="S767" s="17">
        <v>7</v>
      </c>
      <c r="T767" s="17">
        <v>2380</v>
      </c>
    </row>
    <row r="768" spans="14:20" x14ac:dyDescent="0.2">
      <c r="N768" s="11" t="s">
        <v>696</v>
      </c>
      <c r="O768" s="11" t="s">
        <v>114</v>
      </c>
      <c r="P768" s="11" t="s">
        <v>24</v>
      </c>
      <c r="Q768" s="11" t="s">
        <v>41</v>
      </c>
      <c r="R768" s="20">
        <f>(41904+(3*365))+112</f>
        <v>43111</v>
      </c>
      <c r="S768" s="17">
        <v>10</v>
      </c>
      <c r="T768" s="17">
        <v>4230</v>
      </c>
    </row>
    <row r="769" spans="14:20" x14ac:dyDescent="0.2">
      <c r="N769" s="11" t="s">
        <v>1357</v>
      </c>
      <c r="O769" s="11" t="s">
        <v>64</v>
      </c>
      <c r="P769" s="11" t="s">
        <v>24</v>
      </c>
      <c r="Q769" s="11" t="s">
        <v>219</v>
      </c>
      <c r="R769" s="20">
        <f>(42151+(3*365))+112</f>
        <v>43358</v>
      </c>
      <c r="S769" s="17">
        <v>2</v>
      </c>
      <c r="T769" s="17">
        <v>640</v>
      </c>
    </row>
    <row r="770" spans="14:20" x14ac:dyDescent="0.2">
      <c r="N770" s="11" t="s">
        <v>929</v>
      </c>
      <c r="O770" s="11" t="s">
        <v>23</v>
      </c>
      <c r="P770" s="11" t="s">
        <v>65</v>
      </c>
      <c r="Q770" s="11" t="s">
        <v>41</v>
      </c>
      <c r="R770" s="20">
        <f>(41991+(3*365))+112</f>
        <v>43198</v>
      </c>
      <c r="S770" s="17">
        <v>9</v>
      </c>
      <c r="T770" s="17">
        <v>4465</v>
      </c>
    </row>
    <row r="771" spans="14:20" x14ac:dyDescent="0.2">
      <c r="N771" s="11" t="s">
        <v>466</v>
      </c>
      <c r="O771" s="11" t="s">
        <v>49</v>
      </c>
      <c r="P771" s="11" t="s">
        <v>65</v>
      </c>
      <c r="Q771" s="11" t="s">
        <v>219</v>
      </c>
      <c r="R771" s="20">
        <f>(41816+(3*365))+112</f>
        <v>43023</v>
      </c>
      <c r="S771" s="17">
        <v>9</v>
      </c>
      <c r="T771" s="17">
        <v>3555</v>
      </c>
    </row>
    <row r="772" spans="14:20" x14ac:dyDescent="0.2">
      <c r="N772" s="11" t="s">
        <v>1329</v>
      </c>
      <c r="O772" s="11" t="s">
        <v>23</v>
      </c>
      <c r="P772" s="11" t="s">
        <v>24</v>
      </c>
      <c r="Q772" s="11" t="s">
        <v>120</v>
      </c>
      <c r="R772" s="20">
        <f>(42143+(3*365))+112</f>
        <v>43350</v>
      </c>
      <c r="S772" s="17">
        <v>8</v>
      </c>
      <c r="T772" s="17">
        <v>2825</v>
      </c>
    </row>
    <row r="773" spans="14:20" x14ac:dyDescent="0.2">
      <c r="N773" s="11" t="s">
        <v>1207</v>
      </c>
      <c r="O773" s="11" t="s">
        <v>75</v>
      </c>
      <c r="P773" s="11" t="s">
        <v>40</v>
      </c>
      <c r="Q773" s="11" t="s">
        <v>120</v>
      </c>
      <c r="R773" s="20">
        <f>(42092+(3*365))+112</f>
        <v>43299</v>
      </c>
      <c r="S773" s="17">
        <v>6</v>
      </c>
      <c r="T773" s="17">
        <v>3215</v>
      </c>
    </row>
    <row r="774" spans="14:20" x14ac:dyDescent="0.2">
      <c r="N774" s="11" t="s">
        <v>1587</v>
      </c>
      <c r="O774" s="11" t="s">
        <v>54</v>
      </c>
      <c r="P774" s="11" t="s">
        <v>33</v>
      </c>
      <c r="Q774" s="11" t="s">
        <v>120</v>
      </c>
      <c r="R774" s="20">
        <f>(42256+(3*365))+112</f>
        <v>43463</v>
      </c>
      <c r="S774" s="17">
        <v>6</v>
      </c>
      <c r="T774" s="17">
        <v>3460</v>
      </c>
    </row>
    <row r="775" spans="14:20" x14ac:dyDescent="0.2">
      <c r="N775" s="11" t="s">
        <v>1598</v>
      </c>
      <c r="O775" s="11" t="s">
        <v>45</v>
      </c>
      <c r="P775" s="11" t="s">
        <v>33</v>
      </c>
      <c r="Q775" s="11" t="s">
        <v>34</v>
      </c>
      <c r="R775" s="20">
        <f>(42265+(3*365))+112</f>
        <v>43472</v>
      </c>
      <c r="S775" s="17">
        <v>20</v>
      </c>
      <c r="T775" s="17">
        <v>8200</v>
      </c>
    </row>
    <row r="776" spans="14:20" x14ac:dyDescent="0.2">
      <c r="N776" s="11" t="s">
        <v>284</v>
      </c>
      <c r="O776" s="11" t="s">
        <v>45</v>
      </c>
      <c r="P776" s="11" t="s">
        <v>33</v>
      </c>
      <c r="Q776" s="11" t="s">
        <v>25</v>
      </c>
      <c r="R776" s="20">
        <f>(41739+(3*365))+112</f>
        <v>42946</v>
      </c>
      <c r="S776" s="17">
        <v>11</v>
      </c>
      <c r="T776" s="17">
        <v>6290</v>
      </c>
    </row>
    <row r="777" spans="14:20" x14ac:dyDescent="0.2">
      <c r="N777" s="11" t="s">
        <v>969</v>
      </c>
      <c r="O777" s="11" t="s">
        <v>75</v>
      </c>
      <c r="P777" s="11" t="s">
        <v>33</v>
      </c>
      <c r="Q777" s="11" t="s">
        <v>41</v>
      </c>
      <c r="R777" s="20">
        <f>(42004+(3*365))+112</f>
        <v>43211</v>
      </c>
      <c r="S777" s="17">
        <v>12</v>
      </c>
      <c r="T777" s="17">
        <v>6325</v>
      </c>
    </row>
    <row r="778" spans="14:20" x14ac:dyDescent="0.2">
      <c r="N778" s="11" t="s">
        <v>183</v>
      </c>
      <c r="O778" s="11" t="s">
        <v>125</v>
      </c>
      <c r="P778" s="11" t="s">
        <v>65</v>
      </c>
      <c r="Q778" s="11" t="s">
        <v>34</v>
      </c>
      <c r="R778" s="20">
        <f>(41689+(3*365))+112</f>
        <v>42896</v>
      </c>
      <c r="S778" s="17">
        <v>20</v>
      </c>
      <c r="T778" s="17">
        <v>6440</v>
      </c>
    </row>
    <row r="779" spans="14:20" x14ac:dyDescent="0.2">
      <c r="N779" s="11" t="s">
        <v>1375</v>
      </c>
      <c r="O779" s="11" t="s">
        <v>54</v>
      </c>
      <c r="P779" s="11" t="s">
        <v>33</v>
      </c>
      <c r="Q779" s="11" t="s">
        <v>34</v>
      </c>
      <c r="R779" s="20">
        <f>(42155+(3*365))+112</f>
        <v>43362</v>
      </c>
      <c r="S779" s="17">
        <v>8</v>
      </c>
      <c r="T779" s="17">
        <v>2480</v>
      </c>
    </row>
    <row r="780" spans="14:20" x14ac:dyDescent="0.2">
      <c r="N780" s="11" t="s">
        <v>1153</v>
      </c>
      <c r="O780" s="11" t="s">
        <v>125</v>
      </c>
      <c r="P780" s="11" t="s">
        <v>33</v>
      </c>
      <c r="Q780" s="11" t="s">
        <v>120</v>
      </c>
      <c r="R780" s="20">
        <f>(42061+(3*365))+112</f>
        <v>43268</v>
      </c>
      <c r="S780" s="17">
        <v>6</v>
      </c>
      <c r="T780" s="17">
        <v>3425</v>
      </c>
    </row>
    <row r="781" spans="14:20" x14ac:dyDescent="0.2">
      <c r="N781" s="11" t="s">
        <v>1580</v>
      </c>
      <c r="O781" s="11" t="s">
        <v>23</v>
      </c>
      <c r="P781" s="11" t="s">
        <v>40</v>
      </c>
      <c r="Q781" s="11" t="s">
        <v>219</v>
      </c>
      <c r="R781" s="20">
        <f>(42246+(3*365))+112</f>
        <v>43453</v>
      </c>
      <c r="S781" s="17">
        <v>7</v>
      </c>
      <c r="T781" s="17">
        <v>3200</v>
      </c>
    </row>
    <row r="782" spans="14:20" x14ac:dyDescent="0.2">
      <c r="N782" s="11" t="s">
        <v>379</v>
      </c>
      <c r="O782" s="11" t="s">
        <v>64</v>
      </c>
      <c r="P782" s="11" t="s">
        <v>33</v>
      </c>
      <c r="Q782" s="11" t="s">
        <v>34</v>
      </c>
      <c r="R782" s="20">
        <f>(41777+(3*365))+112</f>
        <v>42984</v>
      </c>
      <c r="S782" s="17">
        <v>6</v>
      </c>
      <c r="T782" s="17">
        <v>2490</v>
      </c>
    </row>
    <row r="783" spans="14:20" x14ac:dyDescent="0.2">
      <c r="N783" s="11" t="s">
        <v>1405</v>
      </c>
      <c r="O783" s="11" t="s">
        <v>23</v>
      </c>
      <c r="P783" s="11" t="s">
        <v>65</v>
      </c>
      <c r="Q783" s="11" t="s">
        <v>41</v>
      </c>
      <c r="R783" s="20">
        <f>(42172+(3*365))+112</f>
        <v>43379</v>
      </c>
      <c r="S783" s="17">
        <v>1</v>
      </c>
      <c r="T783" s="17">
        <v>335</v>
      </c>
    </row>
    <row r="784" spans="14:20" x14ac:dyDescent="0.2">
      <c r="N784" s="11" t="s">
        <v>678</v>
      </c>
      <c r="O784" s="11" t="s">
        <v>64</v>
      </c>
      <c r="P784" s="11" t="s">
        <v>33</v>
      </c>
      <c r="Q784" s="11" t="s">
        <v>120</v>
      </c>
      <c r="R784" s="20">
        <f>(41900+(3*365))+112</f>
        <v>43107</v>
      </c>
      <c r="S784" s="17">
        <v>9</v>
      </c>
      <c r="T784" s="17">
        <v>3770</v>
      </c>
    </row>
    <row r="785" spans="14:20" x14ac:dyDescent="0.2">
      <c r="N785" s="11" t="s">
        <v>432</v>
      </c>
      <c r="O785" s="11" t="s">
        <v>32</v>
      </c>
      <c r="P785" s="11" t="s">
        <v>40</v>
      </c>
      <c r="Q785" s="11" t="s">
        <v>120</v>
      </c>
      <c r="R785" s="20">
        <f>(41803+(3*365))+112</f>
        <v>43010</v>
      </c>
      <c r="S785" s="17">
        <v>3</v>
      </c>
      <c r="T785" s="17">
        <v>955</v>
      </c>
    </row>
    <row r="786" spans="14:20" x14ac:dyDescent="0.2">
      <c r="N786" s="11" t="s">
        <v>810</v>
      </c>
      <c r="O786" s="11" t="s">
        <v>114</v>
      </c>
      <c r="P786" s="11" t="s">
        <v>33</v>
      </c>
      <c r="Q786" s="11" t="s">
        <v>34</v>
      </c>
      <c r="R786" s="20">
        <f>(41956+(3*365))+112</f>
        <v>43163</v>
      </c>
      <c r="S786" s="17">
        <v>11</v>
      </c>
      <c r="T786" s="17">
        <v>5482</v>
      </c>
    </row>
    <row r="787" spans="14:20" x14ac:dyDescent="0.2">
      <c r="N787" s="11" t="s">
        <v>67</v>
      </c>
      <c r="O787" s="11" t="s">
        <v>23</v>
      </c>
      <c r="P787" s="11" t="s">
        <v>33</v>
      </c>
      <c r="Q787" s="11" t="s">
        <v>25</v>
      </c>
      <c r="R787" s="20">
        <f>(41653+(3*365))+112</f>
        <v>42860</v>
      </c>
      <c r="S787" s="17">
        <v>4</v>
      </c>
      <c r="T787" s="21">
        <v>2155</v>
      </c>
    </row>
    <row r="788" spans="14:20" x14ac:dyDescent="0.2">
      <c r="N788" s="11" t="s">
        <v>1617</v>
      </c>
      <c r="O788" s="11" t="s">
        <v>89</v>
      </c>
      <c r="P788" s="11" t="s">
        <v>40</v>
      </c>
      <c r="Q788" s="11" t="s">
        <v>120</v>
      </c>
      <c r="R788" s="20">
        <f>(42278+(3*365))+112</f>
        <v>43485</v>
      </c>
      <c r="S788" s="17">
        <v>11</v>
      </c>
      <c r="T788" s="17">
        <v>6040</v>
      </c>
    </row>
    <row r="789" spans="14:20" x14ac:dyDescent="0.2">
      <c r="N789" s="11" t="s">
        <v>700</v>
      </c>
      <c r="O789" s="11" t="s">
        <v>89</v>
      </c>
      <c r="P789" s="11" t="s">
        <v>40</v>
      </c>
      <c r="Q789" s="11" t="s">
        <v>25</v>
      </c>
      <c r="R789" s="20">
        <f>(41907+(3*365))+112</f>
        <v>43114</v>
      </c>
      <c r="S789" s="17">
        <v>12</v>
      </c>
      <c r="T789" s="17">
        <v>5030</v>
      </c>
    </row>
    <row r="790" spans="14:20" x14ac:dyDescent="0.2">
      <c r="N790" s="11" t="s">
        <v>1443</v>
      </c>
      <c r="O790" s="11" t="s">
        <v>75</v>
      </c>
      <c r="P790" s="11" t="s">
        <v>40</v>
      </c>
      <c r="Q790" s="11" t="s">
        <v>25</v>
      </c>
      <c r="R790" s="20">
        <f>(42186+(3*365))+112</f>
        <v>43393</v>
      </c>
      <c r="S790" s="17">
        <v>8</v>
      </c>
      <c r="T790" s="17">
        <v>2590</v>
      </c>
    </row>
    <row r="791" spans="14:20" x14ac:dyDescent="0.2">
      <c r="N791" s="11" t="s">
        <v>111</v>
      </c>
      <c r="O791" s="11" t="s">
        <v>89</v>
      </c>
      <c r="P791" s="11" t="s">
        <v>65</v>
      </c>
      <c r="Q791" s="11" t="s">
        <v>25</v>
      </c>
      <c r="R791" s="20">
        <f>(41669+(3*365))+112</f>
        <v>42876</v>
      </c>
      <c r="S791" s="17">
        <v>7</v>
      </c>
      <c r="T791" s="21">
        <v>3425</v>
      </c>
    </row>
    <row r="792" spans="14:20" x14ac:dyDescent="0.2">
      <c r="N792" s="11" t="s">
        <v>692</v>
      </c>
      <c r="O792" s="11" t="s">
        <v>114</v>
      </c>
      <c r="P792" s="11" t="s">
        <v>65</v>
      </c>
      <c r="Q792" s="11" t="s">
        <v>120</v>
      </c>
      <c r="R792" s="20">
        <f>(41903+(3*365))+112</f>
        <v>43110</v>
      </c>
      <c r="S792" s="17">
        <v>15</v>
      </c>
      <c r="T792" s="17">
        <v>4725</v>
      </c>
    </row>
    <row r="793" spans="14:20" x14ac:dyDescent="0.2">
      <c r="N793" s="11" t="s">
        <v>1211</v>
      </c>
      <c r="O793" s="11" t="s">
        <v>78</v>
      </c>
      <c r="P793" s="11" t="s">
        <v>24</v>
      </c>
      <c r="Q793" s="11" t="s">
        <v>120</v>
      </c>
      <c r="R793" s="20">
        <f>(42094+(3*365))+112</f>
        <v>43301</v>
      </c>
      <c r="S793" s="17">
        <v>14</v>
      </c>
      <c r="T793" s="17">
        <v>7530</v>
      </c>
    </row>
    <row r="794" spans="14:20" x14ac:dyDescent="0.2">
      <c r="N794" s="11" t="s">
        <v>1337</v>
      </c>
      <c r="O794" s="11" t="s">
        <v>89</v>
      </c>
      <c r="P794" s="11" t="s">
        <v>40</v>
      </c>
      <c r="Q794" s="11" t="s">
        <v>120</v>
      </c>
      <c r="R794" s="20">
        <f>(42144+(3*365))+112</f>
        <v>43351</v>
      </c>
      <c r="S794" s="17">
        <v>13</v>
      </c>
      <c r="T794" s="17">
        <v>7395</v>
      </c>
    </row>
    <row r="795" spans="14:20" x14ac:dyDescent="0.2">
      <c r="N795" s="11" t="s">
        <v>1575</v>
      </c>
      <c r="O795" s="11" t="s">
        <v>64</v>
      </c>
      <c r="P795" s="11" t="s">
        <v>24</v>
      </c>
      <c r="Q795" s="11" t="s">
        <v>120</v>
      </c>
      <c r="R795" s="20">
        <f>(42242+(3*365))+112</f>
        <v>43449</v>
      </c>
      <c r="S795" s="17">
        <v>10</v>
      </c>
      <c r="T795" s="17">
        <v>5710</v>
      </c>
    </row>
    <row r="796" spans="14:20" x14ac:dyDescent="0.2">
      <c r="N796" s="11" t="s">
        <v>869</v>
      </c>
      <c r="O796" s="11" t="s">
        <v>78</v>
      </c>
      <c r="P796" s="11" t="s">
        <v>65</v>
      </c>
      <c r="Q796" s="11" t="s">
        <v>219</v>
      </c>
      <c r="R796" s="20">
        <f>(41969+(3*365))+112</f>
        <v>43176</v>
      </c>
      <c r="S796" s="17">
        <v>2</v>
      </c>
      <c r="T796" s="17">
        <v>1040</v>
      </c>
    </row>
    <row r="797" spans="14:20" x14ac:dyDescent="0.2">
      <c r="N797" s="11" t="s">
        <v>621</v>
      </c>
      <c r="O797" s="11" t="s">
        <v>89</v>
      </c>
      <c r="P797" s="11" t="s">
        <v>33</v>
      </c>
      <c r="Q797" s="11" t="s">
        <v>25</v>
      </c>
      <c r="R797" s="20">
        <f>(41878+(3*365))+112</f>
        <v>43085</v>
      </c>
      <c r="S797" s="17">
        <v>5</v>
      </c>
      <c r="T797" s="17">
        <v>1665</v>
      </c>
    </row>
    <row r="798" spans="14:20" x14ac:dyDescent="0.2">
      <c r="N798" s="11" t="s">
        <v>1721</v>
      </c>
      <c r="O798" s="11" t="s">
        <v>49</v>
      </c>
      <c r="P798" s="11" t="s">
        <v>65</v>
      </c>
      <c r="Q798" s="11" t="s">
        <v>120</v>
      </c>
      <c r="R798" s="20">
        <f>(42362+(3*365))+112</f>
        <v>43569</v>
      </c>
      <c r="S798" s="17">
        <v>12</v>
      </c>
      <c r="T798" s="17">
        <v>5315</v>
      </c>
    </row>
    <row r="799" spans="14:20" x14ac:dyDescent="0.2">
      <c r="N799" s="11" t="s">
        <v>1373</v>
      </c>
      <c r="O799" s="11" t="s">
        <v>32</v>
      </c>
      <c r="P799" s="11" t="s">
        <v>65</v>
      </c>
      <c r="Q799" s="11" t="s">
        <v>34</v>
      </c>
      <c r="R799" s="20">
        <f>(42155+(3*365))+112</f>
        <v>43362</v>
      </c>
      <c r="S799" s="17">
        <v>20</v>
      </c>
      <c r="T799" s="17">
        <v>11120</v>
      </c>
    </row>
    <row r="800" spans="14:20" x14ac:dyDescent="0.2">
      <c r="N800" s="11" t="s">
        <v>470</v>
      </c>
      <c r="O800" s="11" t="s">
        <v>49</v>
      </c>
      <c r="P800" s="11" t="s">
        <v>40</v>
      </c>
      <c r="Q800" s="11" t="s">
        <v>34</v>
      </c>
      <c r="R800" s="20">
        <f>(41816+(3*365))+112</f>
        <v>43023</v>
      </c>
      <c r="S800" s="17">
        <v>19</v>
      </c>
      <c r="T800" s="17">
        <v>10185</v>
      </c>
    </row>
    <row r="801" spans="14:20" x14ac:dyDescent="0.2">
      <c r="N801" s="11" t="s">
        <v>1670</v>
      </c>
      <c r="O801" s="11" t="s">
        <v>32</v>
      </c>
      <c r="P801" s="11" t="s">
        <v>24</v>
      </c>
      <c r="Q801" s="11" t="s">
        <v>41</v>
      </c>
      <c r="R801" s="20">
        <f>(42323+(3*365))+112</f>
        <v>43530</v>
      </c>
      <c r="S801" s="17">
        <v>2</v>
      </c>
      <c r="T801" s="17">
        <v>1195</v>
      </c>
    </row>
    <row r="802" spans="14:20" x14ac:dyDescent="0.2">
      <c r="N802" s="11" t="s">
        <v>113</v>
      </c>
      <c r="O802" s="11" t="s">
        <v>114</v>
      </c>
      <c r="P802" s="11" t="s">
        <v>40</v>
      </c>
      <c r="Q802" s="11" t="s">
        <v>25</v>
      </c>
      <c r="R802" s="20">
        <f>(41670+(3*365))+112</f>
        <v>42877</v>
      </c>
      <c r="S802" s="17">
        <v>8</v>
      </c>
      <c r="T802" s="21">
        <v>3240</v>
      </c>
    </row>
    <row r="803" spans="14:20" x14ac:dyDescent="0.2">
      <c r="N803" s="11" t="s">
        <v>501</v>
      </c>
      <c r="O803" s="11" t="s">
        <v>64</v>
      </c>
      <c r="P803" s="11" t="s">
        <v>65</v>
      </c>
      <c r="Q803" s="11" t="s">
        <v>25</v>
      </c>
      <c r="R803" s="20">
        <f>(41826+(3*365))+112</f>
        <v>43033</v>
      </c>
      <c r="S803" s="17">
        <v>13</v>
      </c>
      <c r="T803" s="17">
        <v>4535</v>
      </c>
    </row>
    <row r="804" spans="14:20" x14ac:dyDescent="0.2">
      <c r="N804" s="11" t="s">
        <v>1519</v>
      </c>
      <c r="O804" s="11" t="s">
        <v>75</v>
      </c>
      <c r="P804" s="11" t="s">
        <v>40</v>
      </c>
      <c r="Q804" s="11" t="s">
        <v>41</v>
      </c>
      <c r="R804" s="20">
        <f>(42214+(3*365))+112</f>
        <v>43421</v>
      </c>
      <c r="S804" s="17">
        <v>9</v>
      </c>
      <c r="T804" s="17">
        <v>4580</v>
      </c>
    </row>
    <row r="805" spans="14:20" x14ac:dyDescent="0.2">
      <c r="N805" s="11" t="s">
        <v>796</v>
      </c>
      <c r="O805" s="11" t="s">
        <v>54</v>
      </c>
      <c r="P805" s="11" t="s">
        <v>65</v>
      </c>
      <c r="Q805" s="11" t="s">
        <v>25</v>
      </c>
      <c r="R805" s="20">
        <f>(41946+(3*365))+112</f>
        <v>43153</v>
      </c>
      <c r="S805" s="17">
        <v>2</v>
      </c>
      <c r="T805" s="17">
        <v>1140</v>
      </c>
    </row>
    <row r="806" spans="14:20" x14ac:dyDescent="0.2">
      <c r="N806" s="11" t="s">
        <v>221</v>
      </c>
      <c r="O806" s="11" t="s">
        <v>49</v>
      </c>
      <c r="P806" s="11" t="s">
        <v>33</v>
      </c>
      <c r="Q806" s="11" t="s">
        <v>25</v>
      </c>
      <c r="R806" s="20">
        <f>(41711+(3*365))+112</f>
        <v>42918</v>
      </c>
      <c r="S806" s="17">
        <v>15</v>
      </c>
      <c r="T806" s="21">
        <v>8490</v>
      </c>
    </row>
    <row r="807" spans="14:20" x14ac:dyDescent="0.2">
      <c r="N807" s="11" t="s">
        <v>377</v>
      </c>
      <c r="O807" s="11" t="s">
        <v>49</v>
      </c>
      <c r="P807" s="11" t="s">
        <v>24</v>
      </c>
      <c r="Q807" s="11" t="s">
        <v>120</v>
      </c>
      <c r="R807" s="20">
        <f>(41776+(3*365))+112</f>
        <v>42983</v>
      </c>
      <c r="S807" s="17">
        <v>15</v>
      </c>
      <c r="T807" s="17">
        <v>6765</v>
      </c>
    </row>
    <row r="808" spans="14:20" x14ac:dyDescent="0.2">
      <c r="N808" s="11" t="s">
        <v>1723</v>
      </c>
      <c r="O808" s="11" t="s">
        <v>89</v>
      </c>
      <c r="P808" s="11" t="s">
        <v>33</v>
      </c>
      <c r="Q808" s="11" t="s">
        <v>41</v>
      </c>
      <c r="R808" s="20">
        <f>(42364+(3*365))+112</f>
        <v>43571</v>
      </c>
      <c r="S808" s="17">
        <v>3</v>
      </c>
      <c r="T808" s="17">
        <v>1190</v>
      </c>
    </row>
    <row r="809" spans="14:20" x14ac:dyDescent="0.2">
      <c r="N809" s="11" t="s">
        <v>148</v>
      </c>
      <c r="O809" s="11" t="s">
        <v>64</v>
      </c>
      <c r="P809" s="11" t="s">
        <v>33</v>
      </c>
      <c r="Q809" s="11" t="s">
        <v>120</v>
      </c>
      <c r="R809" s="20">
        <f>(41678+(3*365))+112</f>
        <v>42885</v>
      </c>
      <c r="S809" s="17">
        <v>9</v>
      </c>
      <c r="T809" s="21">
        <v>2890</v>
      </c>
    </row>
    <row r="810" spans="14:20" x14ac:dyDescent="0.2">
      <c r="N810" s="11" t="s">
        <v>1167</v>
      </c>
      <c r="O810" s="11" t="s">
        <v>89</v>
      </c>
      <c r="P810" s="11" t="s">
        <v>24</v>
      </c>
      <c r="Q810" s="11" t="s">
        <v>219</v>
      </c>
      <c r="R810" s="20">
        <f>(42067+(3*365))+112</f>
        <v>43274</v>
      </c>
      <c r="S810" s="17">
        <v>13</v>
      </c>
      <c r="T810" s="17">
        <v>4045</v>
      </c>
    </row>
    <row r="811" spans="14:20" x14ac:dyDescent="0.2">
      <c r="N811" s="11" t="s">
        <v>343</v>
      </c>
      <c r="O811" s="11" t="s">
        <v>45</v>
      </c>
      <c r="P811" s="11" t="s">
        <v>24</v>
      </c>
      <c r="Q811" s="11" t="s">
        <v>34</v>
      </c>
      <c r="R811" s="20">
        <f>(41756+(3*365))+112</f>
        <v>42963</v>
      </c>
      <c r="S811" s="17">
        <v>16</v>
      </c>
      <c r="T811" s="17">
        <v>8255</v>
      </c>
    </row>
    <row r="812" spans="14:20" x14ac:dyDescent="0.2">
      <c r="N812" s="11" t="s">
        <v>95</v>
      </c>
      <c r="O812" s="11" t="s">
        <v>64</v>
      </c>
      <c r="P812" s="11" t="s">
        <v>40</v>
      </c>
      <c r="Q812" s="11" t="s">
        <v>34</v>
      </c>
      <c r="R812" s="20">
        <f>(41662+(3*365))+112</f>
        <v>42869</v>
      </c>
      <c r="S812" s="17">
        <v>20</v>
      </c>
      <c r="T812" s="17">
        <v>11560</v>
      </c>
    </row>
    <row r="813" spans="14:20" x14ac:dyDescent="0.2">
      <c r="N813" s="11" t="s">
        <v>1654</v>
      </c>
      <c r="O813" s="11" t="s">
        <v>78</v>
      </c>
      <c r="P813" s="11" t="s">
        <v>33</v>
      </c>
      <c r="Q813" s="11" t="s">
        <v>25</v>
      </c>
      <c r="R813" s="20">
        <f>(42313+(3*365))+112</f>
        <v>43520</v>
      </c>
      <c r="S813" s="17">
        <v>8</v>
      </c>
      <c r="T813" s="17">
        <v>2735</v>
      </c>
    </row>
    <row r="814" spans="14:20" x14ac:dyDescent="0.2">
      <c r="N814" s="11" t="s">
        <v>1645</v>
      </c>
      <c r="O814" s="11" t="s">
        <v>114</v>
      </c>
      <c r="P814" s="11" t="s">
        <v>40</v>
      </c>
      <c r="Q814" s="11" t="s">
        <v>25</v>
      </c>
      <c r="R814" s="20">
        <f>(42305+(3*365))+112</f>
        <v>43512</v>
      </c>
      <c r="S814" s="17">
        <v>13</v>
      </c>
      <c r="T814" s="17">
        <v>6150</v>
      </c>
    </row>
    <row r="815" spans="14:20" x14ac:dyDescent="0.2">
      <c r="N815" s="11" t="s">
        <v>365</v>
      </c>
      <c r="O815" s="11" t="s">
        <v>32</v>
      </c>
      <c r="P815" s="11" t="s">
        <v>24</v>
      </c>
      <c r="Q815" s="11" t="s">
        <v>120</v>
      </c>
      <c r="R815" s="20">
        <f>(41771+(3*365))+112</f>
        <v>42978</v>
      </c>
      <c r="S815" s="17">
        <v>15</v>
      </c>
      <c r="T815" s="17">
        <v>7620</v>
      </c>
    </row>
    <row r="816" spans="14:20" x14ac:dyDescent="0.2">
      <c r="N816" s="11" t="s">
        <v>766</v>
      </c>
      <c r="O816" s="11" t="s">
        <v>114</v>
      </c>
      <c r="P816" s="11" t="s">
        <v>65</v>
      </c>
      <c r="Q816" s="11" t="s">
        <v>219</v>
      </c>
      <c r="R816" s="20">
        <f>(41936+(3*365))+112</f>
        <v>43143</v>
      </c>
      <c r="S816" s="17">
        <v>12</v>
      </c>
      <c r="T816" s="17">
        <v>6910</v>
      </c>
    </row>
    <row r="817" spans="14:20" x14ac:dyDescent="0.2">
      <c r="N817" s="11" t="s">
        <v>507</v>
      </c>
      <c r="O817" s="11" t="s">
        <v>89</v>
      </c>
      <c r="P817" s="11" t="s">
        <v>24</v>
      </c>
      <c r="Q817" s="11" t="s">
        <v>219</v>
      </c>
      <c r="R817" s="20">
        <f>(41832+(3*365))+112</f>
        <v>43039</v>
      </c>
      <c r="S817" s="17">
        <v>14</v>
      </c>
      <c r="T817" s="17">
        <v>4955</v>
      </c>
    </row>
    <row r="818" spans="14:20" x14ac:dyDescent="0.2">
      <c r="N818" s="11" t="s">
        <v>1589</v>
      </c>
      <c r="O818" s="11" t="s">
        <v>125</v>
      </c>
      <c r="P818" s="11" t="s">
        <v>24</v>
      </c>
      <c r="Q818" s="11" t="s">
        <v>41</v>
      </c>
      <c r="R818" s="20">
        <f>(42256+(3*365))+112</f>
        <v>43463</v>
      </c>
      <c r="S818" s="17">
        <v>9</v>
      </c>
      <c r="T818" s="17">
        <v>3995</v>
      </c>
    </row>
    <row r="819" spans="14:20" x14ac:dyDescent="0.2">
      <c r="N819" s="11" t="s">
        <v>107</v>
      </c>
      <c r="O819" s="11" t="s">
        <v>75</v>
      </c>
      <c r="P819" s="11" t="s">
        <v>24</v>
      </c>
      <c r="Q819" s="11" t="s">
        <v>34</v>
      </c>
      <c r="R819" s="20">
        <f>(41668+(3*365))+112</f>
        <v>42875</v>
      </c>
      <c r="S819" s="17">
        <v>8</v>
      </c>
      <c r="T819" s="17">
        <v>2600</v>
      </c>
    </row>
    <row r="820" spans="14:20" x14ac:dyDescent="0.2">
      <c r="N820" s="11" t="s">
        <v>239</v>
      </c>
      <c r="O820" s="11" t="s">
        <v>125</v>
      </c>
      <c r="P820" s="11" t="s">
        <v>65</v>
      </c>
      <c r="Q820" s="11" t="s">
        <v>219</v>
      </c>
      <c r="R820" s="20">
        <f>(41717+(3*365))+112</f>
        <v>42924</v>
      </c>
      <c r="S820" s="17">
        <v>1</v>
      </c>
      <c r="T820" s="21">
        <v>510</v>
      </c>
    </row>
    <row r="821" spans="14:20" x14ac:dyDescent="0.2">
      <c r="N821" s="11" t="s">
        <v>1355</v>
      </c>
      <c r="O821" s="11" t="s">
        <v>54</v>
      </c>
      <c r="P821" s="11" t="s">
        <v>65</v>
      </c>
      <c r="Q821" s="11" t="s">
        <v>25</v>
      </c>
      <c r="R821" s="20">
        <f>(42151+(3*365))+112</f>
        <v>43358</v>
      </c>
      <c r="S821" s="17">
        <v>2</v>
      </c>
      <c r="T821" s="17">
        <v>1160</v>
      </c>
    </row>
    <row r="822" spans="14:20" x14ac:dyDescent="0.2">
      <c r="N822" s="11" t="s">
        <v>1069</v>
      </c>
      <c r="O822" s="11" t="s">
        <v>49</v>
      </c>
      <c r="P822" s="11" t="s">
        <v>24</v>
      </c>
      <c r="Q822" s="11" t="s">
        <v>25</v>
      </c>
      <c r="R822" s="20">
        <f>(42027+(3*365))+112</f>
        <v>43234</v>
      </c>
      <c r="S822" s="17">
        <v>10</v>
      </c>
      <c r="T822" s="17">
        <v>5840</v>
      </c>
    </row>
    <row r="823" spans="14:20" x14ac:dyDescent="0.2">
      <c r="N823" s="11" t="s">
        <v>91</v>
      </c>
      <c r="O823" s="11" t="s">
        <v>32</v>
      </c>
      <c r="P823" s="11" t="s">
        <v>40</v>
      </c>
      <c r="Q823" s="11" t="s">
        <v>25</v>
      </c>
      <c r="R823" s="20">
        <f>(41656+(3*365))+112</f>
        <v>42863</v>
      </c>
      <c r="S823" s="17">
        <v>10</v>
      </c>
      <c r="T823" s="21">
        <v>3960</v>
      </c>
    </row>
    <row r="824" spans="14:20" x14ac:dyDescent="0.2">
      <c r="N824" s="11" t="s">
        <v>1720</v>
      </c>
      <c r="O824" s="11" t="s">
        <v>32</v>
      </c>
      <c r="P824" s="11" t="s">
        <v>24</v>
      </c>
      <c r="Q824" s="11" t="s">
        <v>34</v>
      </c>
      <c r="R824" s="20">
        <f>(42361+(3*365))+112</f>
        <v>43568</v>
      </c>
      <c r="S824" s="17">
        <v>20</v>
      </c>
      <c r="T824" s="17">
        <v>9420</v>
      </c>
    </row>
    <row r="825" spans="14:20" x14ac:dyDescent="0.2">
      <c r="N825" s="11" t="s">
        <v>1195</v>
      </c>
      <c r="O825" s="11" t="s">
        <v>114</v>
      </c>
      <c r="P825" s="11" t="s">
        <v>33</v>
      </c>
      <c r="Q825" s="11" t="s">
        <v>41</v>
      </c>
      <c r="R825" s="20">
        <f>(42085+(3*365))+112</f>
        <v>43292</v>
      </c>
      <c r="S825" s="17">
        <v>1</v>
      </c>
      <c r="T825" s="17">
        <v>335</v>
      </c>
    </row>
    <row r="826" spans="14:20" x14ac:dyDescent="0.2">
      <c r="N826" s="11" t="s">
        <v>1343</v>
      </c>
      <c r="O826" s="11" t="s">
        <v>75</v>
      </c>
      <c r="P826" s="11" t="s">
        <v>40</v>
      </c>
      <c r="Q826" s="11" t="s">
        <v>34</v>
      </c>
      <c r="R826" s="20">
        <f>(42147+(3*365))+112</f>
        <v>43354</v>
      </c>
      <c r="S826" s="17">
        <v>7</v>
      </c>
      <c r="T826" s="17">
        <v>3360</v>
      </c>
    </row>
    <row r="827" spans="14:20" x14ac:dyDescent="0.2">
      <c r="N827" s="11" t="s">
        <v>1209</v>
      </c>
      <c r="O827" s="11" t="s">
        <v>64</v>
      </c>
      <c r="P827" s="11" t="s">
        <v>24</v>
      </c>
      <c r="Q827" s="11" t="s">
        <v>34</v>
      </c>
      <c r="R827" s="20">
        <f>(42092+(3*365))+112</f>
        <v>43299</v>
      </c>
      <c r="S827" s="17">
        <v>7</v>
      </c>
      <c r="T827" s="17">
        <v>4183</v>
      </c>
    </row>
    <row r="828" spans="14:20" x14ac:dyDescent="0.2">
      <c r="N828" s="11" t="s">
        <v>1001</v>
      </c>
      <c r="O828" s="11" t="s">
        <v>64</v>
      </c>
      <c r="P828" s="11" t="s">
        <v>40</v>
      </c>
      <c r="Q828" s="11" t="s">
        <v>120</v>
      </c>
      <c r="R828" s="20">
        <f>(42008+(3*365))+112</f>
        <v>43215</v>
      </c>
      <c r="S828" s="17">
        <v>15</v>
      </c>
      <c r="T828" s="17">
        <v>6765</v>
      </c>
    </row>
    <row r="829" spans="14:20" x14ac:dyDescent="0.2">
      <c r="N829" s="11" t="s">
        <v>139</v>
      </c>
      <c r="O829" s="11" t="s">
        <v>45</v>
      </c>
      <c r="P829" s="11" t="s">
        <v>65</v>
      </c>
      <c r="Q829" s="11" t="s">
        <v>34</v>
      </c>
      <c r="R829" s="20">
        <f>(41676+(3*365))+112</f>
        <v>42883</v>
      </c>
      <c r="S829" s="17">
        <v>17</v>
      </c>
      <c r="T829" s="17">
        <v>7855</v>
      </c>
    </row>
    <row r="830" spans="14:20" x14ac:dyDescent="0.2">
      <c r="N830" s="11" t="s">
        <v>81</v>
      </c>
      <c r="O830" s="11" t="s">
        <v>32</v>
      </c>
      <c r="P830" s="11" t="s">
        <v>33</v>
      </c>
      <c r="Q830" s="11" t="s">
        <v>34</v>
      </c>
      <c r="R830" s="20">
        <f>(41655+(3*365))+112</f>
        <v>42862</v>
      </c>
      <c r="S830" s="17">
        <v>6</v>
      </c>
      <c r="T830" s="17">
        <v>2910</v>
      </c>
    </row>
    <row r="831" spans="14:20" x14ac:dyDescent="0.2">
      <c r="N831" s="11" t="s">
        <v>201</v>
      </c>
      <c r="O831" s="11" t="s">
        <v>64</v>
      </c>
      <c r="P831" s="11" t="s">
        <v>33</v>
      </c>
      <c r="Q831" s="11" t="s">
        <v>25</v>
      </c>
      <c r="R831" s="20">
        <f>(41697+(3*365))+112</f>
        <v>42904</v>
      </c>
      <c r="S831" s="17">
        <v>14</v>
      </c>
      <c r="T831" s="21">
        <v>7055</v>
      </c>
    </row>
    <row r="832" spans="14:20" x14ac:dyDescent="0.2">
      <c r="N832" s="11" t="s">
        <v>569</v>
      </c>
      <c r="O832" s="11" t="s">
        <v>49</v>
      </c>
      <c r="P832" s="11" t="s">
        <v>33</v>
      </c>
      <c r="Q832" s="11" t="s">
        <v>41</v>
      </c>
      <c r="R832" s="20">
        <f>(41854+(3*365))+112</f>
        <v>43061</v>
      </c>
      <c r="S832" s="17">
        <v>10</v>
      </c>
      <c r="T832" s="17">
        <v>5350</v>
      </c>
    </row>
    <row r="833" spans="14:20" x14ac:dyDescent="0.2">
      <c r="N833" s="11" t="s">
        <v>1679</v>
      </c>
      <c r="O833" s="11" t="s">
        <v>54</v>
      </c>
      <c r="P833" s="11" t="s">
        <v>33</v>
      </c>
      <c r="Q833" s="11" t="s">
        <v>25</v>
      </c>
      <c r="R833" s="20">
        <f>(42332+(3*365))+112</f>
        <v>43539</v>
      </c>
      <c r="S833" s="17">
        <v>1</v>
      </c>
      <c r="T833" s="17">
        <v>545</v>
      </c>
    </row>
    <row r="834" spans="14:20" x14ac:dyDescent="0.2">
      <c r="N834" s="11" t="s">
        <v>1497</v>
      </c>
      <c r="O834" s="11" t="s">
        <v>117</v>
      </c>
      <c r="P834" s="11" t="s">
        <v>24</v>
      </c>
      <c r="Q834" s="11" t="s">
        <v>120</v>
      </c>
      <c r="R834" s="20">
        <f>(42202+(3*365))+112</f>
        <v>43409</v>
      </c>
      <c r="S834" s="17">
        <v>12</v>
      </c>
      <c r="T834" s="17">
        <v>4285</v>
      </c>
    </row>
    <row r="835" spans="14:20" x14ac:dyDescent="0.2">
      <c r="N835" s="11" t="s">
        <v>1145</v>
      </c>
      <c r="O835" s="11" t="s">
        <v>45</v>
      </c>
      <c r="P835" s="11" t="s">
        <v>24</v>
      </c>
      <c r="Q835" s="11" t="s">
        <v>41</v>
      </c>
      <c r="R835" s="20">
        <f>(42058+(3*365))+112</f>
        <v>43265</v>
      </c>
      <c r="S835" s="17">
        <v>6</v>
      </c>
      <c r="T835" s="17">
        <v>2075</v>
      </c>
    </row>
    <row r="836" spans="14:20" x14ac:dyDescent="0.2">
      <c r="N836" s="11" t="s">
        <v>688</v>
      </c>
      <c r="O836" s="11" t="s">
        <v>89</v>
      </c>
      <c r="P836" s="11" t="s">
        <v>33</v>
      </c>
      <c r="Q836" s="11" t="s">
        <v>25</v>
      </c>
      <c r="R836" s="20">
        <f>(41903+(3*365))+112</f>
        <v>43110</v>
      </c>
      <c r="S836" s="17">
        <v>14</v>
      </c>
      <c r="T836" s="17">
        <v>4660</v>
      </c>
    </row>
    <row r="837" spans="14:20" x14ac:dyDescent="0.2">
      <c r="N837" s="11" t="s">
        <v>702</v>
      </c>
      <c r="O837" s="11" t="s">
        <v>117</v>
      </c>
      <c r="P837" s="11" t="s">
        <v>24</v>
      </c>
      <c r="Q837" s="11" t="s">
        <v>120</v>
      </c>
      <c r="R837" s="20">
        <f>(41909+(3*365))+112</f>
        <v>43116</v>
      </c>
      <c r="S837" s="17">
        <v>3</v>
      </c>
      <c r="T837" s="17">
        <v>1030</v>
      </c>
    </row>
    <row r="838" spans="14:20" x14ac:dyDescent="0.2">
      <c r="N838" s="11" t="s">
        <v>862</v>
      </c>
      <c r="O838" s="11" t="s">
        <v>117</v>
      </c>
      <c r="P838" s="11" t="s">
        <v>40</v>
      </c>
      <c r="Q838" s="11" t="s">
        <v>34</v>
      </c>
      <c r="R838" s="20">
        <f>(41967+(3*365))+112</f>
        <v>43174</v>
      </c>
      <c r="S838" s="17">
        <v>19</v>
      </c>
      <c r="T838" s="17">
        <v>10966</v>
      </c>
    </row>
    <row r="839" spans="14:20" x14ac:dyDescent="0.2">
      <c r="N839" s="11" t="s">
        <v>770</v>
      </c>
      <c r="O839" s="11" t="s">
        <v>75</v>
      </c>
      <c r="P839" s="11" t="s">
        <v>65</v>
      </c>
      <c r="Q839" s="11" t="s">
        <v>41</v>
      </c>
      <c r="R839" s="20">
        <f>(41938+(3*365))+112</f>
        <v>43145</v>
      </c>
      <c r="S839" s="17">
        <v>2</v>
      </c>
      <c r="T839" s="17">
        <v>920</v>
      </c>
    </row>
    <row r="840" spans="14:20" x14ac:dyDescent="0.2">
      <c r="N840" s="11" t="s">
        <v>316</v>
      </c>
      <c r="O840" s="11" t="s">
        <v>78</v>
      </c>
      <c r="P840" s="11" t="s">
        <v>24</v>
      </c>
      <c r="Q840" s="11" t="s">
        <v>219</v>
      </c>
      <c r="R840" s="20">
        <f>(41748+(3*365))+112</f>
        <v>42955</v>
      </c>
      <c r="S840" s="17">
        <v>12</v>
      </c>
      <c r="T840" s="17">
        <v>6205</v>
      </c>
    </row>
    <row r="841" spans="14:20" x14ac:dyDescent="0.2">
      <c r="N841" s="11" t="s">
        <v>468</v>
      </c>
      <c r="O841" s="11" t="s">
        <v>125</v>
      </c>
      <c r="P841" s="11" t="s">
        <v>40</v>
      </c>
      <c r="Q841" s="11" t="s">
        <v>120</v>
      </c>
      <c r="R841" s="20">
        <f>(41816+(3*365))+112</f>
        <v>43023</v>
      </c>
      <c r="S841" s="17">
        <v>10</v>
      </c>
      <c r="T841" s="17">
        <v>3360</v>
      </c>
    </row>
    <row r="842" spans="14:20" x14ac:dyDescent="0.2">
      <c r="N842" s="11" t="s">
        <v>724</v>
      </c>
      <c r="O842" s="11" t="s">
        <v>64</v>
      </c>
      <c r="P842" s="11" t="s">
        <v>33</v>
      </c>
      <c r="Q842" s="11" t="s">
        <v>34</v>
      </c>
      <c r="R842" s="20">
        <f>(41920+(3*365))+112</f>
        <v>43127</v>
      </c>
      <c r="S842" s="17">
        <v>18</v>
      </c>
      <c r="T842" s="17">
        <v>7955</v>
      </c>
    </row>
    <row r="843" spans="14:20" x14ac:dyDescent="0.2">
      <c r="N843" s="11" t="s">
        <v>881</v>
      </c>
      <c r="O843" s="11" t="s">
        <v>45</v>
      </c>
      <c r="P843" s="11" t="s">
        <v>40</v>
      </c>
      <c r="Q843" s="11" t="s">
        <v>34</v>
      </c>
      <c r="R843" s="20">
        <f>(41972+(3*365))+112</f>
        <v>43179</v>
      </c>
      <c r="S843" s="17">
        <v>14</v>
      </c>
      <c r="T843" s="17">
        <v>4799</v>
      </c>
    </row>
    <row r="844" spans="14:20" x14ac:dyDescent="0.2">
      <c r="N844" s="11" t="s">
        <v>722</v>
      </c>
      <c r="O844" s="11" t="s">
        <v>78</v>
      </c>
      <c r="P844" s="11" t="s">
        <v>40</v>
      </c>
      <c r="Q844" s="11" t="s">
        <v>25</v>
      </c>
      <c r="R844" s="20">
        <f>(41917+(3*365))+112</f>
        <v>43124</v>
      </c>
      <c r="S844" s="17">
        <v>6</v>
      </c>
      <c r="T844" s="17">
        <v>1940</v>
      </c>
    </row>
    <row r="845" spans="14:20" x14ac:dyDescent="0.2">
      <c r="N845" s="11" t="s">
        <v>917</v>
      </c>
      <c r="O845" s="11" t="s">
        <v>23</v>
      </c>
      <c r="P845" s="11" t="s">
        <v>65</v>
      </c>
      <c r="Q845" s="11" t="s">
        <v>41</v>
      </c>
      <c r="R845" s="20">
        <f>(41987+(3*365))+112</f>
        <v>43194</v>
      </c>
      <c r="S845" s="17">
        <v>6</v>
      </c>
      <c r="T845" s="17">
        <v>1890</v>
      </c>
    </row>
    <row r="846" spans="14:20" x14ac:dyDescent="0.2">
      <c r="N846" s="11" t="s">
        <v>1593</v>
      </c>
      <c r="O846" s="11" t="s">
        <v>32</v>
      </c>
      <c r="P846" s="11" t="s">
        <v>24</v>
      </c>
      <c r="Q846" s="11" t="s">
        <v>120</v>
      </c>
      <c r="R846" s="20">
        <f>(42256+(3*365))+112</f>
        <v>43463</v>
      </c>
      <c r="S846" s="17">
        <v>15</v>
      </c>
      <c r="T846" s="17">
        <v>8430</v>
      </c>
    </row>
    <row r="847" spans="14:20" x14ac:dyDescent="0.2">
      <c r="N847" s="11" t="s">
        <v>1574</v>
      </c>
      <c r="O847" s="11" t="s">
        <v>114</v>
      </c>
      <c r="P847" s="11" t="s">
        <v>65</v>
      </c>
      <c r="Q847" s="11" t="s">
        <v>219</v>
      </c>
      <c r="R847" s="20">
        <f>(42241+(3*365))+112</f>
        <v>43448</v>
      </c>
      <c r="S847" s="17">
        <v>8</v>
      </c>
      <c r="T847" s="17">
        <v>3735</v>
      </c>
    </row>
    <row r="848" spans="14:20" x14ac:dyDescent="0.2">
      <c r="N848" s="11" t="s">
        <v>1622</v>
      </c>
      <c r="O848" s="11" t="s">
        <v>49</v>
      </c>
      <c r="P848" s="11" t="s">
        <v>24</v>
      </c>
      <c r="Q848" s="11" t="s">
        <v>41</v>
      </c>
      <c r="R848" s="20">
        <f>(42284+(3*365))+112</f>
        <v>43491</v>
      </c>
      <c r="S848" s="17">
        <v>1</v>
      </c>
      <c r="T848" s="17">
        <v>430</v>
      </c>
    </row>
    <row r="849" spans="14:20" x14ac:dyDescent="0.2">
      <c r="N849" s="11" t="s">
        <v>549</v>
      </c>
      <c r="O849" s="11" t="s">
        <v>64</v>
      </c>
      <c r="P849" s="11" t="s">
        <v>33</v>
      </c>
      <c r="Q849" s="11" t="s">
        <v>34</v>
      </c>
      <c r="R849" s="20">
        <f>(41847+(3*365))+112</f>
        <v>43054</v>
      </c>
      <c r="S849" s="17">
        <v>12</v>
      </c>
      <c r="T849" s="17">
        <v>7080</v>
      </c>
    </row>
    <row r="850" spans="14:20" x14ac:dyDescent="0.2">
      <c r="N850" s="11" t="s">
        <v>1261</v>
      </c>
      <c r="O850" s="11" t="s">
        <v>117</v>
      </c>
      <c r="P850" s="11" t="s">
        <v>40</v>
      </c>
      <c r="Q850" s="11" t="s">
        <v>41</v>
      </c>
      <c r="R850" s="20">
        <f>(42116+(3*365))+112</f>
        <v>43323</v>
      </c>
      <c r="S850" s="17">
        <v>1</v>
      </c>
      <c r="T850" s="17">
        <v>575</v>
      </c>
    </row>
    <row r="851" spans="14:20" x14ac:dyDescent="0.2">
      <c r="N851" s="11" t="s">
        <v>656</v>
      </c>
      <c r="O851" s="11" t="s">
        <v>45</v>
      </c>
      <c r="P851" s="11" t="s">
        <v>65</v>
      </c>
      <c r="Q851" s="11" t="s">
        <v>34</v>
      </c>
      <c r="R851" s="20">
        <f>(41892+(3*365))+112</f>
        <v>43099</v>
      </c>
      <c r="S851" s="17">
        <v>7</v>
      </c>
      <c r="T851" s="17">
        <v>2730</v>
      </c>
    </row>
    <row r="852" spans="14:20" x14ac:dyDescent="0.2">
      <c r="N852" s="11" t="s">
        <v>1595</v>
      </c>
      <c r="O852" s="11" t="s">
        <v>54</v>
      </c>
      <c r="P852" s="11" t="s">
        <v>65</v>
      </c>
      <c r="Q852" s="11" t="s">
        <v>219</v>
      </c>
      <c r="R852" s="20">
        <f>(42262+(3*365))+112</f>
        <v>43469</v>
      </c>
      <c r="S852" s="17">
        <v>15</v>
      </c>
      <c r="T852" s="17">
        <v>5940</v>
      </c>
    </row>
    <row r="853" spans="14:20" x14ac:dyDescent="0.2">
      <c r="N853" s="11" t="s">
        <v>1641</v>
      </c>
      <c r="O853" s="11" t="s">
        <v>78</v>
      </c>
      <c r="P853" s="11" t="s">
        <v>40</v>
      </c>
      <c r="Q853" s="11" t="s">
        <v>34</v>
      </c>
      <c r="R853" s="20">
        <f>(42302+(3*365))+112</f>
        <v>43509</v>
      </c>
      <c r="S853" s="17">
        <v>18</v>
      </c>
      <c r="T853" s="17">
        <v>10385</v>
      </c>
    </row>
    <row r="854" spans="14:20" x14ac:dyDescent="0.2">
      <c r="N854" s="11" t="s">
        <v>605</v>
      </c>
      <c r="O854" s="11" t="s">
        <v>64</v>
      </c>
      <c r="P854" s="11" t="s">
        <v>24</v>
      </c>
      <c r="Q854" s="11" t="s">
        <v>120</v>
      </c>
      <c r="R854" s="20">
        <f>(41871+(3*365))+112</f>
        <v>43078</v>
      </c>
      <c r="S854" s="17">
        <v>10</v>
      </c>
      <c r="T854" s="17">
        <v>3160</v>
      </c>
    </row>
    <row r="855" spans="14:20" x14ac:dyDescent="0.2">
      <c r="N855" s="11" t="s">
        <v>676</v>
      </c>
      <c r="O855" s="11" t="s">
        <v>75</v>
      </c>
      <c r="P855" s="11" t="s">
        <v>65</v>
      </c>
      <c r="Q855" s="11" t="s">
        <v>34</v>
      </c>
      <c r="R855" s="20">
        <f>(41897+(3*365))+112</f>
        <v>43104</v>
      </c>
      <c r="S855" s="17">
        <v>13</v>
      </c>
      <c r="T855" s="17">
        <v>5996</v>
      </c>
    </row>
    <row r="856" spans="14:20" x14ac:dyDescent="0.2">
      <c r="N856" s="11" t="s">
        <v>74</v>
      </c>
      <c r="O856" s="11" t="s">
        <v>75</v>
      </c>
      <c r="P856" s="11" t="s">
        <v>24</v>
      </c>
      <c r="Q856" s="11" t="s">
        <v>34</v>
      </c>
      <c r="R856" s="20">
        <f>(41654+(3*365))+112</f>
        <v>42861</v>
      </c>
      <c r="S856" s="17">
        <v>7</v>
      </c>
      <c r="T856" s="17">
        <v>2345</v>
      </c>
    </row>
    <row r="857" spans="14:20" x14ac:dyDescent="0.2">
      <c r="N857" s="11" t="s">
        <v>436</v>
      </c>
      <c r="O857" s="11" t="s">
        <v>49</v>
      </c>
      <c r="P857" s="11" t="s">
        <v>40</v>
      </c>
      <c r="Q857" s="11" t="s">
        <v>219</v>
      </c>
      <c r="R857" s="20">
        <f>(41804+(3*365))+112</f>
        <v>43011</v>
      </c>
      <c r="S857" s="17">
        <v>9</v>
      </c>
      <c r="T857" s="17">
        <v>3215</v>
      </c>
    </row>
    <row r="858" spans="14:20" x14ac:dyDescent="0.2">
      <c r="N858" s="11" t="s">
        <v>523</v>
      </c>
      <c r="O858" s="11" t="s">
        <v>32</v>
      </c>
      <c r="P858" s="11" t="s">
        <v>33</v>
      </c>
      <c r="Q858" s="11" t="s">
        <v>219</v>
      </c>
      <c r="R858" s="20">
        <f>(41838+(3*365))+112</f>
        <v>43045</v>
      </c>
      <c r="S858" s="17">
        <v>2</v>
      </c>
      <c r="T858" s="17">
        <v>1130</v>
      </c>
    </row>
    <row r="859" spans="14:20" x14ac:dyDescent="0.2">
      <c r="N859" s="11" t="s">
        <v>483</v>
      </c>
      <c r="O859" s="11" t="s">
        <v>23</v>
      </c>
      <c r="P859" s="11" t="s">
        <v>33</v>
      </c>
      <c r="Q859" s="11" t="s">
        <v>34</v>
      </c>
      <c r="R859" s="20">
        <f>(41819+(3*365))+112</f>
        <v>43026</v>
      </c>
      <c r="S859" s="17">
        <v>12</v>
      </c>
      <c r="T859" s="17">
        <v>6789</v>
      </c>
    </row>
    <row r="860" spans="14:20" x14ac:dyDescent="0.2">
      <c r="N860" s="11" t="s">
        <v>993</v>
      </c>
      <c r="O860" s="11" t="s">
        <v>117</v>
      </c>
      <c r="P860" s="11" t="s">
        <v>40</v>
      </c>
      <c r="Q860" s="11" t="s">
        <v>120</v>
      </c>
      <c r="R860" s="20">
        <f>(42007+(3*365))+112</f>
        <v>43214</v>
      </c>
      <c r="S860" s="17">
        <v>4</v>
      </c>
      <c r="T860" s="17">
        <v>2310</v>
      </c>
    </row>
    <row r="861" spans="14:20" x14ac:dyDescent="0.2">
      <c r="N861" s="11" t="s">
        <v>1465</v>
      </c>
      <c r="O861" s="11" t="s">
        <v>45</v>
      </c>
      <c r="P861" s="11" t="s">
        <v>33</v>
      </c>
      <c r="Q861" s="11" t="s">
        <v>219</v>
      </c>
      <c r="R861" s="20">
        <f>(42193+(3*365))+112</f>
        <v>43400</v>
      </c>
      <c r="S861" s="17">
        <v>5</v>
      </c>
      <c r="T861" s="17">
        <v>2160</v>
      </c>
    </row>
    <row r="862" spans="14:20" x14ac:dyDescent="0.2">
      <c r="N862" s="11" t="s">
        <v>229</v>
      </c>
      <c r="O862" s="11" t="s">
        <v>78</v>
      </c>
      <c r="P862" s="11" t="s">
        <v>40</v>
      </c>
      <c r="Q862" s="11" t="s">
        <v>120</v>
      </c>
      <c r="R862" s="20">
        <f>(41712+(3*365))+112</f>
        <v>42919</v>
      </c>
      <c r="S862" s="17">
        <v>2</v>
      </c>
      <c r="T862" s="21">
        <v>1010</v>
      </c>
    </row>
    <row r="863" spans="14:20" x14ac:dyDescent="0.2">
      <c r="N863" s="11" t="s">
        <v>784</v>
      </c>
      <c r="O863" s="11" t="s">
        <v>45</v>
      </c>
      <c r="P863" s="11" t="s">
        <v>65</v>
      </c>
      <c r="Q863" s="11" t="s">
        <v>120</v>
      </c>
      <c r="R863" s="20">
        <f>(41942+(3*365))+112</f>
        <v>43149</v>
      </c>
      <c r="S863" s="17">
        <v>12</v>
      </c>
      <c r="T863" s="17">
        <v>5785</v>
      </c>
    </row>
    <row r="864" spans="14:20" x14ac:dyDescent="0.2">
      <c r="N864" s="11" t="s">
        <v>1626</v>
      </c>
      <c r="O864" s="11" t="s">
        <v>89</v>
      </c>
      <c r="P864" s="11" t="s">
        <v>65</v>
      </c>
      <c r="Q864" s="11" t="s">
        <v>34</v>
      </c>
      <c r="R864" s="20">
        <f>(42285+(3*365))+112</f>
        <v>43492</v>
      </c>
      <c r="S864" s="17">
        <v>6</v>
      </c>
      <c r="T864" s="17">
        <v>3060</v>
      </c>
    </row>
    <row r="865" spans="14:20" x14ac:dyDescent="0.2">
      <c r="N865" s="11" t="s">
        <v>1541</v>
      </c>
      <c r="O865" s="11" t="s">
        <v>32</v>
      </c>
      <c r="P865" s="11" t="s">
        <v>65</v>
      </c>
      <c r="Q865" s="11" t="s">
        <v>34</v>
      </c>
      <c r="R865" s="20">
        <f>(42224+(3*365))+112</f>
        <v>43431</v>
      </c>
      <c r="S865" s="17">
        <v>16</v>
      </c>
      <c r="T865" s="17">
        <v>8480</v>
      </c>
    </row>
    <row r="866" spans="14:20" x14ac:dyDescent="0.2">
      <c r="N866" s="11" t="s">
        <v>294</v>
      </c>
      <c r="O866" s="11" t="s">
        <v>54</v>
      </c>
      <c r="P866" s="11" t="s">
        <v>40</v>
      </c>
      <c r="Q866" s="11" t="s">
        <v>41</v>
      </c>
      <c r="R866" s="20">
        <f>(41740+(3*365))+112</f>
        <v>42947</v>
      </c>
      <c r="S866" s="17">
        <v>13</v>
      </c>
      <c r="T866" s="17">
        <v>4990</v>
      </c>
    </row>
    <row r="867" spans="14:20" x14ac:dyDescent="0.2">
      <c r="N867" s="11" t="s">
        <v>708</v>
      </c>
      <c r="O867" s="11" t="s">
        <v>45</v>
      </c>
      <c r="P867" s="11" t="s">
        <v>65</v>
      </c>
      <c r="Q867" s="11" t="s">
        <v>34</v>
      </c>
      <c r="R867" s="20">
        <f>(41913+(3*365))+112</f>
        <v>43120</v>
      </c>
      <c r="S867" s="17">
        <v>6</v>
      </c>
      <c r="T867" s="17">
        <v>2400</v>
      </c>
    </row>
    <row r="868" spans="14:20" x14ac:dyDescent="0.2">
      <c r="N868" s="11" t="s">
        <v>1594</v>
      </c>
      <c r="O868" s="11" t="s">
        <v>64</v>
      </c>
      <c r="P868" s="11" t="s">
        <v>40</v>
      </c>
      <c r="Q868" s="11" t="s">
        <v>219</v>
      </c>
      <c r="R868" s="20">
        <f>(42262+(3*365))+112</f>
        <v>43469</v>
      </c>
      <c r="S868" s="17">
        <v>13</v>
      </c>
      <c r="T868" s="17">
        <v>6710</v>
      </c>
    </row>
    <row r="869" spans="14:20" x14ac:dyDescent="0.2">
      <c r="N869" s="11" t="s">
        <v>1377</v>
      </c>
      <c r="O869" s="11" t="s">
        <v>32</v>
      </c>
      <c r="P869" s="11" t="s">
        <v>24</v>
      </c>
      <c r="Q869" s="11" t="s">
        <v>219</v>
      </c>
      <c r="R869" s="20">
        <f>(42155+(3*365))+112</f>
        <v>43362</v>
      </c>
      <c r="S869" s="17">
        <v>9</v>
      </c>
      <c r="T869" s="17">
        <v>4340</v>
      </c>
    </row>
    <row r="870" spans="14:20" x14ac:dyDescent="0.2">
      <c r="N870" s="11" t="s">
        <v>1652</v>
      </c>
      <c r="O870" s="11" t="s">
        <v>64</v>
      </c>
      <c r="P870" s="11" t="s">
        <v>40</v>
      </c>
      <c r="Q870" s="11" t="s">
        <v>219</v>
      </c>
      <c r="R870" s="20">
        <f>(42312+(3*365))+112</f>
        <v>43519</v>
      </c>
      <c r="S870" s="17">
        <v>11</v>
      </c>
      <c r="T870" s="17">
        <v>6125</v>
      </c>
    </row>
    <row r="871" spans="14:20" x14ac:dyDescent="0.2">
      <c r="N871" s="11" t="s">
        <v>1327</v>
      </c>
      <c r="O871" s="11" t="s">
        <v>64</v>
      </c>
      <c r="P871" s="11" t="s">
        <v>24</v>
      </c>
      <c r="Q871" s="11" t="s">
        <v>34</v>
      </c>
      <c r="R871" s="20">
        <f>(42141+(3*365))+112</f>
        <v>43348</v>
      </c>
      <c r="S871" s="17">
        <v>14</v>
      </c>
      <c r="T871" s="17">
        <v>5266</v>
      </c>
    </row>
    <row r="872" spans="14:20" x14ac:dyDescent="0.2">
      <c r="N872" s="11" t="s">
        <v>850</v>
      </c>
      <c r="O872" s="11" t="s">
        <v>45</v>
      </c>
      <c r="P872" s="11" t="s">
        <v>33</v>
      </c>
      <c r="Q872" s="11" t="s">
        <v>219</v>
      </c>
      <c r="R872" s="20">
        <f>(41966+(3*365))+112</f>
        <v>43173</v>
      </c>
      <c r="S872" s="17">
        <v>3</v>
      </c>
      <c r="T872" s="17">
        <v>1095</v>
      </c>
    </row>
    <row r="873" spans="14:20" x14ac:dyDescent="0.2">
      <c r="N873" s="11" t="s">
        <v>339</v>
      </c>
      <c r="O873" s="11" t="s">
        <v>64</v>
      </c>
      <c r="P873" s="11" t="s">
        <v>33</v>
      </c>
      <c r="Q873" s="11" t="s">
        <v>219</v>
      </c>
      <c r="R873" s="20">
        <f>(41755+(3*365))+112</f>
        <v>42962</v>
      </c>
      <c r="S873" s="17">
        <v>7</v>
      </c>
      <c r="T873" s="17">
        <v>2800</v>
      </c>
    </row>
    <row r="874" spans="14:20" x14ac:dyDescent="0.2">
      <c r="N874" s="11" t="s">
        <v>1429</v>
      </c>
      <c r="O874" s="11" t="s">
        <v>23</v>
      </c>
      <c r="P874" s="11" t="s">
        <v>65</v>
      </c>
      <c r="Q874" s="11" t="s">
        <v>120</v>
      </c>
      <c r="R874" s="20">
        <f>(42181+(3*365))+112</f>
        <v>43388</v>
      </c>
      <c r="S874" s="17">
        <v>15</v>
      </c>
      <c r="T874" s="17">
        <v>5415</v>
      </c>
    </row>
    <row r="875" spans="14:20" x14ac:dyDescent="0.2">
      <c r="N875" s="11" t="s">
        <v>245</v>
      </c>
      <c r="O875" s="11" t="s">
        <v>32</v>
      </c>
      <c r="P875" s="11" t="s">
        <v>33</v>
      </c>
      <c r="Q875" s="11" t="s">
        <v>41</v>
      </c>
      <c r="R875" s="20">
        <f>(41718+(3*365))+112</f>
        <v>42925</v>
      </c>
      <c r="S875" s="17">
        <v>5</v>
      </c>
      <c r="T875" s="17">
        <v>1750</v>
      </c>
    </row>
    <row r="876" spans="14:20" x14ac:dyDescent="0.2">
      <c r="N876" s="11" t="s">
        <v>130</v>
      </c>
      <c r="O876" s="11" t="s">
        <v>45</v>
      </c>
      <c r="P876" s="11" t="s">
        <v>65</v>
      </c>
      <c r="Q876" s="11" t="s">
        <v>25</v>
      </c>
      <c r="R876" s="20">
        <f>(41675+(3*365))+112</f>
        <v>42882</v>
      </c>
      <c r="S876" s="17">
        <v>10</v>
      </c>
      <c r="T876" s="21">
        <v>4920</v>
      </c>
    </row>
    <row r="877" spans="14:20" x14ac:dyDescent="0.2">
      <c r="N877" s="11" t="s">
        <v>1719</v>
      </c>
      <c r="O877" s="11" t="s">
        <v>45</v>
      </c>
      <c r="P877" s="11" t="s">
        <v>65</v>
      </c>
      <c r="Q877" s="11" t="s">
        <v>34</v>
      </c>
      <c r="R877" s="20">
        <f>(42361+(3*365))+112</f>
        <v>43568</v>
      </c>
      <c r="S877" s="17">
        <v>9</v>
      </c>
      <c r="T877" s="17">
        <v>3791</v>
      </c>
    </row>
    <row r="878" spans="14:20" x14ac:dyDescent="0.2">
      <c r="N878" s="11" t="s">
        <v>842</v>
      </c>
      <c r="O878" s="11" t="s">
        <v>75</v>
      </c>
      <c r="P878" s="11" t="s">
        <v>33</v>
      </c>
      <c r="Q878" s="11" t="s">
        <v>25</v>
      </c>
      <c r="R878" s="20">
        <f>(41964+(3*365))+112</f>
        <v>43171</v>
      </c>
      <c r="S878" s="17">
        <v>7</v>
      </c>
      <c r="T878" s="17">
        <v>3855</v>
      </c>
    </row>
    <row r="879" spans="14:20" x14ac:dyDescent="0.2">
      <c r="N879" s="11" t="s">
        <v>306</v>
      </c>
      <c r="O879" s="11" t="s">
        <v>114</v>
      </c>
      <c r="P879" s="11" t="s">
        <v>33</v>
      </c>
      <c r="Q879" s="11" t="s">
        <v>25</v>
      </c>
      <c r="R879" s="20">
        <f>(41745+(3*365))+112</f>
        <v>42952</v>
      </c>
      <c r="S879" s="17">
        <v>4</v>
      </c>
      <c r="T879" s="17">
        <v>1870</v>
      </c>
    </row>
    <row r="880" spans="14:20" x14ac:dyDescent="0.2">
      <c r="N880" s="11" t="s">
        <v>738</v>
      </c>
      <c r="O880" s="11" t="s">
        <v>49</v>
      </c>
      <c r="P880" s="11" t="s">
        <v>65</v>
      </c>
      <c r="Q880" s="11" t="s">
        <v>219</v>
      </c>
      <c r="R880" s="20">
        <f>(41924+(3*365))+112</f>
        <v>43131</v>
      </c>
      <c r="S880" s="17">
        <v>12</v>
      </c>
      <c r="T880" s="17">
        <v>4200</v>
      </c>
    </row>
    <row r="881" spans="14:20" x14ac:dyDescent="0.2">
      <c r="N881" s="11" t="s">
        <v>132</v>
      </c>
      <c r="O881" s="11" t="s">
        <v>78</v>
      </c>
      <c r="P881" s="11" t="s">
        <v>65</v>
      </c>
      <c r="Q881" s="11" t="s">
        <v>34</v>
      </c>
      <c r="R881" s="20">
        <f>(41676+(3*365))+112</f>
        <v>42883</v>
      </c>
      <c r="S881" s="17">
        <v>15</v>
      </c>
      <c r="T881" s="17">
        <v>8670</v>
      </c>
    </row>
    <row r="882" spans="14:20" x14ac:dyDescent="0.2">
      <c r="N882" s="11" t="s">
        <v>1479</v>
      </c>
      <c r="O882" s="11" t="s">
        <v>75</v>
      </c>
      <c r="P882" s="11" t="s">
        <v>24</v>
      </c>
      <c r="Q882" s="11" t="s">
        <v>25</v>
      </c>
      <c r="R882" s="20">
        <f>(42196+(3*365))+112</f>
        <v>43403</v>
      </c>
      <c r="S882" s="17">
        <v>4</v>
      </c>
      <c r="T882" s="17">
        <v>1305</v>
      </c>
    </row>
    <row r="883" spans="14:20" x14ac:dyDescent="0.2">
      <c r="N883" s="11" t="s">
        <v>1005</v>
      </c>
      <c r="O883" s="11" t="s">
        <v>117</v>
      </c>
      <c r="P883" s="11" t="s">
        <v>24</v>
      </c>
      <c r="Q883" s="11" t="s">
        <v>25</v>
      </c>
      <c r="R883" s="20">
        <f>(42009+(3*365))+112</f>
        <v>43216</v>
      </c>
      <c r="S883" s="17">
        <v>4</v>
      </c>
      <c r="T883" s="17">
        <v>2030</v>
      </c>
    </row>
    <row r="884" spans="14:20" x14ac:dyDescent="0.2">
      <c r="N884" s="11" t="s">
        <v>499</v>
      </c>
      <c r="O884" s="11" t="s">
        <v>54</v>
      </c>
      <c r="P884" s="11" t="s">
        <v>65</v>
      </c>
      <c r="Q884" s="11" t="s">
        <v>41</v>
      </c>
      <c r="R884" s="20">
        <f>(41826+(3*365))+112</f>
        <v>43033</v>
      </c>
      <c r="S884" s="17">
        <v>6</v>
      </c>
      <c r="T884" s="17">
        <v>3445</v>
      </c>
    </row>
    <row r="885" spans="14:20" x14ac:dyDescent="0.2">
      <c r="N885" s="11" t="s">
        <v>1071</v>
      </c>
      <c r="O885" s="11" t="s">
        <v>75</v>
      </c>
      <c r="P885" s="11" t="s">
        <v>65</v>
      </c>
      <c r="Q885" s="11" t="s">
        <v>34</v>
      </c>
      <c r="R885" s="20">
        <f>(42029+(3*365))+112</f>
        <v>43236</v>
      </c>
      <c r="S885" s="17">
        <v>15</v>
      </c>
      <c r="T885" s="17">
        <v>4635</v>
      </c>
    </row>
    <row r="886" spans="14:20" x14ac:dyDescent="0.2">
      <c r="N886" s="11" t="s">
        <v>1501</v>
      </c>
      <c r="O886" s="11" t="s">
        <v>64</v>
      </c>
      <c r="P886" s="11" t="s">
        <v>40</v>
      </c>
      <c r="Q886" s="11" t="s">
        <v>25</v>
      </c>
      <c r="R886" s="20">
        <f>(42203+(3*365))+112</f>
        <v>43410</v>
      </c>
      <c r="S886" s="17">
        <v>5</v>
      </c>
      <c r="T886" s="17">
        <v>2370</v>
      </c>
    </row>
    <row r="887" spans="14:20" x14ac:dyDescent="0.2">
      <c r="N887" s="11" t="s">
        <v>185</v>
      </c>
      <c r="O887" s="11" t="s">
        <v>54</v>
      </c>
      <c r="P887" s="11" t="s">
        <v>65</v>
      </c>
      <c r="Q887" s="11" t="s">
        <v>41</v>
      </c>
      <c r="R887" s="20">
        <f>(41689+(3*365))+112</f>
        <v>42896</v>
      </c>
      <c r="S887" s="17">
        <v>9</v>
      </c>
      <c r="T887" s="21">
        <v>3620</v>
      </c>
    </row>
    <row r="888" spans="14:20" x14ac:dyDescent="0.2">
      <c r="N888" s="11" t="s">
        <v>197</v>
      </c>
      <c r="O888" s="11" t="s">
        <v>45</v>
      </c>
      <c r="P888" s="11" t="s">
        <v>65</v>
      </c>
      <c r="Q888" s="11" t="s">
        <v>34</v>
      </c>
      <c r="R888" s="20">
        <f>(41693+(3*365))+112</f>
        <v>42900</v>
      </c>
      <c r="S888" s="17">
        <v>17</v>
      </c>
      <c r="T888" s="17">
        <v>7275</v>
      </c>
    </row>
    <row r="889" spans="14:20" x14ac:dyDescent="0.2">
      <c r="N889" s="11" t="s">
        <v>1367</v>
      </c>
      <c r="O889" s="11" t="s">
        <v>45</v>
      </c>
      <c r="P889" s="11" t="s">
        <v>65</v>
      </c>
      <c r="Q889" s="11" t="s">
        <v>120</v>
      </c>
      <c r="R889" s="20">
        <f>(42153+(3*365))+112</f>
        <v>43360</v>
      </c>
      <c r="S889" s="17">
        <v>13</v>
      </c>
      <c r="T889" s="17">
        <v>6420</v>
      </c>
    </row>
    <row r="890" spans="14:20" x14ac:dyDescent="0.2">
      <c r="N890" s="11" t="s">
        <v>951</v>
      </c>
      <c r="O890" s="11" t="s">
        <v>32</v>
      </c>
      <c r="P890" s="11" t="s">
        <v>40</v>
      </c>
      <c r="Q890" s="11" t="s">
        <v>120</v>
      </c>
      <c r="R890" s="20">
        <f>(41999+(3*365))+112</f>
        <v>43206</v>
      </c>
      <c r="S890" s="17">
        <v>1</v>
      </c>
      <c r="T890" s="17">
        <v>480</v>
      </c>
    </row>
    <row r="891" spans="14:20" x14ac:dyDescent="0.2">
      <c r="N891" s="11" t="s">
        <v>619</v>
      </c>
      <c r="O891" s="11" t="s">
        <v>45</v>
      </c>
      <c r="P891" s="11" t="s">
        <v>40</v>
      </c>
      <c r="Q891" s="11" t="s">
        <v>120</v>
      </c>
      <c r="R891" s="20">
        <f>(41878+(3*365))+112</f>
        <v>43085</v>
      </c>
      <c r="S891" s="17">
        <v>8</v>
      </c>
      <c r="T891" s="17">
        <v>3230</v>
      </c>
    </row>
    <row r="892" spans="14:20" x14ac:dyDescent="0.2">
      <c r="N892" s="11" t="s">
        <v>1703</v>
      </c>
      <c r="O892" s="11" t="s">
        <v>54</v>
      </c>
      <c r="P892" s="11" t="s">
        <v>40</v>
      </c>
      <c r="Q892" s="11" t="s">
        <v>25</v>
      </c>
      <c r="R892" s="20">
        <f>(42351+(3*365))+112</f>
        <v>43558</v>
      </c>
      <c r="S892" s="17">
        <v>14</v>
      </c>
      <c r="T892" s="17">
        <v>4410</v>
      </c>
    </row>
    <row r="893" spans="14:20" x14ac:dyDescent="0.2">
      <c r="N893" s="11" t="s">
        <v>575</v>
      </c>
      <c r="O893" s="11" t="s">
        <v>45</v>
      </c>
      <c r="P893" s="11" t="s">
        <v>33</v>
      </c>
      <c r="Q893" s="11" t="s">
        <v>34</v>
      </c>
      <c r="R893" s="20">
        <f>(41858+(3*365))+112</f>
        <v>43065</v>
      </c>
      <c r="S893" s="17">
        <v>7</v>
      </c>
      <c r="T893" s="17">
        <v>3833</v>
      </c>
    </row>
    <row r="894" spans="14:20" x14ac:dyDescent="0.2">
      <c r="N894" s="11" t="s">
        <v>1321</v>
      </c>
      <c r="O894" s="11" t="s">
        <v>23</v>
      </c>
      <c r="P894" s="11" t="s">
        <v>65</v>
      </c>
      <c r="Q894" s="11" t="s">
        <v>120</v>
      </c>
      <c r="R894" s="20">
        <f>(42137+(3*365))+112</f>
        <v>43344</v>
      </c>
      <c r="S894" s="17">
        <v>12</v>
      </c>
      <c r="T894" s="17">
        <v>5050</v>
      </c>
    </row>
    <row r="895" spans="14:20" x14ac:dyDescent="0.2">
      <c r="N895" s="11" t="s">
        <v>137</v>
      </c>
      <c r="O895" s="11" t="s">
        <v>49</v>
      </c>
      <c r="P895" s="11" t="s">
        <v>65</v>
      </c>
      <c r="Q895" s="11" t="s">
        <v>34</v>
      </c>
      <c r="R895" s="20">
        <f>(41676+(3*365))+112</f>
        <v>42883</v>
      </c>
      <c r="S895" s="17">
        <v>9</v>
      </c>
      <c r="T895" s="17">
        <v>5063</v>
      </c>
    </row>
    <row r="896" spans="14:20" x14ac:dyDescent="0.2">
      <c r="N896" s="11" t="s">
        <v>1685</v>
      </c>
      <c r="O896" s="11" t="s">
        <v>75</v>
      </c>
      <c r="P896" s="11" t="s">
        <v>24</v>
      </c>
      <c r="Q896" s="11" t="s">
        <v>120</v>
      </c>
      <c r="R896" s="20">
        <f>(42334+(3*365))+112</f>
        <v>43541</v>
      </c>
      <c r="S896" s="17">
        <v>6</v>
      </c>
      <c r="T896" s="17">
        <v>3120</v>
      </c>
    </row>
    <row r="897" spans="14:20" x14ac:dyDescent="0.2">
      <c r="N897" s="11" t="s">
        <v>1093</v>
      </c>
      <c r="O897" s="11" t="s">
        <v>64</v>
      </c>
      <c r="P897" s="11" t="s">
        <v>40</v>
      </c>
      <c r="Q897" s="11" t="s">
        <v>219</v>
      </c>
      <c r="R897" s="20">
        <f>(42036+(3*365))+112</f>
        <v>43243</v>
      </c>
      <c r="S897" s="17">
        <v>15</v>
      </c>
      <c r="T897" s="17">
        <v>7965</v>
      </c>
    </row>
    <row r="898" spans="14:20" x14ac:dyDescent="0.2">
      <c r="N898" s="11" t="s">
        <v>1714</v>
      </c>
      <c r="O898" s="11" t="s">
        <v>125</v>
      </c>
      <c r="P898" s="11" t="s">
        <v>33</v>
      </c>
      <c r="Q898" s="11" t="s">
        <v>34</v>
      </c>
      <c r="R898" s="20">
        <f>(42360+(3*365))+112</f>
        <v>43567</v>
      </c>
      <c r="S898" s="17">
        <v>12</v>
      </c>
      <c r="T898" s="17">
        <v>4406</v>
      </c>
    </row>
    <row r="899" spans="14:20" x14ac:dyDescent="0.2">
      <c r="N899" s="11" t="s">
        <v>941</v>
      </c>
      <c r="O899" s="11" t="s">
        <v>78</v>
      </c>
      <c r="P899" s="11" t="s">
        <v>24</v>
      </c>
      <c r="Q899" s="11" t="s">
        <v>34</v>
      </c>
      <c r="R899" s="20">
        <f>(41995+(3*365))+112</f>
        <v>43202</v>
      </c>
      <c r="S899" s="17">
        <v>19</v>
      </c>
      <c r="T899" s="17">
        <v>10925</v>
      </c>
    </row>
    <row r="900" spans="14:20" x14ac:dyDescent="0.2">
      <c r="N900" s="11" t="s">
        <v>458</v>
      </c>
      <c r="O900" s="11" t="s">
        <v>45</v>
      </c>
      <c r="P900" s="11" t="s">
        <v>40</v>
      </c>
      <c r="Q900" s="11" t="s">
        <v>25</v>
      </c>
      <c r="R900" s="20">
        <f>(41812+(3*365))+112</f>
        <v>43019</v>
      </c>
      <c r="S900" s="17">
        <v>11</v>
      </c>
      <c r="T900" s="17">
        <v>6070</v>
      </c>
    </row>
    <row r="901" spans="14:20" x14ac:dyDescent="0.2">
      <c r="N901" s="11" t="s">
        <v>1053</v>
      </c>
      <c r="O901" s="11" t="s">
        <v>114</v>
      </c>
      <c r="P901" s="11" t="s">
        <v>65</v>
      </c>
      <c r="Q901" s="11" t="s">
        <v>25</v>
      </c>
      <c r="R901" s="20">
        <f>(42022+(3*365))+112</f>
        <v>43229</v>
      </c>
      <c r="S901" s="17">
        <v>12</v>
      </c>
      <c r="T901" s="17">
        <v>7140</v>
      </c>
    </row>
    <row r="902" spans="14:20" x14ac:dyDescent="0.2">
      <c r="N902" s="11" t="s">
        <v>1081</v>
      </c>
      <c r="O902" s="11" t="s">
        <v>23</v>
      </c>
      <c r="P902" s="11" t="s">
        <v>24</v>
      </c>
      <c r="Q902" s="11" t="s">
        <v>41</v>
      </c>
      <c r="R902" s="20">
        <f>(42033+(3*365))+112</f>
        <v>43240</v>
      </c>
      <c r="S902" s="17">
        <v>2</v>
      </c>
      <c r="T902" s="17">
        <v>850</v>
      </c>
    </row>
    <row r="903" spans="14:20" x14ac:dyDescent="0.2">
      <c r="N903" s="11" t="s">
        <v>893</v>
      </c>
      <c r="O903" s="11" t="s">
        <v>54</v>
      </c>
      <c r="P903" s="11" t="s">
        <v>33</v>
      </c>
      <c r="Q903" s="11" t="s">
        <v>41</v>
      </c>
      <c r="R903" s="20">
        <f>(41977+(3*365))+112</f>
        <v>43184</v>
      </c>
      <c r="S903" s="17">
        <v>9</v>
      </c>
      <c r="T903" s="17">
        <v>4240</v>
      </c>
    </row>
    <row r="904" spans="14:20" x14ac:dyDescent="0.2">
      <c r="N904" s="11" t="s">
        <v>947</v>
      </c>
      <c r="O904" s="11" t="s">
        <v>89</v>
      </c>
      <c r="P904" s="11" t="s">
        <v>24</v>
      </c>
      <c r="Q904" s="11" t="s">
        <v>41</v>
      </c>
      <c r="R904" s="20">
        <f>(41998+(3*365))+112</f>
        <v>43205</v>
      </c>
      <c r="S904" s="17">
        <v>9</v>
      </c>
      <c r="T904" s="17">
        <v>3320</v>
      </c>
    </row>
    <row r="905" spans="14:20" x14ac:dyDescent="0.2">
      <c r="N905" s="11" t="s">
        <v>212</v>
      </c>
      <c r="O905" s="11" t="s">
        <v>54</v>
      </c>
      <c r="P905" s="11" t="s">
        <v>40</v>
      </c>
      <c r="Q905" s="11" t="s">
        <v>41</v>
      </c>
      <c r="R905" s="20">
        <f>(41706+(3*365))+112</f>
        <v>42913</v>
      </c>
      <c r="S905" s="17">
        <v>12</v>
      </c>
      <c r="T905" s="21">
        <v>6850</v>
      </c>
    </row>
    <row r="906" spans="14:20" x14ac:dyDescent="0.2">
      <c r="N906" s="11" t="s">
        <v>1702</v>
      </c>
      <c r="O906" s="11" t="s">
        <v>23</v>
      </c>
      <c r="P906" s="11" t="s">
        <v>24</v>
      </c>
      <c r="Q906" s="11" t="s">
        <v>41</v>
      </c>
      <c r="R906" s="20">
        <f>(42350+(3*365))+112</f>
        <v>43557</v>
      </c>
      <c r="S906" s="17">
        <v>12</v>
      </c>
      <c r="T906" s="17">
        <v>6970</v>
      </c>
    </row>
    <row r="907" spans="14:20" x14ac:dyDescent="0.2">
      <c r="N907" s="11" t="s">
        <v>485</v>
      </c>
      <c r="O907" s="11" t="s">
        <v>64</v>
      </c>
      <c r="P907" s="11" t="s">
        <v>40</v>
      </c>
      <c r="Q907" s="11" t="s">
        <v>219</v>
      </c>
      <c r="R907" s="20">
        <f>(41819+(3*365))+112</f>
        <v>43026</v>
      </c>
      <c r="S907" s="17">
        <v>15</v>
      </c>
      <c r="T907" s="17">
        <v>7245</v>
      </c>
    </row>
    <row r="908" spans="14:20" x14ac:dyDescent="0.2">
      <c r="N908" s="11" t="s">
        <v>587</v>
      </c>
      <c r="O908" s="11" t="s">
        <v>75</v>
      </c>
      <c r="P908" s="11" t="s">
        <v>24</v>
      </c>
      <c r="Q908" s="11" t="s">
        <v>219</v>
      </c>
      <c r="R908" s="20">
        <f>(41861+(3*365))+112</f>
        <v>43068</v>
      </c>
      <c r="S908" s="17">
        <v>2</v>
      </c>
      <c r="T908" s="17">
        <v>815</v>
      </c>
    </row>
    <row r="909" spans="14:20" x14ac:dyDescent="0.2">
      <c r="N909" s="11" t="s">
        <v>686</v>
      </c>
      <c r="O909" s="11" t="s">
        <v>117</v>
      </c>
      <c r="P909" s="11" t="s">
        <v>24</v>
      </c>
      <c r="Q909" s="11" t="s">
        <v>25</v>
      </c>
      <c r="R909" s="20">
        <f>(41902+(3*365))+112</f>
        <v>43109</v>
      </c>
      <c r="S909" s="17">
        <v>13</v>
      </c>
      <c r="T909" s="17">
        <v>6605</v>
      </c>
    </row>
    <row r="910" spans="14:20" x14ac:dyDescent="0.2">
      <c r="N910" s="11" t="s">
        <v>177</v>
      </c>
      <c r="O910" s="11" t="s">
        <v>54</v>
      </c>
      <c r="P910" s="11" t="s">
        <v>33</v>
      </c>
      <c r="Q910" s="11" t="s">
        <v>34</v>
      </c>
      <c r="R910" s="20">
        <f>(41689+(3*365))+112</f>
        <v>42896</v>
      </c>
      <c r="S910" s="17">
        <v>15</v>
      </c>
      <c r="T910" s="17">
        <v>4620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57094-1B86-4FE4-9A79-8FB67F2BBFA6}">
  <sheetPr>
    <tabColor rgb="FFFFFF00"/>
  </sheetPr>
  <dimension ref="A1:J917"/>
  <sheetViews>
    <sheetView zoomScale="145" zoomScaleNormal="145" workbookViewId="0"/>
  </sheetViews>
  <sheetFormatPr baseColWidth="10" defaultColWidth="18" defaultRowHeight="15" x14ac:dyDescent="0.2"/>
  <cols>
    <col min="1" max="1" width="16.6640625" style="11" customWidth="1"/>
    <col min="2" max="2" width="15.6640625" style="11" bestFit="1" customWidth="1"/>
    <col min="3" max="3" width="7.6640625" style="11" bestFit="1" customWidth="1"/>
    <col min="4" max="4" width="15.83203125" style="11" bestFit="1" customWidth="1"/>
    <col min="5" max="5" width="11.1640625" style="20" bestFit="1" customWidth="1"/>
    <col min="6" max="6" width="11.1640625" style="25" customWidth="1"/>
    <col min="7" max="7" width="7.83203125" style="17" bestFit="1" customWidth="1"/>
    <col min="8" max="8" width="10" style="17" bestFit="1" customWidth="1"/>
    <col min="9" max="9" width="10.6640625" style="11" customWidth="1"/>
    <col min="10" max="10" width="16.1640625" style="32" customWidth="1"/>
    <col min="11" max="14" width="16.1640625" style="11" customWidth="1"/>
    <col min="15" max="15" width="9.1640625" style="11" customWidth="1"/>
    <col min="16" max="16" width="11.1640625" style="11" customWidth="1"/>
    <col min="17" max="16384" width="18" style="11"/>
  </cols>
  <sheetData>
    <row r="1" spans="1:10" ht="16" thickBot="1" x14ac:dyDescent="0.25">
      <c r="A1" s="28" t="s">
        <v>12</v>
      </c>
      <c r="B1" s="28" t="s">
        <v>1728</v>
      </c>
      <c r="C1" s="28" t="s">
        <v>13</v>
      </c>
      <c r="D1" s="28" t="s">
        <v>14</v>
      </c>
      <c r="E1" s="29" t="s">
        <v>15</v>
      </c>
      <c r="F1" s="30" t="s">
        <v>1729</v>
      </c>
      <c r="G1" s="31" t="s">
        <v>16</v>
      </c>
      <c r="H1" s="31" t="s">
        <v>1730</v>
      </c>
    </row>
    <row r="2" spans="1:10" x14ac:dyDescent="0.2">
      <c r="A2" s="32"/>
      <c r="B2" s="32"/>
      <c r="C2" s="32"/>
      <c r="D2" s="32"/>
      <c r="E2" s="32"/>
      <c r="F2" s="32"/>
      <c r="G2" s="33"/>
      <c r="H2" s="33"/>
    </row>
    <row r="3" spans="1:10" x14ac:dyDescent="0.2">
      <c r="A3" s="32"/>
      <c r="B3" s="32"/>
      <c r="C3" s="32"/>
      <c r="D3" s="32"/>
      <c r="E3" s="32"/>
      <c r="F3" s="32"/>
      <c r="G3" s="33"/>
      <c r="H3" s="33"/>
    </row>
    <row r="4" spans="1:10" x14ac:dyDescent="0.2">
      <c r="A4" s="32"/>
      <c r="B4" s="32"/>
      <c r="C4" s="32"/>
      <c r="D4" s="32"/>
      <c r="E4" s="32"/>
      <c r="F4" s="32"/>
      <c r="G4" s="33"/>
      <c r="H4" s="33"/>
    </row>
    <row r="5" spans="1:10" x14ac:dyDescent="0.2">
      <c r="A5" s="32"/>
      <c r="B5" s="32"/>
      <c r="C5" s="32"/>
      <c r="D5" s="32"/>
      <c r="E5" s="32"/>
      <c r="F5" s="32"/>
      <c r="G5" s="33"/>
      <c r="H5" s="33"/>
    </row>
    <row r="6" spans="1:10" ht="16" thickBot="1" x14ac:dyDescent="0.25">
      <c r="A6" s="32"/>
      <c r="B6" s="32"/>
      <c r="C6" s="32"/>
      <c r="D6" s="32"/>
      <c r="E6" s="32"/>
      <c r="F6" s="32"/>
      <c r="G6" s="33"/>
      <c r="H6" s="33"/>
    </row>
    <row r="7" spans="1:10" s="34" customFormat="1" ht="16" thickBot="1" x14ac:dyDescent="0.25">
      <c r="A7" s="28" t="s">
        <v>12</v>
      </c>
      <c r="B7" s="28" t="s">
        <v>1728</v>
      </c>
      <c r="C7" s="28" t="s">
        <v>13</v>
      </c>
      <c r="D7" s="28" t="s">
        <v>14</v>
      </c>
      <c r="E7" s="29" t="s">
        <v>15</v>
      </c>
      <c r="F7" s="30" t="s">
        <v>1729</v>
      </c>
      <c r="G7" s="31" t="s">
        <v>16</v>
      </c>
      <c r="H7" s="31" t="s">
        <v>1730</v>
      </c>
      <c r="J7" s="32"/>
    </row>
    <row r="8" spans="1:10" x14ac:dyDescent="0.2">
      <c r="A8" s="11" t="s">
        <v>23</v>
      </c>
      <c r="B8" s="11" t="s">
        <v>1731</v>
      </c>
      <c r="C8" s="11" t="s">
        <v>24</v>
      </c>
      <c r="D8" s="11" t="s">
        <v>41</v>
      </c>
      <c r="E8" s="20">
        <v>43336</v>
      </c>
      <c r="F8" s="35">
        <v>0.69444444444444442</v>
      </c>
      <c r="G8" s="17">
        <v>7</v>
      </c>
      <c r="H8" s="17">
        <v>2457</v>
      </c>
    </row>
    <row r="9" spans="1:10" x14ac:dyDescent="0.2">
      <c r="A9" s="11" t="s">
        <v>32</v>
      </c>
      <c r="B9" s="11" t="s">
        <v>1732</v>
      </c>
      <c r="C9" s="11" t="s">
        <v>33</v>
      </c>
      <c r="D9" s="11" t="s">
        <v>25</v>
      </c>
      <c r="E9" s="20">
        <v>42859</v>
      </c>
      <c r="F9" s="35">
        <v>0.58680555555555547</v>
      </c>
      <c r="G9" s="17">
        <v>4</v>
      </c>
      <c r="H9" s="21">
        <v>1816</v>
      </c>
    </row>
    <row r="10" spans="1:10" x14ac:dyDescent="0.2">
      <c r="A10" s="11" t="s">
        <v>32</v>
      </c>
      <c r="B10" s="11" t="s">
        <v>1733</v>
      </c>
      <c r="C10" s="11" t="s">
        <v>65</v>
      </c>
      <c r="D10" s="11" t="s">
        <v>34</v>
      </c>
      <c r="E10" s="20">
        <v>43486</v>
      </c>
      <c r="F10" s="35">
        <v>0.46180555555555552</v>
      </c>
      <c r="G10" s="17">
        <v>19</v>
      </c>
      <c r="H10" s="17">
        <v>28234</v>
      </c>
    </row>
    <row r="11" spans="1:10" x14ac:dyDescent="0.2">
      <c r="A11" s="11" t="s">
        <v>45</v>
      </c>
      <c r="B11" s="11" t="s">
        <v>1734</v>
      </c>
      <c r="C11" s="11" t="s">
        <v>65</v>
      </c>
      <c r="D11" s="11" t="s">
        <v>41</v>
      </c>
      <c r="E11" s="20">
        <v>43486</v>
      </c>
      <c r="F11" s="35">
        <v>0.65625</v>
      </c>
      <c r="G11" s="17">
        <v>9</v>
      </c>
      <c r="H11" s="17">
        <v>7920</v>
      </c>
    </row>
    <row r="12" spans="1:10" x14ac:dyDescent="0.2">
      <c r="A12" s="11" t="s">
        <v>49</v>
      </c>
      <c r="B12" s="11" t="s">
        <v>1734</v>
      </c>
      <c r="C12" s="11" t="s">
        <v>24</v>
      </c>
      <c r="D12" s="11" t="s">
        <v>34</v>
      </c>
      <c r="E12" s="20">
        <v>43330</v>
      </c>
      <c r="F12" s="35">
        <v>0.73958333333333326</v>
      </c>
      <c r="G12" s="17">
        <v>11</v>
      </c>
      <c r="H12" s="17">
        <v>4807</v>
      </c>
    </row>
    <row r="13" spans="1:10" x14ac:dyDescent="0.2">
      <c r="A13" s="11" t="s">
        <v>54</v>
      </c>
      <c r="B13" s="11" t="s">
        <v>1732</v>
      </c>
      <c r="C13" s="11" t="s">
        <v>40</v>
      </c>
      <c r="D13" s="11" t="s">
        <v>120</v>
      </c>
      <c r="E13" s="20">
        <v>42965</v>
      </c>
      <c r="F13" s="35">
        <v>0.42013888888888884</v>
      </c>
      <c r="G13" s="17">
        <v>11</v>
      </c>
      <c r="H13" s="17">
        <v>17237</v>
      </c>
    </row>
    <row r="14" spans="1:10" x14ac:dyDescent="0.2">
      <c r="A14" s="11" t="s">
        <v>49</v>
      </c>
      <c r="B14" s="11" t="s">
        <v>1735</v>
      </c>
      <c r="C14" s="11" t="s">
        <v>65</v>
      </c>
      <c r="D14" s="11" t="s">
        <v>219</v>
      </c>
      <c r="E14" s="20">
        <v>42979</v>
      </c>
      <c r="F14" s="35">
        <v>0.60416666666666663</v>
      </c>
      <c r="G14" s="17">
        <v>11</v>
      </c>
      <c r="H14" s="17">
        <v>8833</v>
      </c>
    </row>
    <row r="15" spans="1:10" x14ac:dyDescent="0.2">
      <c r="A15" s="11" t="s">
        <v>54</v>
      </c>
      <c r="B15" s="11" t="s">
        <v>1732</v>
      </c>
      <c r="C15" s="11" t="s">
        <v>33</v>
      </c>
      <c r="D15" s="11" t="s">
        <v>25</v>
      </c>
      <c r="E15" s="20">
        <v>43485</v>
      </c>
      <c r="F15" s="35">
        <v>0.4548611111111111</v>
      </c>
      <c r="G15" s="17">
        <v>9</v>
      </c>
      <c r="H15" s="17">
        <v>12690</v>
      </c>
    </row>
    <row r="16" spans="1:10" x14ac:dyDescent="0.2">
      <c r="A16" s="11" t="s">
        <v>64</v>
      </c>
      <c r="B16" s="11" t="s">
        <v>1734</v>
      </c>
      <c r="C16" s="11" t="s">
        <v>40</v>
      </c>
      <c r="D16" s="11" t="s">
        <v>120</v>
      </c>
      <c r="E16" s="20">
        <v>43484</v>
      </c>
      <c r="F16" s="35">
        <v>0.3923611111111111</v>
      </c>
      <c r="G16" s="17">
        <v>11</v>
      </c>
      <c r="H16" s="17">
        <v>5082</v>
      </c>
    </row>
    <row r="17" spans="1:8" x14ac:dyDescent="0.2">
      <c r="A17" s="11" t="s">
        <v>45</v>
      </c>
      <c r="B17" s="11" t="s">
        <v>1733</v>
      </c>
      <c r="C17" s="11" t="s">
        <v>33</v>
      </c>
      <c r="D17" s="11" t="s">
        <v>219</v>
      </c>
      <c r="E17" s="20">
        <v>43189</v>
      </c>
      <c r="F17" s="35">
        <v>0.375</v>
      </c>
      <c r="G17" s="17">
        <v>10</v>
      </c>
      <c r="H17" s="17">
        <v>8120</v>
      </c>
    </row>
    <row r="18" spans="1:8" x14ac:dyDescent="0.2">
      <c r="A18" s="11" t="s">
        <v>32</v>
      </c>
      <c r="B18" s="11" t="s">
        <v>1731</v>
      </c>
      <c r="C18" s="11" t="s">
        <v>33</v>
      </c>
      <c r="D18" s="11" t="s">
        <v>25</v>
      </c>
      <c r="E18" s="20">
        <v>43304</v>
      </c>
      <c r="F18" s="35">
        <v>0.43055555555555552</v>
      </c>
      <c r="G18" s="17">
        <v>15</v>
      </c>
      <c r="H18" s="17">
        <v>6570</v>
      </c>
    </row>
    <row r="19" spans="1:8" x14ac:dyDescent="0.2">
      <c r="A19" s="11" t="s">
        <v>23</v>
      </c>
      <c r="B19" s="11" t="s">
        <v>1735</v>
      </c>
      <c r="C19" s="11" t="s">
        <v>24</v>
      </c>
      <c r="D19" s="11" t="s">
        <v>219</v>
      </c>
      <c r="E19" s="20">
        <v>42916</v>
      </c>
      <c r="F19" s="35">
        <v>0.62847222222222221</v>
      </c>
      <c r="G19" s="17">
        <v>6</v>
      </c>
      <c r="H19" s="21">
        <v>3174</v>
      </c>
    </row>
    <row r="20" spans="1:8" x14ac:dyDescent="0.2">
      <c r="A20" s="11" t="s">
        <v>75</v>
      </c>
      <c r="B20" s="11" t="s">
        <v>1733</v>
      </c>
      <c r="C20" s="11" t="s">
        <v>33</v>
      </c>
      <c r="D20" s="11" t="s">
        <v>219</v>
      </c>
      <c r="E20" s="20">
        <v>43484</v>
      </c>
      <c r="F20" s="35">
        <v>0.4236111111111111</v>
      </c>
      <c r="G20" s="17">
        <v>11</v>
      </c>
      <c r="H20" s="17">
        <v>11253</v>
      </c>
    </row>
    <row r="21" spans="1:8" x14ac:dyDescent="0.2">
      <c r="A21" s="11" t="s">
        <v>78</v>
      </c>
      <c r="B21" s="11" t="s">
        <v>1734</v>
      </c>
      <c r="C21" s="11" t="s">
        <v>40</v>
      </c>
      <c r="D21" s="11" t="s">
        <v>25</v>
      </c>
      <c r="E21" s="20">
        <v>43484</v>
      </c>
      <c r="F21" s="35">
        <v>0.34375</v>
      </c>
      <c r="G21" s="17">
        <v>4</v>
      </c>
      <c r="H21" s="17">
        <v>2720</v>
      </c>
    </row>
    <row r="22" spans="1:8" x14ac:dyDescent="0.2">
      <c r="A22" s="11" t="s">
        <v>32</v>
      </c>
      <c r="B22" s="11" t="s">
        <v>1733</v>
      </c>
      <c r="C22" s="11" t="s">
        <v>33</v>
      </c>
      <c r="D22" s="11" t="s">
        <v>34</v>
      </c>
      <c r="E22" s="20">
        <v>43024</v>
      </c>
      <c r="F22" s="35">
        <v>0.3923611111111111</v>
      </c>
      <c r="G22" s="17">
        <v>12</v>
      </c>
      <c r="H22" s="17">
        <v>8568</v>
      </c>
    </row>
    <row r="23" spans="1:8" x14ac:dyDescent="0.2">
      <c r="A23" s="11" t="s">
        <v>64</v>
      </c>
      <c r="B23" s="11" t="s">
        <v>1731</v>
      </c>
      <c r="C23" s="11" t="s">
        <v>40</v>
      </c>
      <c r="D23" s="11" t="s">
        <v>25</v>
      </c>
      <c r="E23" s="20">
        <v>42862</v>
      </c>
      <c r="F23" s="35">
        <v>0.64236111111111105</v>
      </c>
      <c r="G23" s="17">
        <v>10</v>
      </c>
      <c r="H23" s="21">
        <v>4900</v>
      </c>
    </row>
    <row r="24" spans="1:8" x14ac:dyDescent="0.2">
      <c r="A24" s="11" t="s">
        <v>89</v>
      </c>
      <c r="B24" s="11" t="s">
        <v>1735</v>
      </c>
      <c r="C24" s="11" t="s">
        <v>65</v>
      </c>
      <c r="D24" s="11" t="s">
        <v>25</v>
      </c>
      <c r="E24" s="20">
        <v>43483</v>
      </c>
      <c r="F24" s="35">
        <v>0.73263888888888884</v>
      </c>
      <c r="G24" s="17">
        <v>3</v>
      </c>
      <c r="H24" s="17">
        <v>1995</v>
      </c>
    </row>
    <row r="25" spans="1:8" x14ac:dyDescent="0.2">
      <c r="A25" s="11" t="s">
        <v>32</v>
      </c>
      <c r="B25" s="11" t="s">
        <v>1734</v>
      </c>
      <c r="C25" s="11" t="s">
        <v>65</v>
      </c>
      <c r="D25" s="11" t="s">
        <v>41</v>
      </c>
      <c r="E25" s="20">
        <v>43527</v>
      </c>
      <c r="F25" s="35">
        <v>0.70138888888888884</v>
      </c>
      <c r="G25" s="17">
        <v>7</v>
      </c>
      <c r="H25" s="17">
        <v>5635</v>
      </c>
    </row>
    <row r="26" spans="1:8" x14ac:dyDescent="0.2">
      <c r="A26" s="11" t="s">
        <v>89</v>
      </c>
      <c r="B26" s="11" t="s">
        <v>1734</v>
      </c>
      <c r="C26" s="11" t="s">
        <v>65</v>
      </c>
      <c r="D26" s="11" t="s">
        <v>25</v>
      </c>
      <c r="E26" s="20">
        <v>42875</v>
      </c>
      <c r="F26" s="35">
        <v>0.38194444444444442</v>
      </c>
      <c r="G26" s="17">
        <v>7</v>
      </c>
      <c r="H26" s="21">
        <v>6083</v>
      </c>
    </row>
    <row r="27" spans="1:8" x14ac:dyDescent="0.2">
      <c r="A27" s="11" t="s">
        <v>64</v>
      </c>
      <c r="B27" s="11" t="s">
        <v>1731</v>
      </c>
      <c r="C27" s="11" t="s">
        <v>24</v>
      </c>
      <c r="D27" s="11" t="s">
        <v>219</v>
      </c>
      <c r="E27" s="20">
        <v>43483</v>
      </c>
      <c r="F27" s="35">
        <v>0.55555555555555558</v>
      </c>
      <c r="G27" s="17">
        <v>10</v>
      </c>
      <c r="H27" s="17">
        <v>5870</v>
      </c>
    </row>
    <row r="28" spans="1:8" x14ac:dyDescent="0.2">
      <c r="A28" s="11" t="s">
        <v>54</v>
      </c>
      <c r="B28" s="11" t="s">
        <v>1735</v>
      </c>
      <c r="C28" s="11" t="s">
        <v>33</v>
      </c>
      <c r="D28" s="11" t="s">
        <v>41</v>
      </c>
      <c r="E28" s="20">
        <v>43381</v>
      </c>
      <c r="F28" s="35">
        <v>0.37152777777777773</v>
      </c>
      <c r="G28" s="17">
        <v>7</v>
      </c>
      <c r="H28" s="17">
        <v>3395</v>
      </c>
    </row>
    <row r="29" spans="1:8" x14ac:dyDescent="0.2">
      <c r="A29" s="11" t="s">
        <v>49</v>
      </c>
      <c r="B29" s="11" t="s">
        <v>1733</v>
      </c>
      <c r="C29" s="11" t="s">
        <v>40</v>
      </c>
      <c r="D29" s="11" t="s">
        <v>41</v>
      </c>
      <c r="E29" s="20">
        <v>42911</v>
      </c>
      <c r="F29" s="35">
        <v>0.73958333333333326</v>
      </c>
      <c r="G29" s="17">
        <v>12</v>
      </c>
      <c r="H29" s="21">
        <v>7824</v>
      </c>
    </row>
    <row r="30" spans="1:8" x14ac:dyDescent="0.2">
      <c r="A30" s="11" t="s">
        <v>45</v>
      </c>
      <c r="B30" s="11" t="s">
        <v>1734</v>
      </c>
      <c r="C30" s="11" t="s">
        <v>40</v>
      </c>
      <c r="D30" s="11" t="s">
        <v>25</v>
      </c>
      <c r="E30" s="20">
        <v>43483</v>
      </c>
      <c r="F30" s="35">
        <v>0.47222222222222221</v>
      </c>
      <c r="G30" s="17">
        <v>15</v>
      </c>
      <c r="H30" s="17">
        <v>8280</v>
      </c>
    </row>
    <row r="31" spans="1:8" x14ac:dyDescent="0.2">
      <c r="A31" s="11" t="s">
        <v>45</v>
      </c>
      <c r="B31" s="11" t="s">
        <v>1735</v>
      </c>
      <c r="C31" s="11" t="s">
        <v>24</v>
      </c>
      <c r="D31" s="11" t="s">
        <v>120</v>
      </c>
      <c r="E31" s="20">
        <v>42898</v>
      </c>
      <c r="F31" s="35">
        <v>0.34375</v>
      </c>
      <c r="G31" s="17">
        <v>12</v>
      </c>
      <c r="H31" s="21">
        <v>10224</v>
      </c>
    </row>
    <row r="32" spans="1:8" x14ac:dyDescent="0.2">
      <c r="A32" s="11" t="s">
        <v>75</v>
      </c>
      <c r="B32" s="11" t="s">
        <v>1733</v>
      </c>
      <c r="C32" s="11" t="s">
        <v>65</v>
      </c>
      <c r="D32" s="11" t="s">
        <v>34</v>
      </c>
      <c r="E32" s="20">
        <v>43209</v>
      </c>
      <c r="F32" s="35">
        <v>0.41666666666666663</v>
      </c>
      <c r="G32" s="17">
        <v>20</v>
      </c>
      <c r="H32" s="17">
        <v>27120</v>
      </c>
    </row>
    <row r="33" spans="1:8" x14ac:dyDescent="0.2">
      <c r="A33" s="11" t="s">
        <v>23</v>
      </c>
      <c r="B33" s="11" t="s">
        <v>1735</v>
      </c>
      <c r="C33" s="11" t="s">
        <v>40</v>
      </c>
      <c r="D33" s="11" t="s">
        <v>25</v>
      </c>
      <c r="E33" s="20">
        <v>43168</v>
      </c>
      <c r="F33" s="35">
        <v>0.70138888888888884</v>
      </c>
      <c r="G33" s="17">
        <v>9</v>
      </c>
      <c r="H33" s="17">
        <v>7002</v>
      </c>
    </row>
    <row r="34" spans="1:8" x14ac:dyDescent="0.2">
      <c r="A34" s="11" t="s">
        <v>89</v>
      </c>
      <c r="B34" s="11" t="s">
        <v>1732</v>
      </c>
      <c r="C34" s="11" t="s">
        <v>24</v>
      </c>
      <c r="D34" s="11" t="s">
        <v>120</v>
      </c>
      <c r="E34" s="20">
        <v>42960</v>
      </c>
      <c r="F34" s="35">
        <v>0.52777777777777779</v>
      </c>
      <c r="G34" s="17">
        <v>4</v>
      </c>
      <c r="H34" s="17">
        <v>6340</v>
      </c>
    </row>
    <row r="35" spans="1:8" x14ac:dyDescent="0.2">
      <c r="A35" s="11" t="s">
        <v>114</v>
      </c>
      <c r="B35" s="11" t="s">
        <v>1733</v>
      </c>
      <c r="C35" s="11" t="s">
        <v>65</v>
      </c>
      <c r="D35" s="11" t="s">
        <v>25</v>
      </c>
      <c r="E35" s="20">
        <v>42960</v>
      </c>
      <c r="F35" s="35">
        <v>0.48958333333333331</v>
      </c>
      <c r="G35" s="17">
        <v>7</v>
      </c>
      <c r="H35" s="17">
        <v>7007</v>
      </c>
    </row>
    <row r="36" spans="1:8" x14ac:dyDescent="0.2">
      <c r="A36" s="11" t="s">
        <v>117</v>
      </c>
      <c r="B36" s="11" t="s">
        <v>1731</v>
      </c>
      <c r="C36" s="11" t="s">
        <v>65</v>
      </c>
      <c r="D36" s="11" t="s">
        <v>120</v>
      </c>
      <c r="E36" s="20">
        <v>43482</v>
      </c>
      <c r="F36" s="35">
        <v>0.74305555555555547</v>
      </c>
      <c r="G36" s="17">
        <v>10</v>
      </c>
      <c r="H36" s="17">
        <v>6270</v>
      </c>
    </row>
    <row r="37" spans="1:8" x14ac:dyDescent="0.2">
      <c r="A37" s="11" t="s">
        <v>64</v>
      </c>
      <c r="B37" s="11" t="s">
        <v>1731</v>
      </c>
      <c r="C37" s="11" t="s">
        <v>40</v>
      </c>
      <c r="D37" s="11" t="s">
        <v>25</v>
      </c>
      <c r="E37" s="20">
        <v>43525</v>
      </c>
      <c r="F37" s="35">
        <v>0.55208333333333326</v>
      </c>
      <c r="G37" s="17">
        <v>13</v>
      </c>
      <c r="H37" s="17">
        <v>4095</v>
      </c>
    </row>
    <row r="38" spans="1:8" x14ac:dyDescent="0.2">
      <c r="A38" s="11" t="s">
        <v>89</v>
      </c>
      <c r="B38" s="11" t="s">
        <v>1733</v>
      </c>
      <c r="C38" s="11" t="s">
        <v>40</v>
      </c>
      <c r="D38" s="11" t="s">
        <v>34</v>
      </c>
      <c r="E38" s="20">
        <v>43301</v>
      </c>
      <c r="F38" s="35">
        <v>0.4548611111111111</v>
      </c>
      <c r="G38" s="17">
        <v>9</v>
      </c>
      <c r="H38" s="17">
        <v>9171</v>
      </c>
    </row>
    <row r="39" spans="1:8" x14ac:dyDescent="0.2">
      <c r="A39" s="11" t="s">
        <v>125</v>
      </c>
      <c r="B39" s="11" t="s">
        <v>1731</v>
      </c>
      <c r="C39" s="11" t="s">
        <v>40</v>
      </c>
      <c r="D39" s="11" t="s">
        <v>25</v>
      </c>
      <c r="E39" s="20">
        <v>43122</v>
      </c>
      <c r="F39" s="35">
        <v>0.69097222222222221</v>
      </c>
      <c r="G39" s="17">
        <v>6</v>
      </c>
      <c r="H39" s="17">
        <v>1890</v>
      </c>
    </row>
    <row r="40" spans="1:8" x14ac:dyDescent="0.2">
      <c r="A40" s="11" t="s">
        <v>114</v>
      </c>
      <c r="B40" s="11" t="s">
        <v>1732</v>
      </c>
      <c r="C40" s="11" t="s">
        <v>24</v>
      </c>
      <c r="D40" s="11" t="s">
        <v>41</v>
      </c>
      <c r="E40" s="20">
        <v>43482</v>
      </c>
      <c r="F40" s="35">
        <v>0.33333333333333331</v>
      </c>
      <c r="G40" s="17">
        <v>13</v>
      </c>
      <c r="H40" s="17">
        <v>10192</v>
      </c>
    </row>
    <row r="41" spans="1:8" x14ac:dyDescent="0.2">
      <c r="A41" s="11" t="s">
        <v>45</v>
      </c>
      <c r="B41" s="11" t="s">
        <v>1733</v>
      </c>
      <c r="C41" s="11" t="s">
        <v>24</v>
      </c>
      <c r="D41" s="11" t="s">
        <v>219</v>
      </c>
      <c r="E41" s="20">
        <v>43479</v>
      </c>
      <c r="F41" s="35">
        <v>0.5625</v>
      </c>
      <c r="G41" s="17">
        <v>7</v>
      </c>
      <c r="H41" s="17">
        <v>8547</v>
      </c>
    </row>
    <row r="42" spans="1:8" x14ac:dyDescent="0.2">
      <c r="A42" s="11" t="s">
        <v>78</v>
      </c>
      <c r="B42" s="11" t="s">
        <v>1734</v>
      </c>
      <c r="C42" s="11" t="s">
        <v>40</v>
      </c>
      <c r="D42" s="11" t="s">
        <v>120</v>
      </c>
      <c r="E42" s="20">
        <v>42887</v>
      </c>
      <c r="F42" s="35">
        <v>0.65625</v>
      </c>
      <c r="G42" s="17">
        <v>11</v>
      </c>
      <c r="H42" s="21">
        <v>6875</v>
      </c>
    </row>
    <row r="43" spans="1:8" x14ac:dyDescent="0.2">
      <c r="A43" s="11" t="s">
        <v>54</v>
      </c>
      <c r="B43" s="11" t="s">
        <v>1731</v>
      </c>
      <c r="C43" s="11" t="s">
        <v>24</v>
      </c>
      <c r="D43" s="11" t="s">
        <v>41</v>
      </c>
      <c r="E43" s="20">
        <v>43478</v>
      </c>
      <c r="F43" s="35">
        <v>0.66666666666666663</v>
      </c>
      <c r="G43" s="17">
        <v>6</v>
      </c>
      <c r="H43" s="17">
        <v>3180</v>
      </c>
    </row>
    <row r="44" spans="1:8" x14ac:dyDescent="0.2">
      <c r="A44" s="11" t="s">
        <v>49</v>
      </c>
      <c r="B44" s="11" t="s">
        <v>1732</v>
      </c>
      <c r="C44" s="11" t="s">
        <v>40</v>
      </c>
      <c r="D44" s="11" t="s">
        <v>219</v>
      </c>
      <c r="E44" s="20">
        <v>43477</v>
      </c>
      <c r="F44" s="35">
        <v>0.69097222222222221</v>
      </c>
      <c r="G44" s="17">
        <v>10</v>
      </c>
      <c r="H44" s="17">
        <v>6410</v>
      </c>
    </row>
    <row r="45" spans="1:8" x14ac:dyDescent="0.2">
      <c r="A45" s="11" t="s">
        <v>45</v>
      </c>
      <c r="B45" s="11" t="s">
        <v>1731</v>
      </c>
      <c r="C45" s="11" t="s">
        <v>24</v>
      </c>
      <c r="D45" s="11" t="s">
        <v>34</v>
      </c>
      <c r="E45" s="20">
        <v>42989</v>
      </c>
      <c r="F45" s="35">
        <v>0.3611111111111111</v>
      </c>
      <c r="G45" s="17">
        <v>9</v>
      </c>
      <c r="H45" s="17">
        <v>3969</v>
      </c>
    </row>
    <row r="46" spans="1:8" x14ac:dyDescent="0.2">
      <c r="A46" s="11" t="s">
        <v>45</v>
      </c>
      <c r="B46" s="11" t="s">
        <v>1734</v>
      </c>
      <c r="C46" s="11" t="s">
        <v>40</v>
      </c>
      <c r="D46" s="11" t="s">
        <v>34</v>
      </c>
      <c r="E46" s="20">
        <v>43477</v>
      </c>
      <c r="F46" s="35">
        <v>0.61111111111111105</v>
      </c>
      <c r="G46" s="17">
        <v>19</v>
      </c>
      <c r="H46" s="17">
        <v>14820</v>
      </c>
    </row>
    <row r="47" spans="1:8" x14ac:dyDescent="0.2">
      <c r="A47" s="11" t="s">
        <v>32</v>
      </c>
      <c r="B47" s="11" t="s">
        <v>1731</v>
      </c>
      <c r="C47" s="11" t="s">
        <v>40</v>
      </c>
      <c r="D47" s="11" t="s">
        <v>34</v>
      </c>
      <c r="E47" s="20">
        <v>43476</v>
      </c>
      <c r="F47" s="35">
        <v>0.67013888888888884</v>
      </c>
      <c r="G47" s="17">
        <v>20</v>
      </c>
      <c r="H47" s="17">
        <v>11260</v>
      </c>
    </row>
    <row r="48" spans="1:8" x14ac:dyDescent="0.2">
      <c r="A48" s="11" t="s">
        <v>64</v>
      </c>
      <c r="B48" s="11" t="s">
        <v>1734</v>
      </c>
      <c r="C48" s="11" t="s">
        <v>40</v>
      </c>
      <c r="D48" s="11" t="s">
        <v>34</v>
      </c>
      <c r="E48" s="20">
        <v>42951</v>
      </c>
      <c r="F48" s="35">
        <v>0.56944444444444442</v>
      </c>
      <c r="G48" s="17">
        <v>7</v>
      </c>
      <c r="H48" s="17">
        <v>5922</v>
      </c>
    </row>
    <row r="49" spans="1:8" x14ac:dyDescent="0.2">
      <c r="A49" s="11" t="s">
        <v>64</v>
      </c>
      <c r="B49" s="11" t="s">
        <v>1732</v>
      </c>
      <c r="C49" s="11" t="s">
        <v>24</v>
      </c>
      <c r="D49" s="11" t="s">
        <v>25</v>
      </c>
      <c r="E49" s="20">
        <v>43310</v>
      </c>
      <c r="F49" s="35">
        <v>0.60069444444444442</v>
      </c>
      <c r="G49" s="17">
        <v>6</v>
      </c>
      <c r="H49" s="17">
        <v>4044</v>
      </c>
    </row>
    <row r="50" spans="1:8" x14ac:dyDescent="0.2">
      <c r="A50" s="11" t="s">
        <v>54</v>
      </c>
      <c r="B50" s="11" t="s">
        <v>1734</v>
      </c>
      <c r="C50" s="11" t="s">
        <v>65</v>
      </c>
      <c r="D50" s="11" t="s">
        <v>25</v>
      </c>
      <c r="E50" s="20">
        <v>43357</v>
      </c>
      <c r="F50" s="35">
        <v>0.45138888888888884</v>
      </c>
      <c r="G50" s="17">
        <v>4</v>
      </c>
      <c r="H50" s="17">
        <v>2580</v>
      </c>
    </row>
    <row r="51" spans="1:8" x14ac:dyDescent="0.2">
      <c r="A51" s="11" t="s">
        <v>64</v>
      </c>
      <c r="B51" s="11" t="s">
        <v>1731</v>
      </c>
      <c r="C51" s="11" t="s">
        <v>24</v>
      </c>
      <c r="D51" s="11" t="s">
        <v>41</v>
      </c>
      <c r="E51" s="20">
        <v>43490</v>
      </c>
      <c r="F51" s="35">
        <v>0.65972222222222221</v>
      </c>
      <c r="G51" s="17">
        <v>1</v>
      </c>
      <c r="H51" s="17">
        <v>312</v>
      </c>
    </row>
    <row r="52" spans="1:8" x14ac:dyDescent="0.2">
      <c r="A52" s="11" t="s">
        <v>117</v>
      </c>
      <c r="B52" s="11" t="s">
        <v>1732</v>
      </c>
      <c r="C52" s="11" t="s">
        <v>40</v>
      </c>
      <c r="D52" s="11" t="s">
        <v>120</v>
      </c>
      <c r="E52" s="20">
        <v>43308</v>
      </c>
      <c r="F52" s="35">
        <v>0.64583333333333326</v>
      </c>
      <c r="G52" s="17">
        <v>10</v>
      </c>
      <c r="H52" s="17">
        <v>13730</v>
      </c>
    </row>
    <row r="53" spans="1:8" x14ac:dyDescent="0.2">
      <c r="A53" s="11" t="s">
        <v>23</v>
      </c>
      <c r="B53" s="11" t="s">
        <v>1732</v>
      </c>
      <c r="C53" s="11" t="s">
        <v>40</v>
      </c>
      <c r="D53" s="11" t="s">
        <v>219</v>
      </c>
      <c r="E53" s="20">
        <v>43476</v>
      </c>
      <c r="F53" s="35">
        <v>0.61805555555555547</v>
      </c>
      <c r="G53" s="17">
        <v>6</v>
      </c>
      <c r="H53" s="17">
        <v>10428</v>
      </c>
    </row>
    <row r="54" spans="1:8" x14ac:dyDescent="0.2">
      <c r="A54" s="11" t="s">
        <v>117</v>
      </c>
      <c r="B54" s="11" t="s">
        <v>1732</v>
      </c>
      <c r="C54" s="11" t="s">
        <v>65</v>
      </c>
      <c r="D54" s="11" t="s">
        <v>120</v>
      </c>
      <c r="E54" s="20">
        <v>43476</v>
      </c>
      <c r="F54" s="35">
        <v>0.41666666666666663</v>
      </c>
      <c r="G54" s="17">
        <v>6</v>
      </c>
      <c r="H54" s="17">
        <v>5322</v>
      </c>
    </row>
    <row r="55" spans="1:8" x14ac:dyDescent="0.2">
      <c r="A55" s="11" t="s">
        <v>117</v>
      </c>
      <c r="B55" s="11" t="s">
        <v>1732</v>
      </c>
      <c r="C55" s="11" t="s">
        <v>40</v>
      </c>
      <c r="D55" s="11" t="s">
        <v>41</v>
      </c>
      <c r="E55" s="20">
        <v>43476</v>
      </c>
      <c r="F55" s="35">
        <v>0.64236111111111105</v>
      </c>
      <c r="G55" s="17">
        <v>8</v>
      </c>
      <c r="H55" s="17">
        <v>3800</v>
      </c>
    </row>
    <row r="56" spans="1:8" x14ac:dyDescent="0.2">
      <c r="A56" s="11" t="s">
        <v>49</v>
      </c>
      <c r="B56" s="11" t="s">
        <v>1734</v>
      </c>
      <c r="C56" s="11" t="s">
        <v>24</v>
      </c>
      <c r="D56" s="11" t="s">
        <v>34</v>
      </c>
      <c r="E56" s="20">
        <v>43218</v>
      </c>
      <c r="F56" s="35">
        <v>0.73611111111111105</v>
      </c>
      <c r="G56" s="17">
        <v>18</v>
      </c>
      <c r="H56" s="17">
        <v>7380</v>
      </c>
    </row>
    <row r="57" spans="1:8" x14ac:dyDescent="0.2">
      <c r="A57" s="11" t="s">
        <v>75</v>
      </c>
      <c r="B57" s="11" t="s">
        <v>1735</v>
      </c>
      <c r="C57" s="11" t="s">
        <v>24</v>
      </c>
      <c r="D57" s="11" t="s">
        <v>41</v>
      </c>
      <c r="E57" s="20">
        <v>42960</v>
      </c>
      <c r="F57" s="35">
        <v>0.64930555555555547</v>
      </c>
      <c r="G57" s="17">
        <v>8</v>
      </c>
      <c r="H57" s="17">
        <v>5088</v>
      </c>
    </row>
    <row r="58" spans="1:8" x14ac:dyDescent="0.2">
      <c r="A58" s="11" t="s">
        <v>45</v>
      </c>
      <c r="B58" s="11" t="s">
        <v>1733</v>
      </c>
      <c r="C58" s="11" t="s">
        <v>33</v>
      </c>
      <c r="D58" s="11" t="s">
        <v>34</v>
      </c>
      <c r="E58" s="20">
        <v>42953</v>
      </c>
      <c r="F58" s="35">
        <v>0.34375</v>
      </c>
      <c r="G58" s="17">
        <v>12</v>
      </c>
      <c r="H58" s="17">
        <v>12672</v>
      </c>
    </row>
    <row r="59" spans="1:8" x14ac:dyDescent="0.2">
      <c r="A59" s="11" t="s">
        <v>117</v>
      </c>
      <c r="B59" s="11" t="s">
        <v>1734</v>
      </c>
      <c r="C59" s="11" t="s">
        <v>33</v>
      </c>
      <c r="D59" s="11" t="s">
        <v>120</v>
      </c>
      <c r="E59" s="20">
        <v>43546</v>
      </c>
      <c r="F59" s="35">
        <v>0.48263888888888884</v>
      </c>
      <c r="G59" s="17">
        <v>15</v>
      </c>
      <c r="H59" s="17">
        <v>6855</v>
      </c>
    </row>
    <row r="60" spans="1:8" x14ac:dyDescent="0.2">
      <c r="A60" s="11" t="s">
        <v>117</v>
      </c>
      <c r="B60" s="11" t="s">
        <v>1735</v>
      </c>
      <c r="C60" s="11" t="s">
        <v>33</v>
      </c>
      <c r="D60" s="11" t="s">
        <v>41</v>
      </c>
      <c r="E60" s="20">
        <v>42873</v>
      </c>
      <c r="F60" s="35">
        <v>0.5625</v>
      </c>
      <c r="G60" s="17">
        <v>13</v>
      </c>
      <c r="H60" s="21">
        <v>5083</v>
      </c>
    </row>
    <row r="61" spans="1:8" x14ac:dyDescent="0.2">
      <c r="A61" s="11" t="s">
        <v>23</v>
      </c>
      <c r="B61" s="11" t="s">
        <v>1731</v>
      </c>
      <c r="C61" s="11" t="s">
        <v>33</v>
      </c>
      <c r="D61" s="11" t="s">
        <v>120</v>
      </c>
      <c r="E61" s="20">
        <v>42947</v>
      </c>
      <c r="F61" s="35">
        <v>0.70486111111111105</v>
      </c>
      <c r="G61" s="17">
        <v>10</v>
      </c>
      <c r="H61" s="17">
        <v>3130</v>
      </c>
    </row>
    <row r="62" spans="1:8" x14ac:dyDescent="0.2">
      <c r="A62" s="11" t="s">
        <v>32</v>
      </c>
      <c r="B62" s="11" t="s">
        <v>1731</v>
      </c>
      <c r="C62" s="11" t="s">
        <v>24</v>
      </c>
      <c r="D62" s="11" t="s">
        <v>219</v>
      </c>
      <c r="E62" s="20">
        <v>43476</v>
      </c>
      <c r="F62" s="35">
        <v>0.62847222222222221</v>
      </c>
      <c r="G62" s="17">
        <v>6</v>
      </c>
      <c r="H62" s="17">
        <v>1956</v>
      </c>
    </row>
    <row r="63" spans="1:8" x14ac:dyDescent="0.2">
      <c r="A63" s="11" t="s">
        <v>89</v>
      </c>
      <c r="B63" s="11" t="s">
        <v>1734</v>
      </c>
      <c r="C63" s="11" t="s">
        <v>65</v>
      </c>
      <c r="D63" s="11" t="s">
        <v>219</v>
      </c>
      <c r="E63" s="20">
        <v>43471</v>
      </c>
      <c r="F63" s="35">
        <v>0.5</v>
      </c>
      <c r="G63" s="17">
        <v>9</v>
      </c>
      <c r="H63" s="17">
        <v>4059</v>
      </c>
    </row>
    <row r="64" spans="1:8" x14ac:dyDescent="0.2">
      <c r="A64" s="11" t="s">
        <v>45</v>
      </c>
      <c r="B64" s="11" t="s">
        <v>1731</v>
      </c>
      <c r="C64" s="11" t="s">
        <v>24</v>
      </c>
      <c r="D64" s="11" t="s">
        <v>34</v>
      </c>
      <c r="E64" s="20">
        <v>42860</v>
      </c>
      <c r="F64" s="35">
        <v>0.33680555555555552</v>
      </c>
      <c r="G64" s="17">
        <v>11</v>
      </c>
      <c r="H64" s="17">
        <v>4818</v>
      </c>
    </row>
    <row r="65" spans="1:8" x14ac:dyDescent="0.2">
      <c r="A65" s="11" t="s">
        <v>54</v>
      </c>
      <c r="B65" s="11" t="s">
        <v>1732</v>
      </c>
      <c r="C65" s="11" t="s">
        <v>40</v>
      </c>
      <c r="D65" s="11" t="s">
        <v>41</v>
      </c>
      <c r="E65" s="20">
        <v>43546</v>
      </c>
      <c r="F65" s="35">
        <v>0.72222222222222221</v>
      </c>
      <c r="G65" s="17">
        <v>9</v>
      </c>
      <c r="H65" s="17">
        <v>10260</v>
      </c>
    </row>
    <row r="66" spans="1:8" x14ac:dyDescent="0.2">
      <c r="A66" s="11" t="s">
        <v>125</v>
      </c>
      <c r="B66" s="11" t="s">
        <v>1731</v>
      </c>
      <c r="C66" s="11" t="s">
        <v>33</v>
      </c>
      <c r="D66" s="11" t="s">
        <v>34</v>
      </c>
      <c r="E66" s="20">
        <v>43471</v>
      </c>
      <c r="F66" s="35">
        <v>0.4236111111111111</v>
      </c>
      <c r="G66" s="17">
        <v>20</v>
      </c>
      <c r="H66" s="17">
        <v>10620</v>
      </c>
    </row>
    <row r="67" spans="1:8" x14ac:dyDescent="0.2">
      <c r="A67" s="11" t="s">
        <v>54</v>
      </c>
      <c r="B67" s="11" t="s">
        <v>1735</v>
      </c>
      <c r="C67" s="11" t="s">
        <v>24</v>
      </c>
      <c r="D67" s="11" t="s">
        <v>25</v>
      </c>
      <c r="E67" s="20">
        <v>43335</v>
      </c>
      <c r="F67" s="35">
        <v>0.39583333333333331</v>
      </c>
      <c r="G67" s="17">
        <v>1</v>
      </c>
      <c r="H67" s="17">
        <v>352</v>
      </c>
    </row>
    <row r="68" spans="1:8" x14ac:dyDescent="0.2">
      <c r="A68" s="11" t="s">
        <v>78</v>
      </c>
      <c r="B68" s="11" t="s">
        <v>1732</v>
      </c>
      <c r="C68" s="11" t="s">
        <v>33</v>
      </c>
      <c r="D68" s="11" t="s">
        <v>25</v>
      </c>
      <c r="E68" s="20">
        <v>43471</v>
      </c>
      <c r="F68" s="35">
        <v>0.46180555555555552</v>
      </c>
      <c r="G68" s="17">
        <v>13</v>
      </c>
      <c r="H68" s="17">
        <v>18421</v>
      </c>
    </row>
    <row r="69" spans="1:8" x14ac:dyDescent="0.2">
      <c r="A69" s="11" t="s">
        <v>64</v>
      </c>
      <c r="B69" s="11" t="s">
        <v>1734</v>
      </c>
      <c r="C69" s="11" t="s">
        <v>40</v>
      </c>
      <c r="D69" s="11" t="s">
        <v>41</v>
      </c>
      <c r="E69" s="20">
        <v>43329</v>
      </c>
      <c r="F69" s="35">
        <v>0.56597222222222221</v>
      </c>
      <c r="G69" s="17">
        <v>8</v>
      </c>
      <c r="H69" s="17">
        <v>4016</v>
      </c>
    </row>
    <row r="70" spans="1:8" x14ac:dyDescent="0.2">
      <c r="A70" s="11" t="s">
        <v>89</v>
      </c>
      <c r="B70" s="11" t="s">
        <v>1733</v>
      </c>
      <c r="C70" s="11" t="s">
        <v>24</v>
      </c>
      <c r="D70" s="11" t="s">
        <v>25</v>
      </c>
      <c r="E70" s="20">
        <v>43470</v>
      </c>
      <c r="F70" s="35">
        <v>0.57986111111111105</v>
      </c>
      <c r="G70" s="17">
        <v>1</v>
      </c>
      <c r="H70" s="17">
        <v>778</v>
      </c>
    </row>
    <row r="71" spans="1:8" x14ac:dyDescent="0.2">
      <c r="A71" s="11" t="s">
        <v>54</v>
      </c>
      <c r="B71" s="11" t="s">
        <v>1732</v>
      </c>
      <c r="C71" s="11" t="s">
        <v>24</v>
      </c>
      <c r="D71" s="11" t="s">
        <v>120</v>
      </c>
      <c r="E71" s="20">
        <v>43324</v>
      </c>
      <c r="F71" s="35">
        <v>0.58333333333333326</v>
      </c>
      <c r="G71" s="17">
        <v>2</v>
      </c>
      <c r="H71" s="17">
        <v>2158</v>
      </c>
    </row>
    <row r="72" spans="1:8" x14ac:dyDescent="0.2">
      <c r="A72" s="11" t="s">
        <v>54</v>
      </c>
      <c r="B72" s="11" t="s">
        <v>1733</v>
      </c>
      <c r="C72" s="11" t="s">
        <v>65</v>
      </c>
      <c r="D72" s="11" t="s">
        <v>219</v>
      </c>
      <c r="E72" s="20">
        <v>43468</v>
      </c>
      <c r="F72" s="35">
        <v>0.60416666666666663</v>
      </c>
      <c r="G72" s="17">
        <v>15</v>
      </c>
      <c r="H72" s="17">
        <v>18315</v>
      </c>
    </row>
    <row r="73" spans="1:8" x14ac:dyDescent="0.2">
      <c r="A73" s="11" t="s">
        <v>45</v>
      </c>
      <c r="B73" s="11" t="s">
        <v>1735</v>
      </c>
      <c r="C73" s="11" t="s">
        <v>65</v>
      </c>
      <c r="D73" s="11" t="s">
        <v>219</v>
      </c>
      <c r="E73" s="20">
        <v>43148</v>
      </c>
      <c r="F73" s="35">
        <v>0.60416666666666663</v>
      </c>
      <c r="G73" s="17">
        <v>5</v>
      </c>
      <c r="H73" s="17">
        <v>1880</v>
      </c>
    </row>
    <row r="74" spans="1:8" x14ac:dyDescent="0.2">
      <c r="A74" s="11" t="s">
        <v>45</v>
      </c>
      <c r="B74" s="11" t="s">
        <v>1734</v>
      </c>
      <c r="C74" s="11" t="s">
        <v>24</v>
      </c>
      <c r="D74" s="11" t="s">
        <v>25</v>
      </c>
      <c r="E74" s="20">
        <v>43318</v>
      </c>
      <c r="F74" s="35">
        <v>0.64236111111111105</v>
      </c>
      <c r="G74" s="17">
        <v>13</v>
      </c>
      <c r="H74" s="17">
        <v>6097</v>
      </c>
    </row>
    <row r="75" spans="1:8" x14ac:dyDescent="0.2">
      <c r="A75" s="11" t="s">
        <v>64</v>
      </c>
      <c r="B75" s="11" t="s">
        <v>1732</v>
      </c>
      <c r="C75" s="11" t="s">
        <v>40</v>
      </c>
      <c r="D75" s="11" t="s">
        <v>219</v>
      </c>
      <c r="E75" s="20">
        <v>43468</v>
      </c>
      <c r="F75" s="35">
        <v>0.71180555555555547</v>
      </c>
      <c r="G75" s="17">
        <v>13</v>
      </c>
      <c r="H75" s="17">
        <v>17537</v>
      </c>
    </row>
    <row r="76" spans="1:8" x14ac:dyDescent="0.2">
      <c r="A76" s="11" t="s">
        <v>78</v>
      </c>
      <c r="B76" s="11" t="s">
        <v>1733</v>
      </c>
      <c r="C76" s="11" t="s">
        <v>65</v>
      </c>
      <c r="D76" s="11" t="s">
        <v>41</v>
      </c>
      <c r="E76" s="20">
        <v>43468</v>
      </c>
      <c r="F76" s="35">
        <v>0.37847222222222221</v>
      </c>
      <c r="G76" s="17">
        <v>7</v>
      </c>
      <c r="H76" s="17">
        <v>6377</v>
      </c>
    </row>
    <row r="77" spans="1:8" x14ac:dyDescent="0.2">
      <c r="A77" s="11" t="s">
        <v>89</v>
      </c>
      <c r="B77" s="11" t="s">
        <v>1734</v>
      </c>
      <c r="C77" s="11" t="s">
        <v>65</v>
      </c>
      <c r="D77" s="11" t="s">
        <v>25</v>
      </c>
      <c r="E77" s="20">
        <v>43371</v>
      </c>
      <c r="F77" s="35">
        <v>0.50694444444444442</v>
      </c>
      <c r="G77" s="17">
        <v>3</v>
      </c>
      <c r="H77" s="17">
        <v>1896</v>
      </c>
    </row>
    <row r="78" spans="1:8" x14ac:dyDescent="0.2">
      <c r="A78" s="11" t="s">
        <v>54</v>
      </c>
      <c r="B78" s="11" t="s">
        <v>1733</v>
      </c>
      <c r="C78" s="11" t="s">
        <v>24</v>
      </c>
      <c r="D78" s="11" t="s">
        <v>41</v>
      </c>
      <c r="E78" s="20">
        <v>43227</v>
      </c>
      <c r="F78" s="35">
        <v>0.54861111111111105</v>
      </c>
      <c r="G78" s="17">
        <v>2</v>
      </c>
      <c r="H78" s="17">
        <v>2310</v>
      </c>
    </row>
    <row r="79" spans="1:8" x14ac:dyDescent="0.2">
      <c r="A79" s="11" t="s">
        <v>49</v>
      </c>
      <c r="B79" s="11" t="s">
        <v>1734</v>
      </c>
      <c r="C79" s="11" t="s">
        <v>24</v>
      </c>
      <c r="D79" s="11" t="s">
        <v>25</v>
      </c>
      <c r="E79" s="20">
        <v>43202</v>
      </c>
      <c r="F79" s="35">
        <v>0.60416666666666663</v>
      </c>
      <c r="G79" s="17">
        <v>6</v>
      </c>
      <c r="H79" s="17">
        <v>3150</v>
      </c>
    </row>
    <row r="80" spans="1:8" x14ac:dyDescent="0.2">
      <c r="A80" s="11" t="s">
        <v>54</v>
      </c>
      <c r="B80" s="11" t="s">
        <v>1731</v>
      </c>
      <c r="C80" s="11" t="s">
        <v>65</v>
      </c>
      <c r="D80" s="11" t="s">
        <v>41</v>
      </c>
      <c r="E80" s="20">
        <v>43252</v>
      </c>
      <c r="F80" s="35">
        <v>0.62847222222222221</v>
      </c>
      <c r="G80" s="17">
        <v>14</v>
      </c>
      <c r="H80" s="17">
        <v>6608</v>
      </c>
    </row>
    <row r="81" spans="1:8" x14ac:dyDescent="0.2">
      <c r="A81" s="11" t="s">
        <v>78</v>
      </c>
      <c r="B81" s="11" t="s">
        <v>1731</v>
      </c>
      <c r="C81" s="11" t="s">
        <v>33</v>
      </c>
      <c r="D81" s="11" t="s">
        <v>41</v>
      </c>
      <c r="E81" s="20">
        <v>43462</v>
      </c>
      <c r="F81" s="35">
        <v>0.43055555555555552</v>
      </c>
      <c r="G81" s="17">
        <v>1</v>
      </c>
      <c r="H81" s="17">
        <v>594</v>
      </c>
    </row>
    <row r="82" spans="1:8" x14ac:dyDescent="0.2">
      <c r="A82" s="11" t="s">
        <v>78</v>
      </c>
      <c r="B82" s="11" t="s">
        <v>1735</v>
      </c>
      <c r="C82" s="11" t="s">
        <v>24</v>
      </c>
      <c r="D82" s="11" t="s">
        <v>120</v>
      </c>
      <c r="E82" s="20">
        <v>43500</v>
      </c>
      <c r="F82" s="35">
        <v>0.51736111111111105</v>
      </c>
      <c r="G82" s="17">
        <v>8</v>
      </c>
      <c r="H82" s="17">
        <v>3392</v>
      </c>
    </row>
    <row r="83" spans="1:8" x14ac:dyDescent="0.2">
      <c r="A83" s="11" t="s">
        <v>49</v>
      </c>
      <c r="B83" s="11" t="s">
        <v>1735</v>
      </c>
      <c r="C83" s="11" t="s">
        <v>40</v>
      </c>
      <c r="D83" s="11" t="s">
        <v>25</v>
      </c>
      <c r="E83" s="20">
        <v>43192</v>
      </c>
      <c r="F83" s="35">
        <v>0.53819444444444442</v>
      </c>
      <c r="G83" s="17">
        <v>1</v>
      </c>
      <c r="H83" s="17">
        <v>444</v>
      </c>
    </row>
    <row r="84" spans="1:8" x14ac:dyDescent="0.2">
      <c r="A84" s="11" t="s">
        <v>117</v>
      </c>
      <c r="B84" s="11" t="s">
        <v>1732</v>
      </c>
      <c r="C84" s="11" t="s">
        <v>40</v>
      </c>
      <c r="D84" s="11" t="s">
        <v>41</v>
      </c>
      <c r="E84" s="20">
        <v>43462</v>
      </c>
      <c r="F84" s="35">
        <v>0.61805555555555547</v>
      </c>
      <c r="G84" s="17">
        <v>14</v>
      </c>
      <c r="H84" s="17">
        <v>22386</v>
      </c>
    </row>
    <row r="85" spans="1:8" x14ac:dyDescent="0.2">
      <c r="A85" s="11" t="s">
        <v>64</v>
      </c>
      <c r="B85" s="11" t="s">
        <v>1732</v>
      </c>
      <c r="C85" s="11" t="s">
        <v>33</v>
      </c>
      <c r="D85" s="11" t="s">
        <v>120</v>
      </c>
      <c r="E85" s="20">
        <v>42958</v>
      </c>
      <c r="F85" s="35">
        <v>0.38194444444444442</v>
      </c>
      <c r="G85" s="17">
        <v>1</v>
      </c>
      <c r="H85" s="17">
        <v>419</v>
      </c>
    </row>
    <row r="86" spans="1:8" x14ac:dyDescent="0.2">
      <c r="A86" s="11" t="s">
        <v>89</v>
      </c>
      <c r="B86" s="11" t="s">
        <v>1735</v>
      </c>
      <c r="C86" s="11" t="s">
        <v>24</v>
      </c>
      <c r="D86" s="11" t="s">
        <v>120</v>
      </c>
      <c r="E86" s="20">
        <v>43349</v>
      </c>
      <c r="F86" s="35">
        <v>0.71527777777777779</v>
      </c>
      <c r="G86" s="17">
        <v>8</v>
      </c>
      <c r="H86" s="17">
        <v>3080</v>
      </c>
    </row>
    <row r="87" spans="1:8" x14ac:dyDescent="0.2">
      <c r="A87" s="11" t="s">
        <v>78</v>
      </c>
      <c r="B87" s="11" t="s">
        <v>1731</v>
      </c>
      <c r="C87" s="11" t="s">
        <v>24</v>
      </c>
      <c r="D87" s="11" t="s">
        <v>120</v>
      </c>
      <c r="E87" s="20">
        <v>43300</v>
      </c>
      <c r="F87" s="35">
        <v>0.3611111111111111</v>
      </c>
      <c r="G87" s="17">
        <v>14</v>
      </c>
      <c r="H87" s="17">
        <v>8148</v>
      </c>
    </row>
    <row r="88" spans="1:8" x14ac:dyDescent="0.2">
      <c r="A88" s="11" t="s">
        <v>45</v>
      </c>
      <c r="B88" s="11" t="s">
        <v>1734</v>
      </c>
      <c r="C88" s="11" t="s">
        <v>65</v>
      </c>
      <c r="D88" s="11" t="s">
        <v>34</v>
      </c>
      <c r="E88" s="20">
        <v>43204</v>
      </c>
      <c r="F88" s="35">
        <v>0.46875</v>
      </c>
      <c r="G88" s="17">
        <v>20</v>
      </c>
      <c r="H88" s="17">
        <v>15820</v>
      </c>
    </row>
    <row r="89" spans="1:8" x14ac:dyDescent="0.2">
      <c r="A89" s="11" t="s">
        <v>114</v>
      </c>
      <c r="B89" s="11" t="s">
        <v>1732</v>
      </c>
      <c r="C89" s="11" t="s">
        <v>40</v>
      </c>
      <c r="D89" s="11" t="s">
        <v>34</v>
      </c>
      <c r="E89" s="20">
        <v>43133</v>
      </c>
      <c r="F89" s="35">
        <v>0.42013888888888884</v>
      </c>
      <c r="G89" s="17">
        <v>13</v>
      </c>
      <c r="H89" s="17">
        <v>19825</v>
      </c>
    </row>
    <row r="90" spans="1:8" x14ac:dyDescent="0.2">
      <c r="A90" s="11" t="s">
        <v>114</v>
      </c>
      <c r="B90" s="11" t="s">
        <v>1733</v>
      </c>
      <c r="C90" s="11" t="s">
        <v>40</v>
      </c>
      <c r="D90" s="11" t="s">
        <v>120</v>
      </c>
      <c r="E90" s="20">
        <v>42954</v>
      </c>
      <c r="F90" s="35">
        <v>0.40625</v>
      </c>
      <c r="G90" s="17">
        <v>8</v>
      </c>
      <c r="H90" s="17">
        <v>5912</v>
      </c>
    </row>
    <row r="91" spans="1:8" x14ac:dyDescent="0.2">
      <c r="A91" s="11" t="s">
        <v>117</v>
      </c>
      <c r="B91" s="11" t="s">
        <v>1731</v>
      </c>
      <c r="C91" s="11" t="s">
        <v>33</v>
      </c>
      <c r="D91" s="11" t="s">
        <v>41</v>
      </c>
      <c r="E91" s="20">
        <v>43568</v>
      </c>
      <c r="F91" s="35">
        <v>0.53819444444444442</v>
      </c>
      <c r="G91" s="17">
        <v>3</v>
      </c>
      <c r="H91" s="17">
        <v>1149</v>
      </c>
    </row>
    <row r="92" spans="1:8" x14ac:dyDescent="0.2">
      <c r="A92" s="11" t="s">
        <v>125</v>
      </c>
      <c r="B92" s="11" t="s">
        <v>1733</v>
      </c>
      <c r="C92" s="11" t="s">
        <v>65</v>
      </c>
      <c r="D92" s="11" t="s">
        <v>34</v>
      </c>
      <c r="E92" s="20">
        <v>42958</v>
      </c>
      <c r="F92" s="35">
        <v>0.49652777777777773</v>
      </c>
      <c r="G92" s="17">
        <v>11</v>
      </c>
      <c r="H92" s="17">
        <v>6204</v>
      </c>
    </row>
    <row r="93" spans="1:8" x14ac:dyDescent="0.2">
      <c r="A93" s="11" t="s">
        <v>114</v>
      </c>
      <c r="B93" s="11" t="s">
        <v>1733</v>
      </c>
      <c r="C93" s="11" t="s">
        <v>65</v>
      </c>
      <c r="D93" s="11" t="s">
        <v>120</v>
      </c>
      <c r="E93" s="20">
        <v>43248</v>
      </c>
      <c r="F93" s="35">
        <v>0.63194444444444442</v>
      </c>
      <c r="G93" s="17">
        <v>1</v>
      </c>
      <c r="H93" s="17">
        <v>771</v>
      </c>
    </row>
    <row r="94" spans="1:8" x14ac:dyDescent="0.2">
      <c r="A94" s="11" t="s">
        <v>54</v>
      </c>
      <c r="B94" s="11" t="s">
        <v>1732</v>
      </c>
      <c r="C94" s="11" t="s">
        <v>24</v>
      </c>
      <c r="D94" s="11" t="s">
        <v>120</v>
      </c>
      <c r="E94" s="20">
        <v>42975</v>
      </c>
      <c r="F94" s="35">
        <v>0.45833333333333331</v>
      </c>
      <c r="G94" s="17">
        <v>15</v>
      </c>
      <c r="H94" s="17">
        <v>23430</v>
      </c>
    </row>
    <row r="95" spans="1:8" x14ac:dyDescent="0.2">
      <c r="A95" s="11" t="s">
        <v>32</v>
      </c>
      <c r="B95" s="11" t="s">
        <v>1734</v>
      </c>
      <c r="C95" s="11" t="s">
        <v>33</v>
      </c>
      <c r="D95" s="11" t="s">
        <v>25</v>
      </c>
      <c r="E95" s="20">
        <v>42957</v>
      </c>
      <c r="F95" s="35">
        <v>0.34722222222222221</v>
      </c>
      <c r="G95" s="17">
        <v>8</v>
      </c>
      <c r="H95" s="17">
        <v>4600</v>
      </c>
    </row>
    <row r="96" spans="1:8" x14ac:dyDescent="0.2">
      <c r="A96" s="11" t="s">
        <v>45</v>
      </c>
      <c r="B96" s="11" t="s">
        <v>1734</v>
      </c>
      <c r="C96" s="11" t="s">
        <v>65</v>
      </c>
      <c r="D96" s="11" t="s">
        <v>41</v>
      </c>
      <c r="E96" s="20">
        <v>43520</v>
      </c>
      <c r="F96" s="35">
        <v>0.4375</v>
      </c>
      <c r="G96" s="17">
        <v>2</v>
      </c>
      <c r="H96" s="17">
        <v>1292</v>
      </c>
    </row>
    <row r="97" spans="1:8" x14ac:dyDescent="0.2">
      <c r="A97" s="11" t="s">
        <v>49</v>
      </c>
      <c r="B97" s="11" t="s">
        <v>1735</v>
      </c>
      <c r="C97" s="11" t="s">
        <v>65</v>
      </c>
      <c r="D97" s="11" t="s">
        <v>41</v>
      </c>
      <c r="E97" s="20">
        <v>43014</v>
      </c>
      <c r="F97" s="35">
        <v>0.60416666666666663</v>
      </c>
      <c r="G97" s="17">
        <v>10</v>
      </c>
      <c r="H97" s="17">
        <v>3230</v>
      </c>
    </row>
    <row r="98" spans="1:8" x14ac:dyDescent="0.2">
      <c r="A98" s="11" t="s">
        <v>49</v>
      </c>
      <c r="B98" s="11" t="s">
        <v>1734</v>
      </c>
      <c r="C98" s="11" t="s">
        <v>24</v>
      </c>
      <c r="D98" s="11" t="s">
        <v>41</v>
      </c>
      <c r="E98" s="20">
        <v>43231</v>
      </c>
      <c r="F98" s="35">
        <v>0.6875</v>
      </c>
      <c r="G98" s="17">
        <v>3</v>
      </c>
      <c r="H98" s="17">
        <v>2508</v>
      </c>
    </row>
    <row r="99" spans="1:8" x14ac:dyDescent="0.2">
      <c r="A99" s="11" t="s">
        <v>78</v>
      </c>
      <c r="B99" s="11" t="s">
        <v>1732</v>
      </c>
      <c r="C99" s="11" t="s">
        <v>33</v>
      </c>
      <c r="D99" s="11" t="s">
        <v>34</v>
      </c>
      <c r="E99" s="20">
        <v>43196</v>
      </c>
      <c r="F99" s="35">
        <v>0.54166666666666663</v>
      </c>
      <c r="G99" s="17">
        <v>13</v>
      </c>
      <c r="H99" s="17">
        <v>6864</v>
      </c>
    </row>
    <row r="100" spans="1:8" x14ac:dyDescent="0.2">
      <c r="A100" s="11" t="s">
        <v>64</v>
      </c>
      <c r="B100" s="11" t="s">
        <v>1734</v>
      </c>
      <c r="C100" s="11" t="s">
        <v>65</v>
      </c>
      <c r="D100" s="11" t="s">
        <v>34</v>
      </c>
      <c r="E100" s="20">
        <v>43332</v>
      </c>
      <c r="F100" s="35">
        <v>0.55555555555555558</v>
      </c>
      <c r="G100" s="17">
        <v>20</v>
      </c>
      <c r="H100" s="17">
        <v>15300</v>
      </c>
    </row>
    <row r="101" spans="1:8" x14ac:dyDescent="0.2">
      <c r="A101" s="11" t="s">
        <v>23</v>
      </c>
      <c r="B101" s="11" t="s">
        <v>1734</v>
      </c>
      <c r="C101" s="11" t="s">
        <v>24</v>
      </c>
      <c r="D101" s="11" t="s">
        <v>34</v>
      </c>
      <c r="E101" s="20">
        <v>43195</v>
      </c>
      <c r="F101" s="35">
        <v>0.60416666666666663</v>
      </c>
      <c r="G101" s="17">
        <v>13</v>
      </c>
      <c r="H101" s="17">
        <v>6357</v>
      </c>
    </row>
    <row r="102" spans="1:8" x14ac:dyDescent="0.2">
      <c r="A102" s="11" t="s">
        <v>78</v>
      </c>
      <c r="B102" s="11" t="s">
        <v>1732</v>
      </c>
      <c r="C102" s="11" t="s">
        <v>24</v>
      </c>
      <c r="D102" s="11" t="s">
        <v>41</v>
      </c>
      <c r="E102" s="20">
        <v>43311</v>
      </c>
      <c r="F102" s="35">
        <v>0.4236111111111111</v>
      </c>
      <c r="G102" s="17">
        <v>7</v>
      </c>
      <c r="H102" s="17">
        <v>5327</v>
      </c>
    </row>
    <row r="103" spans="1:8" x14ac:dyDescent="0.2">
      <c r="A103" s="11" t="s">
        <v>125</v>
      </c>
      <c r="B103" s="11" t="s">
        <v>1734</v>
      </c>
      <c r="C103" s="11" t="s">
        <v>65</v>
      </c>
      <c r="D103" s="11" t="s">
        <v>34</v>
      </c>
      <c r="E103" s="20">
        <v>43234</v>
      </c>
      <c r="F103" s="35">
        <v>0.375</v>
      </c>
      <c r="G103" s="17">
        <v>15</v>
      </c>
      <c r="H103" s="17">
        <v>8790</v>
      </c>
    </row>
    <row r="104" spans="1:8" x14ac:dyDescent="0.2">
      <c r="A104" s="11" t="s">
        <v>64</v>
      </c>
      <c r="B104" s="11" t="s">
        <v>1731</v>
      </c>
      <c r="C104" s="11" t="s">
        <v>24</v>
      </c>
      <c r="D104" s="11" t="s">
        <v>120</v>
      </c>
      <c r="E104" s="20">
        <v>43462</v>
      </c>
      <c r="F104" s="35">
        <v>0.70833333333333326</v>
      </c>
      <c r="G104" s="17">
        <v>15</v>
      </c>
      <c r="H104" s="17">
        <v>4890</v>
      </c>
    </row>
    <row r="105" spans="1:8" x14ac:dyDescent="0.2">
      <c r="A105" s="11" t="s">
        <v>114</v>
      </c>
      <c r="B105" s="11" t="s">
        <v>1732</v>
      </c>
      <c r="C105" s="11" t="s">
        <v>40</v>
      </c>
      <c r="D105" s="11" t="s">
        <v>219</v>
      </c>
      <c r="E105" s="20">
        <v>43462</v>
      </c>
      <c r="F105" s="35">
        <v>0.46180555555555552</v>
      </c>
      <c r="G105" s="17">
        <v>8</v>
      </c>
      <c r="H105" s="17">
        <v>13952</v>
      </c>
    </row>
    <row r="106" spans="1:8" x14ac:dyDescent="0.2">
      <c r="A106" s="11" t="s">
        <v>117</v>
      </c>
      <c r="B106" s="11" t="s">
        <v>1733</v>
      </c>
      <c r="C106" s="11" t="s">
        <v>24</v>
      </c>
      <c r="D106" s="11" t="s">
        <v>25</v>
      </c>
      <c r="E106" s="20">
        <v>42877</v>
      </c>
      <c r="F106" s="35">
        <v>0.48263888888888884</v>
      </c>
      <c r="G106" s="17">
        <v>5</v>
      </c>
      <c r="H106" s="21">
        <v>6315</v>
      </c>
    </row>
    <row r="107" spans="1:8" x14ac:dyDescent="0.2">
      <c r="A107" s="11" t="s">
        <v>23</v>
      </c>
      <c r="B107" s="11" t="s">
        <v>1731</v>
      </c>
      <c r="C107" s="11" t="s">
        <v>24</v>
      </c>
      <c r="D107" s="11" t="s">
        <v>25</v>
      </c>
      <c r="E107" s="20">
        <v>43168</v>
      </c>
      <c r="F107" s="35">
        <v>0.3611111111111111</v>
      </c>
      <c r="G107" s="17">
        <v>5</v>
      </c>
      <c r="H107" s="17">
        <v>2285</v>
      </c>
    </row>
    <row r="108" spans="1:8" x14ac:dyDescent="0.2">
      <c r="A108" s="11" t="s">
        <v>54</v>
      </c>
      <c r="B108" s="11" t="s">
        <v>1731</v>
      </c>
      <c r="C108" s="11" t="s">
        <v>33</v>
      </c>
      <c r="D108" s="11" t="s">
        <v>120</v>
      </c>
      <c r="E108" s="20">
        <v>43462</v>
      </c>
      <c r="F108" s="35">
        <v>0.37847222222222221</v>
      </c>
      <c r="G108" s="17">
        <v>6</v>
      </c>
      <c r="H108" s="17">
        <v>1896</v>
      </c>
    </row>
    <row r="109" spans="1:8" x14ac:dyDescent="0.2">
      <c r="A109" s="11" t="s">
        <v>78</v>
      </c>
      <c r="B109" s="11" t="s">
        <v>1734</v>
      </c>
      <c r="C109" s="11" t="s">
        <v>24</v>
      </c>
      <c r="D109" s="11" t="s">
        <v>120</v>
      </c>
      <c r="E109" s="20">
        <v>42992</v>
      </c>
      <c r="F109" s="35">
        <v>0.51736111111111105</v>
      </c>
      <c r="G109" s="17">
        <v>10</v>
      </c>
      <c r="H109" s="17">
        <v>5960</v>
      </c>
    </row>
    <row r="110" spans="1:8" x14ac:dyDescent="0.2">
      <c r="A110" s="11" t="s">
        <v>75</v>
      </c>
      <c r="B110" s="11" t="s">
        <v>1731</v>
      </c>
      <c r="C110" s="11" t="s">
        <v>40</v>
      </c>
      <c r="D110" s="11" t="s">
        <v>120</v>
      </c>
      <c r="E110" s="20">
        <v>43147</v>
      </c>
      <c r="F110" s="35">
        <v>0.72222222222222221</v>
      </c>
      <c r="G110" s="17">
        <v>15</v>
      </c>
      <c r="H110" s="17">
        <v>7380</v>
      </c>
    </row>
    <row r="111" spans="1:8" x14ac:dyDescent="0.2">
      <c r="A111" s="11" t="s">
        <v>78</v>
      </c>
      <c r="B111" s="11" t="s">
        <v>1735</v>
      </c>
      <c r="C111" s="11" t="s">
        <v>65</v>
      </c>
      <c r="D111" s="11" t="s">
        <v>25</v>
      </c>
      <c r="E111" s="20">
        <v>43574</v>
      </c>
      <c r="F111" s="35">
        <v>0.53125</v>
      </c>
      <c r="G111" s="17">
        <v>14</v>
      </c>
      <c r="H111" s="17">
        <v>8190</v>
      </c>
    </row>
    <row r="112" spans="1:8" x14ac:dyDescent="0.2">
      <c r="A112" s="11" t="s">
        <v>49</v>
      </c>
      <c r="B112" s="11" t="s">
        <v>1735</v>
      </c>
      <c r="C112" s="11" t="s">
        <v>65</v>
      </c>
      <c r="D112" s="11" t="s">
        <v>34</v>
      </c>
      <c r="E112" s="20">
        <v>43178</v>
      </c>
      <c r="F112" s="35">
        <v>0.46180555555555552</v>
      </c>
      <c r="G112" s="17">
        <v>17</v>
      </c>
      <c r="H112" s="17">
        <v>13651</v>
      </c>
    </row>
    <row r="113" spans="1:8" x14ac:dyDescent="0.2">
      <c r="A113" s="11" t="s">
        <v>45</v>
      </c>
      <c r="B113" s="11" t="s">
        <v>1733</v>
      </c>
      <c r="C113" s="11" t="s">
        <v>33</v>
      </c>
      <c r="D113" s="11" t="s">
        <v>34</v>
      </c>
      <c r="E113" s="20">
        <v>43220</v>
      </c>
      <c r="F113" s="35">
        <v>0.54166666666666663</v>
      </c>
      <c r="G113" s="17">
        <v>16</v>
      </c>
      <c r="H113" s="17">
        <v>10880</v>
      </c>
    </row>
    <row r="114" spans="1:8" x14ac:dyDescent="0.2">
      <c r="A114" s="11" t="s">
        <v>54</v>
      </c>
      <c r="B114" s="11" t="s">
        <v>1735</v>
      </c>
      <c r="C114" s="11" t="s">
        <v>33</v>
      </c>
      <c r="D114" s="11" t="s">
        <v>120</v>
      </c>
      <c r="E114" s="20">
        <v>43266</v>
      </c>
      <c r="F114" s="35">
        <v>0.52777777777777779</v>
      </c>
      <c r="G114" s="17">
        <v>6</v>
      </c>
      <c r="H114" s="17">
        <v>3612</v>
      </c>
    </row>
    <row r="115" spans="1:8" x14ac:dyDescent="0.2">
      <c r="A115" s="11" t="s">
        <v>114</v>
      </c>
      <c r="B115" s="11" t="s">
        <v>1733</v>
      </c>
      <c r="C115" s="11" t="s">
        <v>24</v>
      </c>
      <c r="D115" s="11" t="s">
        <v>41</v>
      </c>
      <c r="E115" s="20">
        <v>43462</v>
      </c>
      <c r="F115" s="35">
        <v>0.67708333333333326</v>
      </c>
      <c r="G115" s="17">
        <v>2</v>
      </c>
      <c r="H115" s="17">
        <v>1948</v>
      </c>
    </row>
    <row r="116" spans="1:8" x14ac:dyDescent="0.2">
      <c r="A116" s="11" t="s">
        <v>45</v>
      </c>
      <c r="B116" s="11" t="s">
        <v>1735</v>
      </c>
      <c r="C116" s="11" t="s">
        <v>24</v>
      </c>
      <c r="D116" s="11" t="s">
        <v>41</v>
      </c>
      <c r="E116" s="20">
        <v>43462</v>
      </c>
      <c r="F116" s="35">
        <v>0.33333333333333331</v>
      </c>
      <c r="G116" s="17">
        <v>9</v>
      </c>
      <c r="H116" s="17">
        <v>7803</v>
      </c>
    </row>
    <row r="117" spans="1:8" x14ac:dyDescent="0.2">
      <c r="A117" s="11" t="s">
        <v>32</v>
      </c>
      <c r="B117" s="11" t="s">
        <v>1732</v>
      </c>
      <c r="C117" s="11" t="s">
        <v>40</v>
      </c>
      <c r="D117" s="11" t="s">
        <v>34</v>
      </c>
      <c r="E117" s="20">
        <v>42944</v>
      </c>
      <c r="F117" s="35">
        <v>0.58333333333333326</v>
      </c>
      <c r="G117" s="17">
        <v>18</v>
      </c>
      <c r="H117" s="17">
        <v>30564</v>
      </c>
    </row>
    <row r="118" spans="1:8" x14ac:dyDescent="0.2">
      <c r="A118" s="11" t="s">
        <v>54</v>
      </c>
      <c r="B118" s="11" t="s">
        <v>1731</v>
      </c>
      <c r="C118" s="11" t="s">
        <v>40</v>
      </c>
      <c r="D118" s="11" t="s">
        <v>219</v>
      </c>
      <c r="E118" s="20">
        <v>43190</v>
      </c>
      <c r="F118" s="35">
        <v>0.67361111111111105</v>
      </c>
      <c r="G118" s="17">
        <v>5</v>
      </c>
      <c r="H118" s="17">
        <v>2935</v>
      </c>
    </row>
    <row r="119" spans="1:8" x14ac:dyDescent="0.2">
      <c r="A119" s="11" t="s">
        <v>64</v>
      </c>
      <c r="B119" s="11" t="s">
        <v>1735</v>
      </c>
      <c r="C119" s="11" t="s">
        <v>24</v>
      </c>
      <c r="D119" s="11" t="s">
        <v>219</v>
      </c>
      <c r="E119" s="20">
        <v>43458</v>
      </c>
      <c r="F119" s="35">
        <v>0.40277777777777773</v>
      </c>
      <c r="G119" s="17">
        <v>7</v>
      </c>
      <c r="H119" s="17">
        <v>3304</v>
      </c>
    </row>
    <row r="120" spans="1:8" x14ac:dyDescent="0.2">
      <c r="A120" s="11" t="s">
        <v>54</v>
      </c>
      <c r="B120" s="11" t="s">
        <v>1733</v>
      </c>
      <c r="C120" s="11" t="s">
        <v>24</v>
      </c>
      <c r="D120" s="11" t="s">
        <v>41</v>
      </c>
      <c r="E120" s="20">
        <v>42975</v>
      </c>
      <c r="F120" s="35">
        <v>0.55902777777777779</v>
      </c>
      <c r="G120" s="17">
        <v>5</v>
      </c>
      <c r="H120" s="17">
        <v>5530</v>
      </c>
    </row>
    <row r="121" spans="1:8" x14ac:dyDescent="0.2">
      <c r="A121" s="11" t="s">
        <v>114</v>
      </c>
      <c r="B121" s="11" t="s">
        <v>1734</v>
      </c>
      <c r="C121" s="11" t="s">
        <v>40</v>
      </c>
      <c r="D121" s="11" t="s">
        <v>25</v>
      </c>
      <c r="E121" s="20">
        <v>42979</v>
      </c>
      <c r="F121" s="35">
        <v>0.4236111111111111</v>
      </c>
      <c r="G121" s="17">
        <v>10</v>
      </c>
      <c r="H121" s="17">
        <v>6030</v>
      </c>
    </row>
    <row r="122" spans="1:8" x14ac:dyDescent="0.2">
      <c r="A122" s="11" t="s">
        <v>114</v>
      </c>
      <c r="B122" s="11" t="s">
        <v>1733</v>
      </c>
      <c r="C122" s="11" t="s">
        <v>33</v>
      </c>
      <c r="D122" s="11" t="s">
        <v>25</v>
      </c>
      <c r="E122" s="20">
        <v>43211</v>
      </c>
      <c r="F122" s="35">
        <v>0.64236111111111105</v>
      </c>
      <c r="G122" s="17">
        <v>11</v>
      </c>
      <c r="H122" s="17">
        <v>6886</v>
      </c>
    </row>
    <row r="123" spans="1:8" x14ac:dyDescent="0.2">
      <c r="A123" s="11" t="s">
        <v>49</v>
      </c>
      <c r="B123" s="11" t="s">
        <v>1731</v>
      </c>
      <c r="C123" s="11" t="s">
        <v>24</v>
      </c>
      <c r="D123" s="11" t="s">
        <v>120</v>
      </c>
      <c r="E123" s="20">
        <v>43458</v>
      </c>
      <c r="F123" s="35">
        <v>0.55902777777777779</v>
      </c>
      <c r="G123" s="17">
        <v>3</v>
      </c>
      <c r="H123" s="17">
        <v>1524</v>
      </c>
    </row>
    <row r="124" spans="1:8" x14ac:dyDescent="0.2">
      <c r="A124" s="11" t="s">
        <v>114</v>
      </c>
      <c r="B124" s="11" t="s">
        <v>1732</v>
      </c>
      <c r="C124" s="11" t="s">
        <v>40</v>
      </c>
      <c r="D124" s="11" t="s">
        <v>120</v>
      </c>
      <c r="E124" s="20">
        <v>43126</v>
      </c>
      <c r="F124" s="35">
        <v>0.34375</v>
      </c>
      <c r="G124" s="17">
        <v>1</v>
      </c>
      <c r="H124" s="17">
        <v>950</v>
      </c>
    </row>
    <row r="125" spans="1:8" x14ac:dyDescent="0.2">
      <c r="A125" s="11" t="s">
        <v>49</v>
      </c>
      <c r="B125" s="11" t="s">
        <v>1735</v>
      </c>
      <c r="C125" s="11" t="s">
        <v>40</v>
      </c>
      <c r="D125" s="11" t="s">
        <v>219</v>
      </c>
      <c r="E125" s="20">
        <v>43227</v>
      </c>
      <c r="F125" s="35">
        <v>0.58680555555555547</v>
      </c>
      <c r="G125" s="17">
        <v>2</v>
      </c>
      <c r="H125" s="17">
        <v>1146</v>
      </c>
    </row>
    <row r="126" spans="1:8" x14ac:dyDescent="0.2">
      <c r="A126" s="11" t="s">
        <v>64</v>
      </c>
      <c r="B126" s="11" t="s">
        <v>1731</v>
      </c>
      <c r="C126" s="11" t="s">
        <v>24</v>
      </c>
      <c r="D126" s="11" t="s">
        <v>120</v>
      </c>
      <c r="E126" s="20">
        <v>43204</v>
      </c>
      <c r="F126" s="35">
        <v>0.67013888888888884</v>
      </c>
      <c r="G126" s="17">
        <v>12</v>
      </c>
      <c r="H126" s="17">
        <v>6288</v>
      </c>
    </row>
    <row r="127" spans="1:8" x14ac:dyDescent="0.2">
      <c r="A127" s="11" t="s">
        <v>114</v>
      </c>
      <c r="B127" s="11" t="s">
        <v>1733</v>
      </c>
      <c r="C127" s="11" t="s">
        <v>65</v>
      </c>
      <c r="D127" s="11" t="s">
        <v>41</v>
      </c>
      <c r="E127" s="20">
        <v>42922</v>
      </c>
      <c r="F127" s="35">
        <v>0.67708333333333326</v>
      </c>
      <c r="G127" s="17">
        <v>9</v>
      </c>
      <c r="H127" s="21">
        <v>11583</v>
      </c>
    </row>
    <row r="128" spans="1:8" x14ac:dyDescent="0.2">
      <c r="A128" s="11" t="s">
        <v>64</v>
      </c>
      <c r="B128" s="11" t="s">
        <v>1735</v>
      </c>
      <c r="C128" s="11" t="s">
        <v>40</v>
      </c>
      <c r="D128" s="11" t="s">
        <v>25</v>
      </c>
      <c r="E128" s="20">
        <v>42876</v>
      </c>
      <c r="F128" s="35">
        <v>0.39930555555555552</v>
      </c>
      <c r="G128" s="17">
        <v>8</v>
      </c>
      <c r="H128" s="21">
        <v>4096</v>
      </c>
    </row>
    <row r="129" spans="1:8" x14ac:dyDescent="0.2">
      <c r="A129" s="11" t="s">
        <v>78</v>
      </c>
      <c r="B129" s="11" t="s">
        <v>1734</v>
      </c>
      <c r="C129" s="11" t="s">
        <v>40</v>
      </c>
      <c r="D129" s="11" t="s">
        <v>41</v>
      </c>
      <c r="E129" s="20">
        <v>43458</v>
      </c>
      <c r="F129" s="35">
        <v>0.55902777777777779</v>
      </c>
      <c r="G129" s="17">
        <v>13</v>
      </c>
      <c r="H129" s="17">
        <v>9997</v>
      </c>
    </row>
    <row r="130" spans="1:8" x14ac:dyDescent="0.2">
      <c r="A130" s="11" t="s">
        <v>49</v>
      </c>
      <c r="B130" s="11" t="s">
        <v>1732</v>
      </c>
      <c r="C130" s="11" t="s">
        <v>24</v>
      </c>
      <c r="D130" s="11" t="s">
        <v>219</v>
      </c>
      <c r="E130" s="20">
        <v>43224</v>
      </c>
      <c r="F130" s="35">
        <v>0.40972222222222221</v>
      </c>
      <c r="G130" s="17">
        <v>1</v>
      </c>
      <c r="H130" s="17">
        <v>632</v>
      </c>
    </row>
    <row r="131" spans="1:8" x14ac:dyDescent="0.2">
      <c r="A131" s="11" t="s">
        <v>125</v>
      </c>
      <c r="B131" s="11" t="s">
        <v>1731</v>
      </c>
      <c r="C131" s="11" t="s">
        <v>24</v>
      </c>
      <c r="D131" s="11" t="s">
        <v>41</v>
      </c>
      <c r="E131" s="20">
        <v>43490</v>
      </c>
      <c r="F131" s="35">
        <v>0.56597222222222221</v>
      </c>
      <c r="G131" s="17">
        <v>1</v>
      </c>
      <c r="H131" s="17">
        <v>393</v>
      </c>
    </row>
    <row r="132" spans="1:8" x14ac:dyDescent="0.2">
      <c r="A132" s="11" t="s">
        <v>49</v>
      </c>
      <c r="B132" s="11" t="s">
        <v>1731</v>
      </c>
      <c r="C132" s="11" t="s">
        <v>40</v>
      </c>
      <c r="D132" s="11" t="s">
        <v>219</v>
      </c>
      <c r="E132" s="20">
        <v>43209</v>
      </c>
      <c r="F132" s="35">
        <v>0.68402777777777779</v>
      </c>
      <c r="G132" s="17">
        <v>3</v>
      </c>
      <c r="H132" s="17">
        <v>1857</v>
      </c>
    </row>
    <row r="133" spans="1:8" x14ac:dyDescent="0.2">
      <c r="A133" s="11" t="s">
        <v>125</v>
      </c>
      <c r="B133" s="11" t="s">
        <v>1733</v>
      </c>
      <c r="C133" s="11" t="s">
        <v>65</v>
      </c>
      <c r="D133" s="11" t="s">
        <v>25</v>
      </c>
      <c r="E133" s="20">
        <v>43457</v>
      </c>
      <c r="F133" s="35">
        <v>0.45833333333333331</v>
      </c>
      <c r="G133" s="17">
        <v>7</v>
      </c>
      <c r="H133" s="17">
        <v>9828</v>
      </c>
    </row>
    <row r="134" spans="1:8" x14ac:dyDescent="0.2">
      <c r="A134" s="11" t="s">
        <v>23</v>
      </c>
      <c r="B134" s="11" t="s">
        <v>1734</v>
      </c>
      <c r="C134" s="11" t="s">
        <v>33</v>
      </c>
      <c r="D134" s="11" t="s">
        <v>34</v>
      </c>
      <c r="E134" s="20">
        <v>42861</v>
      </c>
      <c r="F134" s="35">
        <v>0.40625</v>
      </c>
      <c r="G134" s="17">
        <v>6</v>
      </c>
      <c r="H134" s="17">
        <v>5346</v>
      </c>
    </row>
    <row r="135" spans="1:8" x14ac:dyDescent="0.2">
      <c r="A135" s="11" t="s">
        <v>32</v>
      </c>
      <c r="B135" s="11" t="s">
        <v>1732</v>
      </c>
      <c r="C135" s="11" t="s">
        <v>65</v>
      </c>
      <c r="D135" s="11" t="s">
        <v>25</v>
      </c>
      <c r="E135" s="20">
        <v>43456</v>
      </c>
      <c r="F135" s="35">
        <v>0.46875</v>
      </c>
      <c r="G135" s="17">
        <v>10</v>
      </c>
      <c r="H135" s="17">
        <v>5980</v>
      </c>
    </row>
    <row r="136" spans="1:8" x14ac:dyDescent="0.2">
      <c r="A136" s="11" t="s">
        <v>49</v>
      </c>
      <c r="B136" s="11" t="s">
        <v>1733</v>
      </c>
      <c r="C136" s="11" t="s">
        <v>24</v>
      </c>
      <c r="D136" s="11" t="s">
        <v>25</v>
      </c>
      <c r="E136" s="20">
        <v>43171</v>
      </c>
      <c r="F136" s="35">
        <v>0.63541666666666663</v>
      </c>
      <c r="G136" s="17">
        <v>11</v>
      </c>
      <c r="H136" s="17">
        <v>8217</v>
      </c>
    </row>
    <row r="137" spans="1:8" x14ac:dyDescent="0.2">
      <c r="A137" s="11" t="s">
        <v>78</v>
      </c>
      <c r="B137" s="11" t="s">
        <v>1734</v>
      </c>
      <c r="C137" s="11" t="s">
        <v>24</v>
      </c>
      <c r="D137" s="11" t="s">
        <v>120</v>
      </c>
      <c r="E137" s="20">
        <v>43526</v>
      </c>
      <c r="F137" s="35">
        <v>0.36458333333333331</v>
      </c>
      <c r="G137" s="17">
        <v>1</v>
      </c>
      <c r="H137" s="17">
        <v>582</v>
      </c>
    </row>
    <row r="138" spans="1:8" x14ac:dyDescent="0.2">
      <c r="A138" s="11" t="s">
        <v>54</v>
      </c>
      <c r="B138" s="11" t="s">
        <v>1732</v>
      </c>
      <c r="C138" s="11" t="s">
        <v>65</v>
      </c>
      <c r="D138" s="11" t="s">
        <v>25</v>
      </c>
      <c r="E138" s="20">
        <v>43455</v>
      </c>
      <c r="F138" s="35">
        <v>0.55902777777777779</v>
      </c>
      <c r="G138" s="17">
        <v>5</v>
      </c>
      <c r="H138" s="17">
        <v>2625</v>
      </c>
    </row>
    <row r="139" spans="1:8" x14ac:dyDescent="0.2">
      <c r="A139" s="11" t="s">
        <v>78</v>
      </c>
      <c r="B139" s="11" t="s">
        <v>1735</v>
      </c>
      <c r="C139" s="11" t="s">
        <v>40</v>
      </c>
      <c r="D139" s="11" t="s">
        <v>219</v>
      </c>
      <c r="E139" s="20">
        <v>43451</v>
      </c>
      <c r="F139" s="35">
        <v>0.35416666666666663</v>
      </c>
      <c r="G139" s="17">
        <v>7</v>
      </c>
      <c r="H139" s="17">
        <v>2947</v>
      </c>
    </row>
    <row r="140" spans="1:8" x14ac:dyDescent="0.2">
      <c r="A140" s="11" t="s">
        <v>64</v>
      </c>
      <c r="B140" s="11" t="s">
        <v>1735</v>
      </c>
      <c r="C140" s="11" t="s">
        <v>40</v>
      </c>
      <c r="D140" s="11" t="s">
        <v>25</v>
      </c>
      <c r="E140" s="20">
        <v>43535</v>
      </c>
      <c r="F140" s="35">
        <v>0.60416666666666663</v>
      </c>
      <c r="G140" s="17">
        <v>7</v>
      </c>
      <c r="H140" s="17">
        <v>5082</v>
      </c>
    </row>
    <row r="141" spans="1:8" x14ac:dyDescent="0.2">
      <c r="A141" s="11" t="s">
        <v>23</v>
      </c>
      <c r="B141" s="11" t="s">
        <v>1735</v>
      </c>
      <c r="C141" s="11" t="s">
        <v>24</v>
      </c>
      <c r="D141" s="11" t="s">
        <v>219</v>
      </c>
      <c r="E141" s="20">
        <v>43211</v>
      </c>
      <c r="F141" s="35">
        <v>0.46875</v>
      </c>
      <c r="G141" s="17">
        <v>8</v>
      </c>
      <c r="H141" s="17">
        <v>6872</v>
      </c>
    </row>
    <row r="142" spans="1:8" x14ac:dyDescent="0.2">
      <c r="A142" s="11" t="s">
        <v>45</v>
      </c>
      <c r="B142" s="11" t="s">
        <v>1733</v>
      </c>
      <c r="C142" s="11" t="s">
        <v>24</v>
      </c>
      <c r="D142" s="11" t="s">
        <v>41</v>
      </c>
      <c r="E142" s="20">
        <v>43262</v>
      </c>
      <c r="F142" s="35">
        <v>0.41319444444444442</v>
      </c>
      <c r="G142" s="17">
        <v>3</v>
      </c>
      <c r="H142" s="17">
        <v>2637</v>
      </c>
    </row>
    <row r="143" spans="1:8" x14ac:dyDescent="0.2">
      <c r="A143" s="11" t="s">
        <v>32</v>
      </c>
      <c r="B143" s="11" t="s">
        <v>1731</v>
      </c>
      <c r="C143" s="11" t="s">
        <v>33</v>
      </c>
      <c r="D143" s="11" t="s">
        <v>120</v>
      </c>
      <c r="E143" s="20">
        <v>43244</v>
      </c>
      <c r="F143" s="35">
        <v>0.3611111111111111</v>
      </c>
      <c r="G143" s="17">
        <v>13</v>
      </c>
      <c r="H143" s="17">
        <v>7059</v>
      </c>
    </row>
    <row r="144" spans="1:8" x14ac:dyDescent="0.2">
      <c r="A144" s="11" t="s">
        <v>64</v>
      </c>
      <c r="B144" s="11" t="s">
        <v>1732</v>
      </c>
      <c r="C144" s="11" t="s">
        <v>33</v>
      </c>
      <c r="D144" s="11" t="s">
        <v>41</v>
      </c>
      <c r="E144" s="20">
        <v>43451</v>
      </c>
      <c r="F144" s="35">
        <v>0.65625</v>
      </c>
      <c r="G144" s="17">
        <v>5</v>
      </c>
      <c r="H144" s="17">
        <v>6735</v>
      </c>
    </row>
    <row r="145" spans="1:8" x14ac:dyDescent="0.2">
      <c r="A145" s="11" t="s">
        <v>23</v>
      </c>
      <c r="B145" s="11" t="s">
        <v>1731</v>
      </c>
      <c r="C145" s="11" t="s">
        <v>33</v>
      </c>
      <c r="D145" s="11" t="s">
        <v>219</v>
      </c>
      <c r="E145" s="20">
        <v>43450</v>
      </c>
      <c r="F145" s="35">
        <v>0.42013888888888884</v>
      </c>
      <c r="G145" s="17">
        <v>12</v>
      </c>
      <c r="H145" s="17">
        <v>6456</v>
      </c>
    </row>
    <row r="146" spans="1:8" x14ac:dyDescent="0.2">
      <c r="A146" s="11" t="s">
        <v>49</v>
      </c>
      <c r="B146" s="11" t="s">
        <v>1733</v>
      </c>
      <c r="C146" s="11" t="s">
        <v>24</v>
      </c>
      <c r="D146" s="11" t="s">
        <v>25</v>
      </c>
      <c r="E146" s="20">
        <v>43325</v>
      </c>
      <c r="F146" s="35">
        <v>0.50347222222222221</v>
      </c>
      <c r="G146" s="17">
        <v>9</v>
      </c>
      <c r="H146" s="17">
        <v>4518</v>
      </c>
    </row>
    <row r="147" spans="1:8" x14ac:dyDescent="0.2">
      <c r="A147" s="11" t="s">
        <v>32</v>
      </c>
      <c r="B147" s="11" t="s">
        <v>1731</v>
      </c>
      <c r="C147" s="11" t="s">
        <v>40</v>
      </c>
      <c r="D147" s="11" t="s">
        <v>120</v>
      </c>
      <c r="E147" s="20">
        <v>43217</v>
      </c>
      <c r="F147" s="35">
        <v>0.54861111111111105</v>
      </c>
      <c r="G147" s="17">
        <v>15</v>
      </c>
      <c r="H147" s="17">
        <v>8460</v>
      </c>
    </row>
    <row r="148" spans="1:8" x14ac:dyDescent="0.2">
      <c r="A148" s="11" t="s">
        <v>32</v>
      </c>
      <c r="B148" s="11" t="s">
        <v>1732</v>
      </c>
      <c r="C148" s="11" t="s">
        <v>24</v>
      </c>
      <c r="D148" s="11" t="s">
        <v>34</v>
      </c>
      <c r="E148" s="20">
        <v>42926</v>
      </c>
      <c r="F148" s="35">
        <v>0.68055555555555547</v>
      </c>
      <c r="G148" s="17">
        <v>16</v>
      </c>
      <c r="H148" s="17">
        <v>20352</v>
      </c>
    </row>
    <row r="149" spans="1:8" x14ac:dyDescent="0.2">
      <c r="A149" s="11" t="s">
        <v>32</v>
      </c>
      <c r="B149" s="11" t="s">
        <v>1731</v>
      </c>
      <c r="C149" s="11" t="s">
        <v>40</v>
      </c>
      <c r="D149" s="11" t="s">
        <v>120</v>
      </c>
      <c r="E149" s="20">
        <v>43450</v>
      </c>
      <c r="F149" s="35">
        <v>0.70833333333333326</v>
      </c>
      <c r="G149" s="17">
        <v>13</v>
      </c>
      <c r="H149" s="17">
        <v>6552</v>
      </c>
    </row>
    <row r="150" spans="1:8" x14ac:dyDescent="0.2">
      <c r="A150" s="11" t="s">
        <v>54</v>
      </c>
      <c r="B150" s="11" t="s">
        <v>1731</v>
      </c>
      <c r="C150" s="11" t="s">
        <v>40</v>
      </c>
      <c r="D150" s="11" t="s">
        <v>34</v>
      </c>
      <c r="E150" s="20">
        <v>43206</v>
      </c>
      <c r="F150" s="35">
        <v>0.58680555555555547</v>
      </c>
      <c r="G150" s="17">
        <v>20</v>
      </c>
      <c r="H150" s="17">
        <v>7060</v>
      </c>
    </row>
    <row r="151" spans="1:8" x14ac:dyDescent="0.2">
      <c r="A151" s="11" t="s">
        <v>64</v>
      </c>
      <c r="B151" s="11" t="s">
        <v>1734</v>
      </c>
      <c r="C151" s="11" t="s">
        <v>40</v>
      </c>
      <c r="D151" s="11" t="s">
        <v>25</v>
      </c>
      <c r="E151" s="20">
        <v>43017</v>
      </c>
      <c r="F151" s="35">
        <v>0.58333333333333326</v>
      </c>
      <c r="G151" s="17">
        <v>11</v>
      </c>
      <c r="H151" s="17">
        <v>6413</v>
      </c>
    </row>
    <row r="152" spans="1:8" x14ac:dyDescent="0.2">
      <c r="A152" s="11" t="s">
        <v>32</v>
      </c>
      <c r="B152" s="11" t="s">
        <v>1735</v>
      </c>
      <c r="C152" s="11" t="s">
        <v>40</v>
      </c>
      <c r="D152" s="11" t="s">
        <v>34</v>
      </c>
      <c r="E152" s="20">
        <v>43177</v>
      </c>
      <c r="F152" s="35">
        <v>0.72569444444444442</v>
      </c>
      <c r="G152" s="17">
        <v>14</v>
      </c>
      <c r="H152" s="17">
        <v>5754</v>
      </c>
    </row>
    <row r="153" spans="1:8" x14ac:dyDescent="0.2">
      <c r="A153" s="11" t="s">
        <v>75</v>
      </c>
      <c r="B153" s="11" t="s">
        <v>1734</v>
      </c>
      <c r="C153" s="11" t="s">
        <v>24</v>
      </c>
      <c r="D153" s="11" t="s">
        <v>34</v>
      </c>
      <c r="E153" s="20">
        <v>43353</v>
      </c>
      <c r="F153" s="35">
        <v>0.60763888888888884</v>
      </c>
      <c r="G153" s="17">
        <v>7</v>
      </c>
      <c r="H153" s="17">
        <v>4571</v>
      </c>
    </row>
    <row r="154" spans="1:8" x14ac:dyDescent="0.2">
      <c r="A154" s="11" t="s">
        <v>54</v>
      </c>
      <c r="B154" s="11" t="s">
        <v>1731</v>
      </c>
      <c r="C154" s="11" t="s">
        <v>24</v>
      </c>
      <c r="D154" s="11" t="s">
        <v>41</v>
      </c>
      <c r="E154" s="20">
        <v>42853</v>
      </c>
      <c r="F154" s="35">
        <v>0.72222222222222221</v>
      </c>
      <c r="G154" s="17">
        <v>3</v>
      </c>
      <c r="H154" s="21">
        <v>1281</v>
      </c>
    </row>
    <row r="155" spans="1:8" x14ac:dyDescent="0.2">
      <c r="A155" s="11" t="s">
        <v>45</v>
      </c>
      <c r="B155" s="11" t="s">
        <v>1733</v>
      </c>
      <c r="C155" s="11" t="s">
        <v>40</v>
      </c>
      <c r="D155" s="11" t="s">
        <v>219</v>
      </c>
      <c r="E155" s="20">
        <v>43449</v>
      </c>
      <c r="F155" s="35">
        <v>0.49652777777777773</v>
      </c>
      <c r="G155" s="17">
        <v>15</v>
      </c>
      <c r="H155" s="17">
        <v>12450</v>
      </c>
    </row>
    <row r="156" spans="1:8" x14ac:dyDescent="0.2">
      <c r="A156" s="11" t="s">
        <v>64</v>
      </c>
      <c r="B156" s="11" t="s">
        <v>1731</v>
      </c>
      <c r="C156" s="11" t="s">
        <v>65</v>
      </c>
      <c r="D156" s="11" t="s">
        <v>219</v>
      </c>
      <c r="E156" s="20">
        <v>43252</v>
      </c>
      <c r="F156" s="35">
        <v>0.71527777777777779</v>
      </c>
      <c r="G156" s="17">
        <v>7</v>
      </c>
      <c r="H156" s="17">
        <v>2632</v>
      </c>
    </row>
    <row r="157" spans="1:8" x14ac:dyDescent="0.2">
      <c r="A157" s="11" t="s">
        <v>32</v>
      </c>
      <c r="B157" s="11" t="s">
        <v>1731</v>
      </c>
      <c r="C157" s="11" t="s">
        <v>65</v>
      </c>
      <c r="D157" s="11" t="s">
        <v>41</v>
      </c>
      <c r="E157" s="20">
        <v>43014</v>
      </c>
      <c r="F157" s="35">
        <v>0.69097222222222221</v>
      </c>
      <c r="G157" s="17">
        <v>9</v>
      </c>
      <c r="H157" s="17">
        <v>4725</v>
      </c>
    </row>
    <row r="158" spans="1:8" x14ac:dyDescent="0.2">
      <c r="A158" s="11" t="s">
        <v>49</v>
      </c>
      <c r="B158" s="11" t="s">
        <v>1733</v>
      </c>
      <c r="C158" s="11" t="s">
        <v>65</v>
      </c>
      <c r="D158" s="11" t="s">
        <v>25</v>
      </c>
      <c r="E158" s="20">
        <v>42909</v>
      </c>
      <c r="F158" s="35">
        <v>0.47916666666666663</v>
      </c>
      <c r="G158" s="17">
        <v>10</v>
      </c>
      <c r="H158" s="21">
        <v>15000</v>
      </c>
    </row>
    <row r="159" spans="1:8" x14ac:dyDescent="0.2">
      <c r="A159" s="11" t="s">
        <v>45</v>
      </c>
      <c r="B159" s="11" t="s">
        <v>1734</v>
      </c>
      <c r="C159" s="11" t="s">
        <v>24</v>
      </c>
      <c r="D159" s="11" t="s">
        <v>120</v>
      </c>
      <c r="E159" s="20">
        <v>43448</v>
      </c>
      <c r="F159" s="35">
        <v>0.44097222222222221</v>
      </c>
      <c r="G159" s="17">
        <v>10</v>
      </c>
      <c r="H159" s="17">
        <v>6330</v>
      </c>
    </row>
    <row r="160" spans="1:8" x14ac:dyDescent="0.2">
      <c r="A160" s="11" t="s">
        <v>64</v>
      </c>
      <c r="B160" s="11" t="s">
        <v>1735</v>
      </c>
      <c r="C160" s="11" t="s">
        <v>24</v>
      </c>
      <c r="D160" s="11" t="s">
        <v>219</v>
      </c>
      <c r="E160" s="20">
        <v>43360</v>
      </c>
      <c r="F160" s="35">
        <v>0.68055555555555547</v>
      </c>
      <c r="G160" s="17">
        <v>9</v>
      </c>
      <c r="H160" s="17">
        <v>4041</v>
      </c>
    </row>
    <row r="161" spans="1:8" x14ac:dyDescent="0.2">
      <c r="A161" s="11" t="s">
        <v>114</v>
      </c>
      <c r="B161" s="11" t="s">
        <v>1733</v>
      </c>
      <c r="C161" s="11" t="s">
        <v>65</v>
      </c>
      <c r="D161" s="11" t="s">
        <v>219</v>
      </c>
      <c r="E161" s="20">
        <v>43447</v>
      </c>
      <c r="F161" s="35">
        <v>0.47569444444444442</v>
      </c>
      <c r="G161" s="17">
        <v>8</v>
      </c>
      <c r="H161" s="17">
        <v>6864</v>
      </c>
    </row>
    <row r="162" spans="1:8" x14ac:dyDescent="0.2">
      <c r="A162" s="11" t="s">
        <v>54</v>
      </c>
      <c r="B162" s="11" t="s">
        <v>1734</v>
      </c>
      <c r="C162" s="11" t="s">
        <v>24</v>
      </c>
      <c r="D162" s="11" t="s">
        <v>34</v>
      </c>
      <c r="E162" s="20">
        <v>42961</v>
      </c>
      <c r="F162" s="35">
        <v>0.56944444444444442</v>
      </c>
      <c r="G162" s="17">
        <v>16</v>
      </c>
      <c r="H162" s="17">
        <v>12512</v>
      </c>
    </row>
    <row r="163" spans="1:8" x14ac:dyDescent="0.2">
      <c r="A163" s="11" t="s">
        <v>125</v>
      </c>
      <c r="B163" s="11" t="s">
        <v>1734</v>
      </c>
      <c r="C163" s="11" t="s">
        <v>24</v>
      </c>
      <c r="D163" s="11" t="s">
        <v>25</v>
      </c>
      <c r="E163" s="20">
        <v>43164</v>
      </c>
      <c r="F163" s="35">
        <v>0.34722222222222221</v>
      </c>
      <c r="G163" s="17">
        <v>3</v>
      </c>
      <c r="H163" s="17">
        <v>1542</v>
      </c>
    </row>
    <row r="164" spans="1:8" x14ac:dyDescent="0.2">
      <c r="A164" s="11" t="s">
        <v>23</v>
      </c>
      <c r="B164" s="11" t="s">
        <v>1732</v>
      </c>
      <c r="C164" s="11" t="s">
        <v>40</v>
      </c>
      <c r="D164" s="11" t="s">
        <v>25</v>
      </c>
      <c r="E164" s="20">
        <v>43444</v>
      </c>
      <c r="F164" s="35">
        <v>0.43055555555555552</v>
      </c>
      <c r="G164" s="17">
        <v>1</v>
      </c>
      <c r="H164" s="17">
        <v>1105</v>
      </c>
    </row>
    <row r="165" spans="1:8" x14ac:dyDescent="0.2">
      <c r="A165" s="11" t="s">
        <v>117</v>
      </c>
      <c r="B165" s="11" t="s">
        <v>1735</v>
      </c>
      <c r="C165" s="11" t="s">
        <v>24</v>
      </c>
      <c r="D165" s="11" t="s">
        <v>34</v>
      </c>
      <c r="E165" s="20">
        <v>43561</v>
      </c>
      <c r="F165" s="35">
        <v>0.71527777777777779</v>
      </c>
      <c r="G165" s="17">
        <v>8</v>
      </c>
      <c r="H165" s="17">
        <v>4824</v>
      </c>
    </row>
    <row r="166" spans="1:8" x14ac:dyDescent="0.2">
      <c r="A166" s="11" t="s">
        <v>54</v>
      </c>
      <c r="B166" s="11" t="s">
        <v>1735</v>
      </c>
      <c r="C166" s="11" t="s">
        <v>65</v>
      </c>
      <c r="D166" s="11" t="s">
        <v>120</v>
      </c>
      <c r="E166" s="20">
        <v>43444</v>
      </c>
      <c r="F166" s="35">
        <v>0.63888888888888884</v>
      </c>
      <c r="G166" s="17">
        <v>1</v>
      </c>
      <c r="H166" s="17">
        <v>669</v>
      </c>
    </row>
    <row r="167" spans="1:8" x14ac:dyDescent="0.2">
      <c r="A167" s="11" t="s">
        <v>75</v>
      </c>
      <c r="B167" s="11" t="s">
        <v>1732</v>
      </c>
      <c r="C167" s="11" t="s">
        <v>24</v>
      </c>
      <c r="D167" s="11" t="s">
        <v>25</v>
      </c>
      <c r="E167" s="20">
        <v>43566</v>
      </c>
      <c r="F167" s="35">
        <v>0.63541666666666663</v>
      </c>
      <c r="G167" s="17">
        <v>15</v>
      </c>
      <c r="H167" s="17">
        <v>10590</v>
      </c>
    </row>
    <row r="168" spans="1:8" x14ac:dyDescent="0.2">
      <c r="A168" s="11" t="s">
        <v>23</v>
      </c>
      <c r="B168" s="11" t="s">
        <v>1731</v>
      </c>
      <c r="C168" s="11" t="s">
        <v>40</v>
      </c>
      <c r="D168" s="11" t="s">
        <v>219</v>
      </c>
      <c r="E168" s="20">
        <v>43268</v>
      </c>
      <c r="F168" s="35">
        <v>0.47569444444444442</v>
      </c>
      <c r="G168" s="17">
        <v>8</v>
      </c>
      <c r="H168" s="17">
        <v>3976</v>
      </c>
    </row>
    <row r="169" spans="1:8" x14ac:dyDescent="0.2">
      <c r="A169" s="11" t="s">
        <v>125</v>
      </c>
      <c r="B169" s="11" t="s">
        <v>1733</v>
      </c>
      <c r="C169" s="11" t="s">
        <v>40</v>
      </c>
      <c r="D169" s="11" t="s">
        <v>41</v>
      </c>
      <c r="E169" s="20">
        <v>43161</v>
      </c>
      <c r="F169" s="35">
        <v>0.35069444444444442</v>
      </c>
      <c r="G169" s="17">
        <v>13</v>
      </c>
      <c r="H169" s="17">
        <v>15821</v>
      </c>
    </row>
    <row r="170" spans="1:8" x14ac:dyDescent="0.2">
      <c r="A170" s="11" t="s">
        <v>54</v>
      </c>
      <c r="B170" s="11" t="s">
        <v>1735</v>
      </c>
      <c r="C170" s="11" t="s">
        <v>24</v>
      </c>
      <c r="D170" s="11" t="s">
        <v>41</v>
      </c>
      <c r="E170" s="20">
        <v>43002</v>
      </c>
      <c r="F170" s="35">
        <v>0.41666666666666663</v>
      </c>
      <c r="G170" s="17">
        <v>9</v>
      </c>
      <c r="H170" s="17">
        <v>3438</v>
      </c>
    </row>
    <row r="171" spans="1:8" x14ac:dyDescent="0.2">
      <c r="A171" s="11" t="s">
        <v>49</v>
      </c>
      <c r="B171" s="11" t="s">
        <v>1731</v>
      </c>
      <c r="C171" s="11" t="s">
        <v>24</v>
      </c>
      <c r="D171" s="11" t="s">
        <v>25</v>
      </c>
      <c r="E171" s="20">
        <v>43442</v>
      </c>
      <c r="F171" s="35">
        <v>0.33680555555555552</v>
      </c>
      <c r="G171" s="17">
        <v>2</v>
      </c>
      <c r="H171" s="17">
        <v>938</v>
      </c>
    </row>
    <row r="172" spans="1:8" x14ac:dyDescent="0.2">
      <c r="A172" s="11" t="s">
        <v>45</v>
      </c>
      <c r="B172" s="11" t="s">
        <v>1734</v>
      </c>
      <c r="C172" s="11" t="s">
        <v>65</v>
      </c>
      <c r="D172" s="11" t="s">
        <v>120</v>
      </c>
      <c r="E172" s="20">
        <v>43175</v>
      </c>
      <c r="F172" s="35">
        <v>0.41666666666666663</v>
      </c>
      <c r="G172" s="17">
        <v>14</v>
      </c>
      <c r="H172" s="17">
        <v>12264</v>
      </c>
    </row>
    <row r="173" spans="1:8" x14ac:dyDescent="0.2">
      <c r="A173" s="11" t="s">
        <v>45</v>
      </c>
      <c r="B173" s="11" t="s">
        <v>1735</v>
      </c>
      <c r="C173" s="11" t="s">
        <v>33</v>
      </c>
      <c r="D173" s="11" t="s">
        <v>120</v>
      </c>
      <c r="E173" s="20">
        <v>43238</v>
      </c>
      <c r="F173" s="35">
        <v>0.61458333333333326</v>
      </c>
      <c r="G173" s="17">
        <v>15</v>
      </c>
      <c r="H173" s="17">
        <v>13020</v>
      </c>
    </row>
    <row r="174" spans="1:8" x14ac:dyDescent="0.2">
      <c r="A174" s="11" t="s">
        <v>125</v>
      </c>
      <c r="B174" s="11" t="s">
        <v>1735</v>
      </c>
      <c r="C174" s="11" t="s">
        <v>24</v>
      </c>
      <c r="D174" s="11" t="s">
        <v>34</v>
      </c>
      <c r="E174" s="20">
        <v>42986</v>
      </c>
      <c r="F174" s="35">
        <v>0.43402777777777773</v>
      </c>
      <c r="G174" s="17">
        <v>18</v>
      </c>
      <c r="H174" s="17">
        <v>11214</v>
      </c>
    </row>
    <row r="175" spans="1:8" x14ac:dyDescent="0.2">
      <c r="A175" s="11" t="s">
        <v>64</v>
      </c>
      <c r="B175" s="11" t="s">
        <v>1733</v>
      </c>
      <c r="C175" s="11" t="s">
        <v>65</v>
      </c>
      <c r="D175" s="11" t="s">
        <v>41</v>
      </c>
      <c r="E175" s="20">
        <v>43442</v>
      </c>
      <c r="F175" s="35">
        <v>0.70138888888888884</v>
      </c>
      <c r="G175" s="17">
        <v>13</v>
      </c>
      <c r="H175" s="17">
        <v>14079</v>
      </c>
    </row>
    <row r="176" spans="1:8" x14ac:dyDescent="0.2">
      <c r="A176" s="11" t="s">
        <v>64</v>
      </c>
      <c r="B176" s="11" t="s">
        <v>1732</v>
      </c>
      <c r="C176" s="11" t="s">
        <v>24</v>
      </c>
      <c r="D176" s="11" t="s">
        <v>34</v>
      </c>
      <c r="E176" s="20">
        <v>43174</v>
      </c>
      <c r="F176" s="35">
        <v>0.56944444444444442</v>
      </c>
      <c r="G176" s="17">
        <v>8</v>
      </c>
      <c r="H176" s="17">
        <v>9192</v>
      </c>
    </row>
    <row r="177" spans="1:8" x14ac:dyDescent="0.2">
      <c r="A177" s="11" t="s">
        <v>64</v>
      </c>
      <c r="B177" s="11" t="s">
        <v>1733</v>
      </c>
      <c r="C177" s="11" t="s">
        <v>33</v>
      </c>
      <c r="D177" s="11" t="s">
        <v>41</v>
      </c>
      <c r="E177" s="20">
        <v>43126</v>
      </c>
      <c r="F177" s="35">
        <v>0.59027777777777779</v>
      </c>
      <c r="G177" s="17">
        <v>4</v>
      </c>
      <c r="H177" s="17">
        <v>5128</v>
      </c>
    </row>
    <row r="178" spans="1:8" x14ac:dyDescent="0.2">
      <c r="A178" s="11" t="s">
        <v>64</v>
      </c>
      <c r="B178" s="11" t="s">
        <v>1735</v>
      </c>
      <c r="C178" s="11" t="s">
        <v>65</v>
      </c>
      <c r="D178" s="11" t="s">
        <v>41</v>
      </c>
      <c r="E178" s="20">
        <v>43196</v>
      </c>
      <c r="F178" s="35">
        <v>0.3611111111111111</v>
      </c>
      <c r="G178" s="17">
        <v>9</v>
      </c>
      <c r="H178" s="17">
        <v>2790</v>
      </c>
    </row>
    <row r="179" spans="1:8" x14ac:dyDescent="0.2">
      <c r="A179" s="11" t="s">
        <v>49</v>
      </c>
      <c r="B179" s="11" t="s">
        <v>1731</v>
      </c>
      <c r="C179" s="11" t="s">
        <v>40</v>
      </c>
      <c r="D179" s="11" t="s">
        <v>25</v>
      </c>
      <c r="E179" s="20">
        <v>42985</v>
      </c>
      <c r="F179" s="35">
        <v>0.49305555555555552</v>
      </c>
      <c r="G179" s="17">
        <v>11</v>
      </c>
      <c r="H179" s="17">
        <v>4565</v>
      </c>
    </row>
    <row r="180" spans="1:8" x14ac:dyDescent="0.2">
      <c r="A180" s="11" t="s">
        <v>64</v>
      </c>
      <c r="B180" s="11" t="s">
        <v>1734</v>
      </c>
      <c r="C180" s="11" t="s">
        <v>65</v>
      </c>
      <c r="D180" s="11" t="s">
        <v>34</v>
      </c>
      <c r="E180" s="20">
        <v>42896</v>
      </c>
      <c r="F180" s="35">
        <v>0.48263888888888884</v>
      </c>
      <c r="G180" s="17">
        <v>18</v>
      </c>
      <c r="H180" s="17">
        <v>12438</v>
      </c>
    </row>
    <row r="181" spans="1:8" x14ac:dyDescent="0.2">
      <c r="A181" s="11" t="s">
        <v>54</v>
      </c>
      <c r="B181" s="11" t="s">
        <v>1732</v>
      </c>
      <c r="C181" s="11" t="s">
        <v>65</v>
      </c>
      <c r="D181" s="11" t="s">
        <v>219</v>
      </c>
      <c r="E181" s="20">
        <v>43441</v>
      </c>
      <c r="F181" s="35">
        <v>0.65972222222222221</v>
      </c>
      <c r="G181" s="17">
        <v>1</v>
      </c>
      <c r="H181" s="17">
        <v>1284</v>
      </c>
    </row>
    <row r="182" spans="1:8" x14ac:dyDescent="0.2">
      <c r="A182" s="11" t="s">
        <v>78</v>
      </c>
      <c r="B182" s="11" t="s">
        <v>1731</v>
      </c>
      <c r="C182" s="11" t="s">
        <v>33</v>
      </c>
      <c r="D182" s="11" t="s">
        <v>219</v>
      </c>
      <c r="E182" s="20">
        <v>43532</v>
      </c>
      <c r="F182" s="35">
        <v>0.4236111111111111</v>
      </c>
      <c r="G182" s="17">
        <v>8</v>
      </c>
      <c r="H182" s="17">
        <v>2872</v>
      </c>
    </row>
    <row r="183" spans="1:8" x14ac:dyDescent="0.2">
      <c r="A183" s="11" t="s">
        <v>114</v>
      </c>
      <c r="B183" s="11" t="s">
        <v>1734</v>
      </c>
      <c r="C183" s="11" t="s">
        <v>24</v>
      </c>
      <c r="D183" s="11" t="s">
        <v>25</v>
      </c>
      <c r="E183" s="20">
        <v>43441</v>
      </c>
      <c r="F183" s="35">
        <v>0.71527777777777779</v>
      </c>
      <c r="G183" s="17">
        <v>13</v>
      </c>
      <c r="H183" s="17">
        <v>7345</v>
      </c>
    </row>
    <row r="184" spans="1:8" x14ac:dyDescent="0.2">
      <c r="A184" s="11" t="s">
        <v>23</v>
      </c>
      <c r="B184" s="11" t="s">
        <v>1733</v>
      </c>
      <c r="C184" s="11" t="s">
        <v>40</v>
      </c>
      <c r="D184" s="11" t="s">
        <v>41</v>
      </c>
      <c r="E184" s="20">
        <v>43388</v>
      </c>
      <c r="F184" s="35">
        <v>0.71180555555555547</v>
      </c>
      <c r="G184" s="17">
        <v>6</v>
      </c>
      <c r="H184" s="17">
        <v>6456</v>
      </c>
    </row>
    <row r="185" spans="1:8" x14ac:dyDescent="0.2">
      <c r="A185" s="11" t="s">
        <v>78</v>
      </c>
      <c r="B185" s="11" t="s">
        <v>1734</v>
      </c>
      <c r="C185" s="11" t="s">
        <v>24</v>
      </c>
      <c r="D185" s="11" t="s">
        <v>41</v>
      </c>
      <c r="E185" s="20">
        <v>43148</v>
      </c>
      <c r="F185" s="35">
        <v>0.61458333333333326</v>
      </c>
      <c r="G185" s="17">
        <v>9</v>
      </c>
      <c r="H185" s="17">
        <v>4194</v>
      </c>
    </row>
    <row r="186" spans="1:8" x14ac:dyDescent="0.2">
      <c r="A186" s="11" t="s">
        <v>64</v>
      </c>
      <c r="B186" s="11" t="s">
        <v>1731</v>
      </c>
      <c r="C186" s="11" t="s">
        <v>65</v>
      </c>
      <c r="D186" s="11" t="s">
        <v>34</v>
      </c>
      <c r="E186" s="20">
        <v>43209</v>
      </c>
      <c r="F186" s="35">
        <v>0.44444444444444442</v>
      </c>
      <c r="G186" s="17">
        <v>9</v>
      </c>
      <c r="H186" s="17">
        <v>5238</v>
      </c>
    </row>
    <row r="187" spans="1:8" x14ac:dyDescent="0.2">
      <c r="A187" s="11" t="s">
        <v>32</v>
      </c>
      <c r="B187" s="11" t="s">
        <v>1734</v>
      </c>
      <c r="C187" s="11" t="s">
        <v>65</v>
      </c>
      <c r="D187" s="11" t="s">
        <v>219</v>
      </c>
      <c r="E187" s="20">
        <v>43174</v>
      </c>
      <c r="F187" s="35">
        <v>0.43055555555555552</v>
      </c>
      <c r="G187" s="17">
        <v>2</v>
      </c>
      <c r="H187" s="17">
        <v>1350</v>
      </c>
    </row>
    <row r="188" spans="1:8" x14ac:dyDescent="0.2">
      <c r="A188" s="11" t="s">
        <v>49</v>
      </c>
      <c r="B188" s="11" t="s">
        <v>1735</v>
      </c>
      <c r="C188" s="11" t="s">
        <v>33</v>
      </c>
      <c r="D188" s="11" t="s">
        <v>120</v>
      </c>
      <c r="E188" s="20">
        <v>43380</v>
      </c>
      <c r="F188" s="35">
        <v>0.57638888888888884</v>
      </c>
      <c r="G188" s="17">
        <v>1</v>
      </c>
      <c r="H188" s="17">
        <v>816</v>
      </c>
    </row>
    <row r="189" spans="1:8" x14ac:dyDescent="0.2">
      <c r="A189" s="11" t="s">
        <v>32</v>
      </c>
      <c r="B189" s="11" t="s">
        <v>1734</v>
      </c>
      <c r="C189" s="11" t="s">
        <v>24</v>
      </c>
      <c r="D189" s="11" t="s">
        <v>120</v>
      </c>
      <c r="E189" s="20">
        <v>43540</v>
      </c>
      <c r="F189" s="35">
        <v>0.58333333333333326</v>
      </c>
      <c r="G189" s="17">
        <v>6</v>
      </c>
      <c r="H189" s="17">
        <v>4824</v>
      </c>
    </row>
    <row r="190" spans="1:8" x14ac:dyDescent="0.2">
      <c r="A190" s="11" t="s">
        <v>45</v>
      </c>
      <c r="B190" s="11" t="s">
        <v>1733</v>
      </c>
      <c r="C190" s="11" t="s">
        <v>65</v>
      </c>
      <c r="D190" s="11" t="s">
        <v>25</v>
      </c>
      <c r="E190" s="20">
        <v>43441</v>
      </c>
      <c r="F190" s="35">
        <v>0.65625</v>
      </c>
      <c r="G190" s="17">
        <v>7</v>
      </c>
      <c r="H190" s="17">
        <v>3857</v>
      </c>
    </row>
    <row r="191" spans="1:8" x14ac:dyDescent="0.2">
      <c r="A191" s="11" t="s">
        <v>54</v>
      </c>
      <c r="B191" s="11" t="s">
        <v>1733</v>
      </c>
      <c r="C191" s="11" t="s">
        <v>65</v>
      </c>
      <c r="D191" s="11" t="s">
        <v>219</v>
      </c>
      <c r="E191" s="20">
        <v>43209</v>
      </c>
      <c r="F191" s="35">
        <v>0.46875</v>
      </c>
      <c r="G191" s="17">
        <v>5</v>
      </c>
      <c r="H191" s="17">
        <v>4090</v>
      </c>
    </row>
    <row r="192" spans="1:8" x14ac:dyDescent="0.2">
      <c r="A192" s="11" t="s">
        <v>45</v>
      </c>
      <c r="B192" s="11" t="s">
        <v>1733</v>
      </c>
      <c r="C192" s="11" t="s">
        <v>65</v>
      </c>
      <c r="D192" s="11" t="s">
        <v>120</v>
      </c>
      <c r="E192" s="20">
        <v>43197</v>
      </c>
      <c r="F192" s="35">
        <v>0.43402777777777773</v>
      </c>
      <c r="G192" s="17">
        <v>4</v>
      </c>
      <c r="H192" s="17">
        <v>5300</v>
      </c>
    </row>
    <row r="193" spans="1:8" x14ac:dyDescent="0.2">
      <c r="A193" s="11" t="s">
        <v>54</v>
      </c>
      <c r="B193" s="11" t="s">
        <v>1732</v>
      </c>
      <c r="C193" s="11" t="s">
        <v>40</v>
      </c>
      <c r="D193" s="11" t="s">
        <v>41</v>
      </c>
      <c r="E193" s="20">
        <v>43437</v>
      </c>
      <c r="F193" s="35">
        <v>0.48263888888888884</v>
      </c>
      <c r="G193" s="17">
        <v>9</v>
      </c>
      <c r="H193" s="17">
        <v>12627</v>
      </c>
    </row>
    <row r="194" spans="1:8" x14ac:dyDescent="0.2">
      <c r="A194" s="11" t="s">
        <v>117</v>
      </c>
      <c r="B194" s="11" t="s">
        <v>1732</v>
      </c>
      <c r="C194" s="11" t="s">
        <v>65</v>
      </c>
      <c r="D194" s="11" t="s">
        <v>120</v>
      </c>
      <c r="E194" s="20">
        <v>43568</v>
      </c>
      <c r="F194" s="35">
        <v>0.57291666666666663</v>
      </c>
      <c r="G194" s="17">
        <v>12</v>
      </c>
      <c r="H194" s="17">
        <v>9084</v>
      </c>
    </row>
    <row r="195" spans="1:8" x14ac:dyDescent="0.2">
      <c r="A195" s="11" t="s">
        <v>117</v>
      </c>
      <c r="B195" s="11" t="s">
        <v>1732</v>
      </c>
      <c r="C195" s="11" t="s">
        <v>65</v>
      </c>
      <c r="D195" s="11" t="s">
        <v>219</v>
      </c>
      <c r="E195" s="20">
        <v>43437</v>
      </c>
      <c r="F195" s="35">
        <v>0.57986111111111105</v>
      </c>
      <c r="G195" s="17">
        <v>15</v>
      </c>
      <c r="H195" s="17">
        <v>15045</v>
      </c>
    </row>
    <row r="196" spans="1:8" x14ac:dyDescent="0.2">
      <c r="A196" s="11" t="s">
        <v>49</v>
      </c>
      <c r="B196" s="11" t="s">
        <v>1732</v>
      </c>
      <c r="C196" s="11" t="s">
        <v>33</v>
      </c>
      <c r="D196" s="11" t="s">
        <v>41</v>
      </c>
      <c r="E196" s="20">
        <v>42888</v>
      </c>
      <c r="F196" s="35">
        <v>0.38194444444444442</v>
      </c>
      <c r="G196" s="17">
        <v>6</v>
      </c>
      <c r="H196" s="21">
        <v>6480</v>
      </c>
    </row>
    <row r="197" spans="1:8" x14ac:dyDescent="0.2">
      <c r="A197" s="11" t="s">
        <v>32</v>
      </c>
      <c r="B197" s="11" t="s">
        <v>1734</v>
      </c>
      <c r="C197" s="11" t="s">
        <v>24</v>
      </c>
      <c r="D197" s="11" t="s">
        <v>120</v>
      </c>
      <c r="E197" s="20">
        <v>42975</v>
      </c>
      <c r="F197" s="35">
        <v>0.33680555555555552</v>
      </c>
      <c r="G197" s="17">
        <v>6</v>
      </c>
      <c r="H197" s="17">
        <v>3192</v>
      </c>
    </row>
    <row r="198" spans="1:8" x14ac:dyDescent="0.2">
      <c r="A198" s="11" t="s">
        <v>89</v>
      </c>
      <c r="B198" s="11" t="s">
        <v>1731</v>
      </c>
      <c r="C198" s="11" t="s">
        <v>65</v>
      </c>
      <c r="D198" s="11" t="s">
        <v>41</v>
      </c>
      <c r="E198" s="20">
        <v>43356</v>
      </c>
      <c r="F198" s="35">
        <v>0.6875</v>
      </c>
      <c r="G198" s="17">
        <v>12</v>
      </c>
      <c r="H198" s="17">
        <v>4932</v>
      </c>
    </row>
    <row r="199" spans="1:8" x14ac:dyDescent="0.2">
      <c r="A199" s="11" t="s">
        <v>45</v>
      </c>
      <c r="B199" s="11" t="s">
        <v>1731</v>
      </c>
      <c r="C199" s="11" t="s">
        <v>40</v>
      </c>
      <c r="D199" s="11" t="s">
        <v>34</v>
      </c>
      <c r="E199" s="20">
        <v>42999</v>
      </c>
      <c r="F199" s="35">
        <v>0.60069444444444442</v>
      </c>
      <c r="G199" s="17">
        <v>14</v>
      </c>
      <c r="H199" s="17">
        <v>8092</v>
      </c>
    </row>
    <row r="200" spans="1:8" x14ac:dyDescent="0.2">
      <c r="A200" s="11" t="s">
        <v>64</v>
      </c>
      <c r="B200" s="11" t="s">
        <v>1734</v>
      </c>
      <c r="C200" s="11" t="s">
        <v>40</v>
      </c>
      <c r="D200" s="11" t="s">
        <v>34</v>
      </c>
      <c r="E200" s="20">
        <v>43015</v>
      </c>
      <c r="F200" s="35">
        <v>0.61458333333333326</v>
      </c>
      <c r="G200" s="17">
        <v>19</v>
      </c>
      <c r="H200" s="17">
        <v>8189</v>
      </c>
    </row>
    <row r="201" spans="1:8" x14ac:dyDescent="0.2">
      <c r="A201" s="11" t="s">
        <v>54</v>
      </c>
      <c r="B201" s="11" t="s">
        <v>1732</v>
      </c>
      <c r="C201" s="11" t="s">
        <v>33</v>
      </c>
      <c r="D201" s="11" t="s">
        <v>219</v>
      </c>
      <c r="E201" s="20">
        <v>43140</v>
      </c>
      <c r="F201" s="35">
        <v>0.64236111111111105</v>
      </c>
      <c r="G201" s="17">
        <v>2</v>
      </c>
      <c r="H201" s="17">
        <v>3370</v>
      </c>
    </row>
    <row r="202" spans="1:8" x14ac:dyDescent="0.2">
      <c r="A202" s="11" t="s">
        <v>49</v>
      </c>
      <c r="B202" s="11" t="s">
        <v>1734</v>
      </c>
      <c r="C202" s="11" t="s">
        <v>33</v>
      </c>
      <c r="D202" s="11" t="s">
        <v>25</v>
      </c>
      <c r="E202" s="20">
        <v>43511</v>
      </c>
      <c r="F202" s="35">
        <v>0.5</v>
      </c>
      <c r="G202" s="17">
        <v>5</v>
      </c>
      <c r="H202" s="17">
        <v>2530</v>
      </c>
    </row>
    <row r="203" spans="1:8" x14ac:dyDescent="0.2">
      <c r="A203" s="11" t="s">
        <v>125</v>
      </c>
      <c r="B203" s="11" t="s">
        <v>1732</v>
      </c>
      <c r="C203" s="11" t="s">
        <v>65</v>
      </c>
      <c r="D203" s="11" t="s">
        <v>120</v>
      </c>
      <c r="E203" s="20">
        <v>43437</v>
      </c>
      <c r="F203" s="35">
        <v>0.51041666666666663</v>
      </c>
      <c r="G203" s="17">
        <v>8</v>
      </c>
      <c r="H203" s="17">
        <v>6264</v>
      </c>
    </row>
    <row r="204" spans="1:8" x14ac:dyDescent="0.2">
      <c r="A204" s="11" t="s">
        <v>125</v>
      </c>
      <c r="B204" s="11" t="s">
        <v>1734</v>
      </c>
      <c r="C204" s="11" t="s">
        <v>33</v>
      </c>
      <c r="D204" s="11" t="s">
        <v>41</v>
      </c>
      <c r="E204" s="20">
        <v>42904</v>
      </c>
      <c r="F204" s="35">
        <v>0.56597222222222221</v>
      </c>
      <c r="G204" s="17">
        <v>9</v>
      </c>
      <c r="H204" s="21">
        <v>5814</v>
      </c>
    </row>
    <row r="205" spans="1:8" x14ac:dyDescent="0.2">
      <c r="A205" s="11" t="s">
        <v>49</v>
      </c>
      <c r="B205" s="11" t="s">
        <v>1732</v>
      </c>
      <c r="C205" s="11" t="s">
        <v>65</v>
      </c>
      <c r="D205" s="11" t="s">
        <v>41</v>
      </c>
      <c r="E205" s="20">
        <v>43260</v>
      </c>
      <c r="F205" s="35">
        <v>0.57986111111111105</v>
      </c>
      <c r="G205" s="17">
        <v>7</v>
      </c>
      <c r="H205" s="17">
        <v>4473</v>
      </c>
    </row>
    <row r="206" spans="1:8" x14ac:dyDescent="0.2">
      <c r="A206" s="11" t="s">
        <v>64</v>
      </c>
      <c r="B206" s="11" t="s">
        <v>1735</v>
      </c>
      <c r="C206" s="11" t="s">
        <v>40</v>
      </c>
      <c r="D206" s="11" t="s">
        <v>25</v>
      </c>
      <c r="E206" s="20">
        <v>43437</v>
      </c>
      <c r="F206" s="35">
        <v>0.37152777777777773</v>
      </c>
      <c r="G206" s="17">
        <v>3</v>
      </c>
      <c r="H206" s="17">
        <v>1401</v>
      </c>
    </row>
    <row r="207" spans="1:8" x14ac:dyDescent="0.2">
      <c r="A207" s="11" t="s">
        <v>54</v>
      </c>
      <c r="B207" s="11" t="s">
        <v>1731</v>
      </c>
      <c r="C207" s="11" t="s">
        <v>33</v>
      </c>
      <c r="D207" s="11" t="s">
        <v>34</v>
      </c>
      <c r="E207" s="20">
        <v>43258</v>
      </c>
      <c r="F207" s="35">
        <v>0.59375</v>
      </c>
      <c r="G207" s="17">
        <v>14</v>
      </c>
      <c r="H207" s="17">
        <v>6230</v>
      </c>
    </row>
    <row r="208" spans="1:8" x14ac:dyDescent="0.2">
      <c r="A208" s="11" t="s">
        <v>78</v>
      </c>
      <c r="B208" s="11" t="s">
        <v>1732</v>
      </c>
      <c r="C208" s="11" t="s">
        <v>65</v>
      </c>
      <c r="D208" s="11" t="s">
        <v>120</v>
      </c>
      <c r="E208" s="20">
        <v>43310</v>
      </c>
      <c r="F208" s="35">
        <v>0.66319444444444442</v>
      </c>
      <c r="G208" s="17">
        <v>6</v>
      </c>
      <c r="H208" s="17">
        <v>10890</v>
      </c>
    </row>
    <row r="209" spans="1:8" x14ac:dyDescent="0.2">
      <c r="A209" s="11" t="s">
        <v>23</v>
      </c>
      <c r="B209" s="11" t="s">
        <v>1733</v>
      </c>
      <c r="C209" s="11" t="s">
        <v>65</v>
      </c>
      <c r="D209" s="11" t="s">
        <v>219</v>
      </c>
      <c r="E209" s="20">
        <v>43437</v>
      </c>
      <c r="F209" s="35">
        <v>0.38888888888888884</v>
      </c>
      <c r="G209" s="17">
        <v>8</v>
      </c>
      <c r="H209" s="17">
        <v>6080</v>
      </c>
    </row>
    <row r="210" spans="1:8" x14ac:dyDescent="0.2">
      <c r="A210" s="11" t="s">
        <v>23</v>
      </c>
      <c r="B210" s="11" t="s">
        <v>1735</v>
      </c>
      <c r="C210" s="11" t="s">
        <v>24</v>
      </c>
      <c r="D210" s="11" t="s">
        <v>41</v>
      </c>
      <c r="E210" s="20">
        <v>43265</v>
      </c>
      <c r="F210" s="35">
        <v>0.40625</v>
      </c>
      <c r="G210" s="17">
        <v>11</v>
      </c>
      <c r="H210" s="17">
        <v>4609</v>
      </c>
    </row>
    <row r="211" spans="1:8" x14ac:dyDescent="0.2">
      <c r="A211" s="11" t="s">
        <v>64</v>
      </c>
      <c r="B211" s="11" t="s">
        <v>1732</v>
      </c>
      <c r="C211" s="11" t="s">
        <v>24</v>
      </c>
      <c r="D211" s="11" t="s">
        <v>219</v>
      </c>
      <c r="E211" s="20">
        <v>43568</v>
      </c>
      <c r="F211" s="35">
        <v>0.47569444444444442</v>
      </c>
      <c r="G211" s="17">
        <v>15</v>
      </c>
      <c r="H211" s="17">
        <v>8055</v>
      </c>
    </row>
    <row r="212" spans="1:8" x14ac:dyDescent="0.2">
      <c r="A212" s="11" t="s">
        <v>89</v>
      </c>
      <c r="B212" s="11" t="s">
        <v>1731</v>
      </c>
      <c r="C212" s="11" t="s">
        <v>24</v>
      </c>
      <c r="D212" s="11" t="s">
        <v>120</v>
      </c>
      <c r="E212" s="20">
        <v>43161</v>
      </c>
      <c r="F212" s="35">
        <v>0.46180555555555552</v>
      </c>
      <c r="G212" s="17">
        <v>1</v>
      </c>
      <c r="H212" s="17">
        <v>461</v>
      </c>
    </row>
    <row r="213" spans="1:8" x14ac:dyDescent="0.2">
      <c r="A213" s="11" t="s">
        <v>23</v>
      </c>
      <c r="B213" s="11" t="s">
        <v>1734</v>
      </c>
      <c r="C213" s="11" t="s">
        <v>24</v>
      </c>
      <c r="D213" s="11" t="s">
        <v>34</v>
      </c>
      <c r="E213" s="20">
        <v>43437</v>
      </c>
      <c r="F213" s="35">
        <v>0.38541666666666663</v>
      </c>
      <c r="G213" s="17">
        <v>16</v>
      </c>
      <c r="H213" s="17">
        <v>9360</v>
      </c>
    </row>
    <row r="214" spans="1:8" x14ac:dyDescent="0.2">
      <c r="A214" s="11" t="s">
        <v>32</v>
      </c>
      <c r="B214" s="11" t="s">
        <v>1734</v>
      </c>
      <c r="C214" s="11" t="s">
        <v>65</v>
      </c>
      <c r="D214" s="11" t="s">
        <v>41</v>
      </c>
      <c r="E214" s="20">
        <v>43555</v>
      </c>
      <c r="F214" s="35">
        <v>0.64930555555555547</v>
      </c>
      <c r="G214" s="17">
        <v>14</v>
      </c>
      <c r="H214" s="17">
        <v>8540</v>
      </c>
    </row>
    <row r="215" spans="1:8" x14ac:dyDescent="0.2">
      <c r="A215" s="11" t="s">
        <v>32</v>
      </c>
      <c r="B215" s="11" t="s">
        <v>1735</v>
      </c>
      <c r="C215" s="11" t="s">
        <v>65</v>
      </c>
      <c r="D215" s="11" t="s">
        <v>219</v>
      </c>
      <c r="E215" s="20">
        <v>43146</v>
      </c>
      <c r="F215" s="35">
        <v>0.35069444444444442</v>
      </c>
      <c r="G215" s="17">
        <v>5</v>
      </c>
      <c r="H215" s="17">
        <v>3555</v>
      </c>
    </row>
    <row r="216" spans="1:8" x14ac:dyDescent="0.2">
      <c r="A216" s="11" t="s">
        <v>23</v>
      </c>
      <c r="B216" s="11" t="s">
        <v>1731</v>
      </c>
      <c r="C216" s="11" t="s">
        <v>33</v>
      </c>
      <c r="D216" s="11" t="s">
        <v>219</v>
      </c>
      <c r="E216" s="20">
        <v>43437</v>
      </c>
      <c r="F216" s="35">
        <v>0.46527777777777773</v>
      </c>
      <c r="G216" s="17">
        <v>5</v>
      </c>
      <c r="H216" s="17">
        <v>2705</v>
      </c>
    </row>
    <row r="217" spans="1:8" x14ac:dyDescent="0.2">
      <c r="A217" s="11" t="s">
        <v>45</v>
      </c>
      <c r="B217" s="11" t="s">
        <v>1734</v>
      </c>
      <c r="C217" s="11" t="s">
        <v>65</v>
      </c>
      <c r="D217" s="11" t="s">
        <v>34</v>
      </c>
      <c r="E217" s="20">
        <v>43541</v>
      </c>
      <c r="F217" s="35">
        <v>0.67361111111111105</v>
      </c>
      <c r="G217" s="17">
        <v>18</v>
      </c>
      <c r="H217" s="17">
        <v>8046</v>
      </c>
    </row>
    <row r="218" spans="1:8" x14ac:dyDescent="0.2">
      <c r="A218" s="11" t="s">
        <v>23</v>
      </c>
      <c r="B218" s="11" t="s">
        <v>1731</v>
      </c>
      <c r="C218" s="11" t="s">
        <v>40</v>
      </c>
      <c r="D218" s="11" t="s">
        <v>25</v>
      </c>
      <c r="E218" s="20">
        <v>43574</v>
      </c>
      <c r="F218" s="35">
        <v>0.51041666666666663</v>
      </c>
      <c r="G218" s="17">
        <v>8</v>
      </c>
      <c r="H218" s="17">
        <v>2640</v>
      </c>
    </row>
    <row r="219" spans="1:8" x14ac:dyDescent="0.2">
      <c r="A219" s="11" t="s">
        <v>54</v>
      </c>
      <c r="B219" s="11" t="s">
        <v>1731</v>
      </c>
      <c r="C219" s="11" t="s">
        <v>33</v>
      </c>
      <c r="D219" s="11" t="s">
        <v>219</v>
      </c>
      <c r="E219" s="20">
        <v>43492</v>
      </c>
      <c r="F219" s="35">
        <v>0.53819444444444442</v>
      </c>
      <c r="G219" s="17">
        <v>12</v>
      </c>
      <c r="H219" s="17">
        <v>5592</v>
      </c>
    </row>
    <row r="220" spans="1:8" x14ac:dyDescent="0.2">
      <c r="A220" s="11" t="s">
        <v>64</v>
      </c>
      <c r="B220" s="11" t="s">
        <v>1732</v>
      </c>
      <c r="C220" s="11" t="s">
        <v>40</v>
      </c>
      <c r="D220" s="11" t="s">
        <v>25</v>
      </c>
      <c r="E220" s="20">
        <v>43181</v>
      </c>
      <c r="F220" s="35">
        <v>0.71875</v>
      </c>
      <c r="G220" s="17">
        <v>14</v>
      </c>
      <c r="H220" s="17">
        <v>11676</v>
      </c>
    </row>
    <row r="221" spans="1:8" x14ac:dyDescent="0.2">
      <c r="A221" s="11" t="s">
        <v>54</v>
      </c>
      <c r="B221" s="11" t="s">
        <v>1731</v>
      </c>
      <c r="C221" s="11" t="s">
        <v>65</v>
      </c>
      <c r="D221" s="11" t="s">
        <v>120</v>
      </c>
      <c r="E221" s="20">
        <v>43147</v>
      </c>
      <c r="F221" s="35">
        <v>0.72222222222222221</v>
      </c>
      <c r="G221" s="17">
        <v>12</v>
      </c>
      <c r="H221" s="17">
        <v>4764</v>
      </c>
    </row>
    <row r="222" spans="1:8" x14ac:dyDescent="0.2">
      <c r="A222" s="11" t="s">
        <v>64</v>
      </c>
      <c r="B222" s="11" t="s">
        <v>1732</v>
      </c>
      <c r="C222" s="11" t="s">
        <v>24</v>
      </c>
      <c r="D222" s="11" t="s">
        <v>41</v>
      </c>
      <c r="E222" s="20">
        <v>43143</v>
      </c>
      <c r="F222" s="35">
        <v>0.71875</v>
      </c>
      <c r="G222" s="17">
        <v>4</v>
      </c>
      <c r="H222" s="17">
        <v>6728</v>
      </c>
    </row>
    <row r="223" spans="1:8" x14ac:dyDescent="0.2">
      <c r="A223" s="11" t="s">
        <v>89</v>
      </c>
      <c r="B223" s="11" t="s">
        <v>1734</v>
      </c>
      <c r="C223" s="11" t="s">
        <v>24</v>
      </c>
      <c r="D223" s="11" t="s">
        <v>25</v>
      </c>
      <c r="E223" s="20">
        <v>43238</v>
      </c>
      <c r="F223" s="35">
        <v>0.72916666666666663</v>
      </c>
      <c r="G223" s="17">
        <v>11</v>
      </c>
      <c r="H223" s="17">
        <v>6413</v>
      </c>
    </row>
    <row r="224" spans="1:8" x14ac:dyDescent="0.2">
      <c r="A224" s="11" t="s">
        <v>117</v>
      </c>
      <c r="B224" s="11" t="s">
        <v>1731</v>
      </c>
      <c r="C224" s="11" t="s">
        <v>24</v>
      </c>
      <c r="D224" s="11" t="s">
        <v>25</v>
      </c>
      <c r="E224" s="20">
        <v>42859</v>
      </c>
      <c r="F224" s="35">
        <v>0.47916666666666663</v>
      </c>
      <c r="G224" s="17">
        <v>10</v>
      </c>
      <c r="H224" s="21">
        <v>5720</v>
      </c>
    </row>
    <row r="225" spans="1:8" x14ac:dyDescent="0.2">
      <c r="A225" s="11" t="s">
        <v>49</v>
      </c>
      <c r="B225" s="11" t="s">
        <v>1731</v>
      </c>
      <c r="C225" s="11" t="s">
        <v>33</v>
      </c>
      <c r="D225" s="11" t="s">
        <v>41</v>
      </c>
      <c r="E225" s="20">
        <v>42908</v>
      </c>
      <c r="F225" s="35">
        <v>0.67361111111111105</v>
      </c>
      <c r="G225" s="17">
        <v>4</v>
      </c>
      <c r="H225" s="21">
        <v>2632</v>
      </c>
    </row>
    <row r="226" spans="1:8" x14ac:dyDescent="0.2">
      <c r="A226" s="11" t="s">
        <v>45</v>
      </c>
      <c r="B226" s="11" t="s">
        <v>1735</v>
      </c>
      <c r="C226" s="11" t="s">
        <v>33</v>
      </c>
      <c r="D226" s="11" t="s">
        <v>219</v>
      </c>
      <c r="E226" s="20">
        <v>43435</v>
      </c>
      <c r="F226" s="35">
        <v>0.42013888888888884</v>
      </c>
      <c r="G226" s="17">
        <v>7</v>
      </c>
      <c r="H226" s="17">
        <v>4277</v>
      </c>
    </row>
    <row r="227" spans="1:8" x14ac:dyDescent="0.2">
      <c r="A227" s="11" t="s">
        <v>54</v>
      </c>
      <c r="B227" s="11" t="s">
        <v>1735</v>
      </c>
      <c r="C227" s="11" t="s">
        <v>40</v>
      </c>
      <c r="D227" s="11" t="s">
        <v>25</v>
      </c>
      <c r="E227" s="20">
        <v>43168</v>
      </c>
      <c r="F227" s="35">
        <v>0.39583333333333331</v>
      </c>
      <c r="G227" s="17">
        <v>10</v>
      </c>
      <c r="H227" s="17">
        <v>6470</v>
      </c>
    </row>
    <row r="228" spans="1:8" x14ac:dyDescent="0.2">
      <c r="A228" s="11" t="s">
        <v>125</v>
      </c>
      <c r="B228" s="11" t="s">
        <v>1731</v>
      </c>
      <c r="C228" s="11" t="s">
        <v>65</v>
      </c>
      <c r="D228" s="11" t="s">
        <v>219</v>
      </c>
      <c r="E228" s="20">
        <v>43521</v>
      </c>
      <c r="F228" s="35">
        <v>0.49305555555555552</v>
      </c>
      <c r="G228" s="17">
        <v>9</v>
      </c>
      <c r="H228" s="17">
        <v>3555</v>
      </c>
    </row>
    <row r="229" spans="1:8" x14ac:dyDescent="0.2">
      <c r="A229" s="11" t="s">
        <v>114</v>
      </c>
      <c r="B229" s="11" t="s">
        <v>1733</v>
      </c>
      <c r="C229" s="11" t="s">
        <v>40</v>
      </c>
      <c r="D229" s="11" t="s">
        <v>41</v>
      </c>
      <c r="E229" s="20">
        <v>42861</v>
      </c>
      <c r="F229" s="35">
        <v>0.68055555555555547</v>
      </c>
      <c r="G229" s="17">
        <v>11</v>
      </c>
      <c r="H229" s="21">
        <v>10010</v>
      </c>
    </row>
    <row r="230" spans="1:8" x14ac:dyDescent="0.2">
      <c r="A230" s="11" t="s">
        <v>23</v>
      </c>
      <c r="B230" s="11" t="s">
        <v>1733</v>
      </c>
      <c r="C230" s="11" t="s">
        <v>33</v>
      </c>
      <c r="D230" s="11" t="s">
        <v>41</v>
      </c>
      <c r="E230" s="20">
        <v>43569</v>
      </c>
      <c r="F230" s="35">
        <v>0.62152777777777779</v>
      </c>
      <c r="G230" s="17">
        <v>11</v>
      </c>
      <c r="H230" s="17">
        <v>5841</v>
      </c>
    </row>
    <row r="231" spans="1:8" x14ac:dyDescent="0.2">
      <c r="A231" s="11" t="s">
        <v>32</v>
      </c>
      <c r="B231" s="11" t="s">
        <v>1734</v>
      </c>
      <c r="C231" s="11" t="s">
        <v>33</v>
      </c>
      <c r="D231" s="11" t="s">
        <v>120</v>
      </c>
      <c r="E231" s="20">
        <v>42897</v>
      </c>
      <c r="F231" s="35">
        <v>0.63888888888888884</v>
      </c>
      <c r="G231" s="17">
        <v>14</v>
      </c>
      <c r="H231" s="21">
        <v>7658</v>
      </c>
    </row>
    <row r="232" spans="1:8" x14ac:dyDescent="0.2">
      <c r="A232" s="11" t="s">
        <v>23</v>
      </c>
      <c r="B232" s="11" t="s">
        <v>1733</v>
      </c>
      <c r="C232" s="11" t="s">
        <v>40</v>
      </c>
      <c r="D232" s="11" t="s">
        <v>25</v>
      </c>
      <c r="E232" s="20">
        <v>43022</v>
      </c>
      <c r="F232" s="35">
        <v>0.50694444444444442</v>
      </c>
      <c r="G232" s="17">
        <v>11</v>
      </c>
      <c r="H232" s="17">
        <v>8481</v>
      </c>
    </row>
    <row r="233" spans="1:8" x14ac:dyDescent="0.2">
      <c r="A233" s="11" t="s">
        <v>78</v>
      </c>
      <c r="B233" s="11" t="s">
        <v>1731</v>
      </c>
      <c r="C233" s="11" t="s">
        <v>40</v>
      </c>
      <c r="D233" s="11" t="s">
        <v>34</v>
      </c>
      <c r="E233" s="20">
        <v>43435</v>
      </c>
      <c r="F233" s="35">
        <v>0.46875</v>
      </c>
      <c r="G233" s="17">
        <v>8</v>
      </c>
      <c r="H233" s="17">
        <v>5600</v>
      </c>
    </row>
    <row r="234" spans="1:8" x14ac:dyDescent="0.2">
      <c r="A234" s="11" t="s">
        <v>75</v>
      </c>
      <c r="B234" s="11" t="s">
        <v>1735</v>
      </c>
      <c r="C234" s="11" t="s">
        <v>65</v>
      </c>
      <c r="D234" s="11" t="s">
        <v>41</v>
      </c>
      <c r="E234" s="20">
        <v>43434</v>
      </c>
      <c r="F234" s="35">
        <v>0.49652777777777773</v>
      </c>
      <c r="G234" s="17">
        <v>11</v>
      </c>
      <c r="H234" s="17">
        <v>8646</v>
      </c>
    </row>
    <row r="235" spans="1:8" x14ac:dyDescent="0.2">
      <c r="A235" s="11" t="s">
        <v>78</v>
      </c>
      <c r="B235" s="11" t="s">
        <v>1731</v>
      </c>
      <c r="C235" s="11" t="s">
        <v>65</v>
      </c>
      <c r="D235" s="11" t="s">
        <v>41</v>
      </c>
      <c r="E235" s="20">
        <v>43169</v>
      </c>
      <c r="F235" s="35">
        <v>0.64930555555555547</v>
      </c>
      <c r="G235" s="17">
        <v>4</v>
      </c>
      <c r="H235" s="17">
        <v>1884</v>
      </c>
    </row>
    <row r="236" spans="1:8" x14ac:dyDescent="0.2">
      <c r="A236" s="11" t="s">
        <v>54</v>
      </c>
      <c r="B236" s="11" t="s">
        <v>1732</v>
      </c>
      <c r="C236" s="11" t="s">
        <v>65</v>
      </c>
      <c r="D236" s="11" t="s">
        <v>120</v>
      </c>
      <c r="E236" s="20">
        <v>43234</v>
      </c>
      <c r="F236" s="35">
        <v>0.68402777777777779</v>
      </c>
      <c r="G236" s="17">
        <v>11</v>
      </c>
      <c r="H236" s="17">
        <v>17270</v>
      </c>
    </row>
    <row r="237" spans="1:8" x14ac:dyDescent="0.2">
      <c r="A237" s="11" t="s">
        <v>89</v>
      </c>
      <c r="B237" s="11" t="s">
        <v>1735</v>
      </c>
      <c r="C237" s="11" t="s">
        <v>65</v>
      </c>
      <c r="D237" s="11" t="s">
        <v>219</v>
      </c>
      <c r="E237" s="20">
        <v>43126</v>
      </c>
      <c r="F237" s="35">
        <v>0.34027777777777773</v>
      </c>
      <c r="G237" s="17">
        <v>7</v>
      </c>
      <c r="H237" s="17">
        <v>2919</v>
      </c>
    </row>
    <row r="238" spans="1:8" x14ac:dyDescent="0.2">
      <c r="A238" s="11" t="s">
        <v>45</v>
      </c>
      <c r="B238" s="11" t="s">
        <v>1732</v>
      </c>
      <c r="C238" s="11" t="s">
        <v>65</v>
      </c>
      <c r="D238" s="11" t="s">
        <v>25</v>
      </c>
      <c r="E238" s="20">
        <v>42954</v>
      </c>
      <c r="F238" s="35">
        <v>0.47569444444444442</v>
      </c>
      <c r="G238" s="17">
        <v>5</v>
      </c>
      <c r="H238" s="17">
        <v>5940</v>
      </c>
    </row>
    <row r="239" spans="1:8" x14ac:dyDescent="0.2">
      <c r="A239" s="11" t="s">
        <v>114</v>
      </c>
      <c r="B239" s="11" t="s">
        <v>1733</v>
      </c>
      <c r="C239" s="11" t="s">
        <v>40</v>
      </c>
      <c r="D239" s="11" t="s">
        <v>41</v>
      </c>
      <c r="E239" s="20">
        <v>42852</v>
      </c>
      <c r="F239" s="35">
        <v>0.68402777777777779</v>
      </c>
      <c r="G239" s="17">
        <v>7</v>
      </c>
      <c r="H239" s="21">
        <v>4298</v>
      </c>
    </row>
    <row r="240" spans="1:8" x14ac:dyDescent="0.2">
      <c r="A240" s="11" t="s">
        <v>125</v>
      </c>
      <c r="B240" s="11" t="s">
        <v>1735</v>
      </c>
      <c r="C240" s="11" t="s">
        <v>33</v>
      </c>
      <c r="D240" s="11" t="s">
        <v>25</v>
      </c>
      <c r="E240" s="20">
        <v>43391</v>
      </c>
      <c r="F240" s="35">
        <v>0.47222222222222221</v>
      </c>
      <c r="G240" s="17">
        <v>2</v>
      </c>
      <c r="H240" s="17">
        <v>792</v>
      </c>
    </row>
    <row r="241" spans="1:8" x14ac:dyDescent="0.2">
      <c r="A241" s="11" t="s">
        <v>45</v>
      </c>
      <c r="B241" s="11" t="s">
        <v>1733</v>
      </c>
      <c r="C241" s="11" t="s">
        <v>24</v>
      </c>
      <c r="D241" s="11" t="s">
        <v>120</v>
      </c>
      <c r="E241" s="20">
        <v>43353</v>
      </c>
      <c r="F241" s="35">
        <v>0.53819444444444442</v>
      </c>
      <c r="G241" s="17">
        <v>2</v>
      </c>
      <c r="H241" s="17">
        <v>2028</v>
      </c>
    </row>
    <row r="242" spans="1:8" x14ac:dyDescent="0.2">
      <c r="A242" s="11" t="s">
        <v>117</v>
      </c>
      <c r="B242" s="11" t="s">
        <v>1731</v>
      </c>
      <c r="C242" s="11" t="s">
        <v>24</v>
      </c>
      <c r="D242" s="11" t="s">
        <v>25</v>
      </c>
      <c r="E242" s="20">
        <v>42993</v>
      </c>
      <c r="F242" s="35">
        <v>0.44791666666666663</v>
      </c>
      <c r="G242" s="17">
        <v>9</v>
      </c>
      <c r="H242" s="17">
        <v>3780</v>
      </c>
    </row>
    <row r="243" spans="1:8" x14ac:dyDescent="0.2">
      <c r="A243" s="11" t="s">
        <v>89</v>
      </c>
      <c r="B243" s="11" t="s">
        <v>1732</v>
      </c>
      <c r="C243" s="11" t="s">
        <v>65</v>
      </c>
      <c r="D243" s="11" t="s">
        <v>41</v>
      </c>
      <c r="E243" s="20">
        <v>43434</v>
      </c>
      <c r="F243" s="35">
        <v>0.65277777777777779</v>
      </c>
      <c r="G243" s="17">
        <v>13</v>
      </c>
      <c r="H243" s="17">
        <v>16341</v>
      </c>
    </row>
    <row r="244" spans="1:8" x14ac:dyDescent="0.2">
      <c r="A244" s="11" t="s">
        <v>78</v>
      </c>
      <c r="B244" s="11" t="s">
        <v>1733</v>
      </c>
      <c r="C244" s="11" t="s">
        <v>40</v>
      </c>
      <c r="D244" s="11" t="s">
        <v>219</v>
      </c>
      <c r="E244" s="20">
        <v>43434</v>
      </c>
      <c r="F244" s="35">
        <v>0.39583333333333331</v>
      </c>
      <c r="G244" s="17">
        <v>1</v>
      </c>
      <c r="H244" s="17">
        <v>519</v>
      </c>
    </row>
    <row r="245" spans="1:8" x14ac:dyDescent="0.2">
      <c r="A245" s="11" t="s">
        <v>64</v>
      </c>
      <c r="B245" s="11" t="s">
        <v>1733</v>
      </c>
      <c r="C245" s="11" t="s">
        <v>33</v>
      </c>
      <c r="D245" s="11" t="s">
        <v>41</v>
      </c>
      <c r="E245" s="20">
        <v>42923</v>
      </c>
      <c r="F245" s="35">
        <v>0.40277777777777773</v>
      </c>
      <c r="G245" s="17">
        <v>5</v>
      </c>
      <c r="H245" s="17">
        <v>7245</v>
      </c>
    </row>
    <row r="246" spans="1:8" x14ac:dyDescent="0.2">
      <c r="A246" s="11" t="s">
        <v>125</v>
      </c>
      <c r="B246" s="11" t="s">
        <v>1733</v>
      </c>
      <c r="C246" s="11" t="s">
        <v>65</v>
      </c>
      <c r="D246" s="11" t="s">
        <v>25</v>
      </c>
      <c r="E246" s="20">
        <v>42881</v>
      </c>
      <c r="F246" s="35">
        <v>0.61458333333333326</v>
      </c>
      <c r="G246" s="17">
        <v>10</v>
      </c>
      <c r="H246" s="21">
        <v>10620</v>
      </c>
    </row>
    <row r="247" spans="1:8" x14ac:dyDescent="0.2">
      <c r="A247" s="11" t="s">
        <v>117</v>
      </c>
      <c r="B247" s="11" t="s">
        <v>1733</v>
      </c>
      <c r="C247" s="11" t="s">
        <v>24</v>
      </c>
      <c r="D247" s="11" t="s">
        <v>41</v>
      </c>
      <c r="E247" s="20">
        <v>43434</v>
      </c>
      <c r="F247" s="35">
        <v>0.55208333333333326</v>
      </c>
      <c r="G247" s="17">
        <v>13</v>
      </c>
      <c r="H247" s="17">
        <v>6864</v>
      </c>
    </row>
    <row r="248" spans="1:8" x14ac:dyDescent="0.2">
      <c r="A248" s="11" t="s">
        <v>125</v>
      </c>
      <c r="B248" s="11" t="s">
        <v>1734</v>
      </c>
      <c r="C248" s="11" t="s">
        <v>40</v>
      </c>
      <c r="D248" s="11" t="s">
        <v>219</v>
      </c>
      <c r="E248" s="20">
        <v>43294</v>
      </c>
      <c r="F248" s="35">
        <v>0.38194444444444442</v>
      </c>
      <c r="G248" s="17">
        <v>10</v>
      </c>
      <c r="H248" s="17">
        <v>6920</v>
      </c>
    </row>
    <row r="249" spans="1:8" x14ac:dyDescent="0.2">
      <c r="A249" s="11" t="s">
        <v>75</v>
      </c>
      <c r="B249" s="11" t="s">
        <v>1733</v>
      </c>
      <c r="C249" s="11" t="s">
        <v>24</v>
      </c>
      <c r="D249" s="11" t="s">
        <v>34</v>
      </c>
      <c r="E249" s="20">
        <v>42982</v>
      </c>
      <c r="F249" s="35">
        <v>0.6875</v>
      </c>
      <c r="G249" s="17">
        <v>7</v>
      </c>
      <c r="H249" s="17">
        <v>5320</v>
      </c>
    </row>
    <row r="250" spans="1:8" x14ac:dyDescent="0.2">
      <c r="A250" s="11" t="s">
        <v>64</v>
      </c>
      <c r="B250" s="11" t="s">
        <v>1732</v>
      </c>
      <c r="C250" s="11" t="s">
        <v>65</v>
      </c>
      <c r="D250" s="11" t="s">
        <v>41</v>
      </c>
      <c r="E250" s="20">
        <v>43549</v>
      </c>
      <c r="F250" s="35">
        <v>0.71180555555555547</v>
      </c>
      <c r="G250" s="17">
        <v>12</v>
      </c>
      <c r="H250" s="17">
        <v>13836</v>
      </c>
    </row>
    <row r="251" spans="1:8" x14ac:dyDescent="0.2">
      <c r="A251" s="11" t="s">
        <v>23</v>
      </c>
      <c r="B251" s="11" t="s">
        <v>1732</v>
      </c>
      <c r="C251" s="11" t="s">
        <v>65</v>
      </c>
      <c r="D251" s="11" t="s">
        <v>34</v>
      </c>
      <c r="E251" s="20">
        <v>43360</v>
      </c>
      <c r="F251" s="35">
        <v>0.68055555555555547</v>
      </c>
      <c r="G251" s="17">
        <v>20</v>
      </c>
      <c r="H251" s="17">
        <v>14120</v>
      </c>
    </row>
    <row r="252" spans="1:8" x14ac:dyDescent="0.2">
      <c r="A252" s="11" t="s">
        <v>125</v>
      </c>
      <c r="B252" s="11" t="s">
        <v>1734</v>
      </c>
      <c r="C252" s="11" t="s">
        <v>65</v>
      </c>
      <c r="D252" s="11" t="s">
        <v>25</v>
      </c>
      <c r="E252" s="20">
        <v>43434</v>
      </c>
      <c r="F252" s="35">
        <v>0.71180555555555547</v>
      </c>
      <c r="G252" s="17">
        <v>12</v>
      </c>
      <c r="H252" s="17">
        <v>5628</v>
      </c>
    </row>
    <row r="253" spans="1:8" x14ac:dyDescent="0.2">
      <c r="A253" s="11" t="s">
        <v>114</v>
      </c>
      <c r="B253" s="11" t="s">
        <v>1735</v>
      </c>
      <c r="C253" s="11" t="s">
        <v>65</v>
      </c>
      <c r="D253" s="11" t="s">
        <v>25</v>
      </c>
      <c r="E253" s="20">
        <v>43350</v>
      </c>
      <c r="F253" s="35">
        <v>0.54513888888888884</v>
      </c>
      <c r="G253" s="17">
        <v>8</v>
      </c>
      <c r="H253" s="17">
        <v>3544</v>
      </c>
    </row>
    <row r="254" spans="1:8" x14ac:dyDescent="0.2">
      <c r="A254" s="11" t="s">
        <v>49</v>
      </c>
      <c r="B254" s="11" t="s">
        <v>1733</v>
      </c>
      <c r="C254" s="11" t="s">
        <v>40</v>
      </c>
      <c r="D254" s="11" t="s">
        <v>25</v>
      </c>
      <c r="E254" s="20">
        <v>42980</v>
      </c>
      <c r="F254" s="35">
        <v>0.50694444444444442</v>
      </c>
      <c r="G254" s="17">
        <v>3</v>
      </c>
      <c r="H254" s="17">
        <v>2862</v>
      </c>
    </row>
    <row r="255" spans="1:8" x14ac:dyDescent="0.2">
      <c r="A255" s="11" t="s">
        <v>89</v>
      </c>
      <c r="B255" s="11" t="s">
        <v>1734</v>
      </c>
      <c r="C255" s="11" t="s">
        <v>65</v>
      </c>
      <c r="D255" s="11" t="s">
        <v>41</v>
      </c>
      <c r="E255" s="20">
        <v>43140</v>
      </c>
      <c r="F255" s="35">
        <v>0.4236111111111111</v>
      </c>
      <c r="G255" s="17">
        <v>13</v>
      </c>
      <c r="H255" s="17">
        <v>10881</v>
      </c>
    </row>
    <row r="256" spans="1:8" x14ac:dyDescent="0.2">
      <c r="A256" s="11" t="s">
        <v>45</v>
      </c>
      <c r="B256" s="11" t="s">
        <v>1735</v>
      </c>
      <c r="C256" s="11" t="s">
        <v>40</v>
      </c>
      <c r="D256" s="11" t="s">
        <v>120</v>
      </c>
      <c r="E256" s="20">
        <v>43297</v>
      </c>
      <c r="F256" s="35">
        <v>0.625</v>
      </c>
      <c r="G256" s="17">
        <v>6</v>
      </c>
      <c r="H256" s="17">
        <v>3948</v>
      </c>
    </row>
    <row r="257" spans="1:8" x14ac:dyDescent="0.2">
      <c r="A257" s="11" t="s">
        <v>45</v>
      </c>
      <c r="B257" s="11" t="s">
        <v>1733</v>
      </c>
      <c r="C257" s="11" t="s">
        <v>40</v>
      </c>
      <c r="D257" s="11" t="s">
        <v>41</v>
      </c>
      <c r="E257" s="20">
        <v>43430</v>
      </c>
      <c r="F257" s="35">
        <v>0.63541666666666663</v>
      </c>
      <c r="G257" s="17">
        <v>8</v>
      </c>
      <c r="H257" s="17">
        <v>11048</v>
      </c>
    </row>
    <row r="258" spans="1:8" x14ac:dyDescent="0.2">
      <c r="A258" s="11" t="s">
        <v>117</v>
      </c>
      <c r="B258" s="11" t="s">
        <v>1733</v>
      </c>
      <c r="C258" s="11" t="s">
        <v>33</v>
      </c>
      <c r="D258" s="11" t="s">
        <v>120</v>
      </c>
      <c r="E258" s="20">
        <v>42884</v>
      </c>
      <c r="F258" s="35">
        <v>0.63541666666666663</v>
      </c>
      <c r="G258" s="17">
        <v>14</v>
      </c>
      <c r="H258" s="21">
        <v>16632</v>
      </c>
    </row>
    <row r="259" spans="1:8" x14ac:dyDescent="0.2">
      <c r="A259" s="11" t="s">
        <v>49</v>
      </c>
      <c r="B259" s="11" t="s">
        <v>1731</v>
      </c>
      <c r="C259" s="11" t="s">
        <v>40</v>
      </c>
      <c r="D259" s="11" t="s">
        <v>34</v>
      </c>
      <c r="E259" s="20">
        <v>43364</v>
      </c>
      <c r="F259" s="35">
        <v>0.34722222222222221</v>
      </c>
      <c r="G259" s="17">
        <v>14</v>
      </c>
      <c r="H259" s="17">
        <v>4340</v>
      </c>
    </row>
    <row r="260" spans="1:8" x14ac:dyDescent="0.2">
      <c r="A260" s="11" t="s">
        <v>64</v>
      </c>
      <c r="B260" s="11" t="s">
        <v>1733</v>
      </c>
      <c r="C260" s="11" t="s">
        <v>40</v>
      </c>
      <c r="D260" s="11" t="s">
        <v>41</v>
      </c>
      <c r="E260" s="20">
        <v>43185</v>
      </c>
      <c r="F260" s="35">
        <v>0.40277777777777773</v>
      </c>
      <c r="G260" s="17">
        <v>3</v>
      </c>
      <c r="H260" s="17">
        <v>3351</v>
      </c>
    </row>
    <row r="261" spans="1:8" x14ac:dyDescent="0.2">
      <c r="A261" s="11" t="s">
        <v>23</v>
      </c>
      <c r="B261" s="11" t="s">
        <v>1735</v>
      </c>
      <c r="C261" s="11" t="s">
        <v>24</v>
      </c>
      <c r="D261" s="11" t="s">
        <v>219</v>
      </c>
      <c r="E261" s="20">
        <v>43226</v>
      </c>
      <c r="F261" s="35">
        <v>0.59722222222222221</v>
      </c>
      <c r="G261" s="17">
        <v>13</v>
      </c>
      <c r="H261" s="17">
        <v>5512</v>
      </c>
    </row>
    <row r="262" spans="1:8" x14ac:dyDescent="0.2">
      <c r="A262" s="11" t="s">
        <v>75</v>
      </c>
      <c r="B262" s="11" t="s">
        <v>1732</v>
      </c>
      <c r="C262" s="11" t="s">
        <v>33</v>
      </c>
      <c r="D262" s="11" t="s">
        <v>25</v>
      </c>
      <c r="E262" s="20">
        <v>43430</v>
      </c>
      <c r="F262" s="35">
        <v>0.73263888888888884</v>
      </c>
      <c r="G262" s="17">
        <v>5</v>
      </c>
      <c r="H262" s="17">
        <v>7640</v>
      </c>
    </row>
    <row r="263" spans="1:8" x14ac:dyDescent="0.2">
      <c r="A263" s="11" t="s">
        <v>117</v>
      </c>
      <c r="B263" s="11" t="s">
        <v>1735</v>
      </c>
      <c r="C263" s="11" t="s">
        <v>65</v>
      </c>
      <c r="D263" s="11" t="s">
        <v>34</v>
      </c>
      <c r="E263" s="20">
        <v>43430</v>
      </c>
      <c r="F263" s="35">
        <v>0.69444444444444442</v>
      </c>
      <c r="G263" s="17">
        <v>16</v>
      </c>
      <c r="H263" s="17">
        <v>10688</v>
      </c>
    </row>
    <row r="264" spans="1:8" x14ac:dyDescent="0.2">
      <c r="A264" s="11" t="s">
        <v>89</v>
      </c>
      <c r="B264" s="11" t="s">
        <v>1735</v>
      </c>
      <c r="C264" s="11" t="s">
        <v>33</v>
      </c>
      <c r="D264" s="11" t="s">
        <v>34</v>
      </c>
      <c r="E264" s="20">
        <v>42982</v>
      </c>
      <c r="F264" s="35">
        <v>0.46180555555555552</v>
      </c>
      <c r="G264" s="17">
        <v>6</v>
      </c>
      <c r="H264" s="17">
        <v>3666</v>
      </c>
    </row>
    <row r="265" spans="1:8" x14ac:dyDescent="0.2">
      <c r="A265" s="11" t="s">
        <v>114</v>
      </c>
      <c r="B265" s="11" t="s">
        <v>1735</v>
      </c>
      <c r="C265" s="11" t="s">
        <v>40</v>
      </c>
      <c r="D265" s="11" t="s">
        <v>120</v>
      </c>
      <c r="E265" s="20">
        <v>43212</v>
      </c>
      <c r="F265" s="35">
        <v>0.71875</v>
      </c>
      <c r="G265" s="17">
        <v>4</v>
      </c>
      <c r="H265" s="17">
        <v>2836</v>
      </c>
    </row>
    <row r="266" spans="1:8" x14ac:dyDescent="0.2">
      <c r="A266" s="11" t="s">
        <v>49</v>
      </c>
      <c r="B266" s="11" t="s">
        <v>1733</v>
      </c>
      <c r="C266" s="11" t="s">
        <v>24</v>
      </c>
      <c r="D266" s="11" t="s">
        <v>41</v>
      </c>
      <c r="E266" s="20">
        <v>43224</v>
      </c>
      <c r="F266" s="35">
        <v>0.67013888888888884</v>
      </c>
      <c r="G266" s="17">
        <v>12</v>
      </c>
      <c r="H266" s="17">
        <v>10224</v>
      </c>
    </row>
    <row r="267" spans="1:8" x14ac:dyDescent="0.2">
      <c r="A267" s="11" t="s">
        <v>117</v>
      </c>
      <c r="B267" s="11" t="s">
        <v>1735</v>
      </c>
      <c r="C267" s="11" t="s">
        <v>33</v>
      </c>
      <c r="D267" s="11" t="s">
        <v>41</v>
      </c>
      <c r="E267" s="20">
        <v>43429</v>
      </c>
      <c r="F267" s="35">
        <v>0.52083333333333326</v>
      </c>
      <c r="G267" s="17">
        <v>10</v>
      </c>
      <c r="H267" s="17">
        <v>7760</v>
      </c>
    </row>
    <row r="268" spans="1:8" x14ac:dyDescent="0.2">
      <c r="A268" s="11" t="s">
        <v>23</v>
      </c>
      <c r="B268" s="11" t="s">
        <v>1733</v>
      </c>
      <c r="C268" s="11" t="s">
        <v>65</v>
      </c>
      <c r="D268" s="11" t="s">
        <v>41</v>
      </c>
      <c r="E268" s="20">
        <v>43392</v>
      </c>
      <c r="F268" s="35">
        <v>0.61458333333333326</v>
      </c>
      <c r="G268" s="17">
        <v>4</v>
      </c>
      <c r="H268" s="17">
        <v>5280</v>
      </c>
    </row>
    <row r="269" spans="1:8" x14ac:dyDescent="0.2">
      <c r="A269" s="11" t="s">
        <v>89</v>
      </c>
      <c r="B269" s="11" t="s">
        <v>1733</v>
      </c>
      <c r="C269" s="11" t="s">
        <v>65</v>
      </c>
      <c r="D269" s="11" t="s">
        <v>25</v>
      </c>
      <c r="E269" s="20">
        <v>43429</v>
      </c>
      <c r="F269" s="35">
        <v>0.52430555555555558</v>
      </c>
      <c r="G269" s="17">
        <v>3</v>
      </c>
      <c r="H269" s="17">
        <v>4461</v>
      </c>
    </row>
    <row r="270" spans="1:8" x14ac:dyDescent="0.2">
      <c r="A270" s="11" t="s">
        <v>64</v>
      </c>
      <c r="B270" s="11" t="s">
        <v>1731</v>
      </c>
      <c r="C270" s="11" t="s">
        <v>33</v>
      </c>
      <c r="D270" s="11" t="s">
        <v>25</v>
      </c>
      <c r="E270" s="20">
        <v>42891</v>
      </c>
      <c r="F270" s="35">
        <v>0.66319444444444442</v>
      </c>
      <c r="G270" s="17">
        <v>11</v>
      </c>
      <c r="H270" s="21">
        <v>6490</v>
      </c>
    </row>
    <row r="271" spans="1:8" x14ac:dyDescent="0.2">
      <c r="A271" s="11" t="s">
        <v>75</v>
      </c>
      <c r="B271" s="11" t="s">
        <v>1731</v>
      </c>
      <c r="C271" s="11" t="s">
        <v>33</v>
      </c>
      <c r="D271" s="11" t="s">
        <v>219</v>
      </c>
      <c r="E271" s="20">
        <v>43427</v>
      </c>
      <c r="F271" s="35">
        <v>0.58680555555555547</v>
      </c>
      <c r="G271" s="17">
        <v>5</v>
      </c>
      <c r="H271" s="17">
        <v>1590</v>
      </c>
    </row>
    <row r="272" spans="1:8" x14ac:dyDescent="0.2">
      <c r="A272" s="11" t="s">
        <v>64</v>
      </c>
      <c r="B272" s="11" t="s">
        <v>1732</v>
      </c>
      <c r="C272" s="11" t="s">
        <v>24</v>
      </c>
      <c r="D272" s="11" t="s">
        <v>25</v>
      </c>
      <c r="E272" s="20">
        <v>43427</v>
      </c>
      <c r="F272" s="35">
        <v>0.34722222222222221</v>
      </c>
      <c r="G272" s="17">
        <v>10</v>
      </c>
      <c r="H272" s="17">
        <v>9850</v>
      </c>
    </row>
    <row r="273" spans="1:8" x14ac:dyDescent="0.2">
      <c r="A273" s="11" t="s">
        <v>125</v>
      </c>
      <c r="B273" s="11" t="s">
        <v>1732</v>
      </c>
      <c r="C273" s="11" t="s">
        <v>40</v>
      </c>
      <c r="D273" s="11" t="s">
        <v>25</v>
      </c>
      <c r="E273" s="20">
        <v>43560</v>
      </c>
      <c r="F273" s="35">
        <v>0.60416666666666663</v>
      </c>
      <c r="G273" s="17">
        <v>5</v>
      </c>
      <c r="H273" s="17">
        <v>4795</v>
      </c>
    </row>
    <row r="274" spans="1:8" x14ac:dyDescent="0.2">
      <c r="A274" s="11" t="s">
        <v>75</v>
      </c>
      <c r="B274" s="11" t="s">
        <v>1735</v>
      </c>
      <c r="C274" s="11" t="s">
        <v>24</v>
      </c>
      <c r="D274" s="11" t="s">
        <v>25</v>
      </c>
      <c r="E274" s="20">
        <v>43426</v>
      </c>
      <c r="F274" s="35">
        <v>0.65277777777777779</v>
      </c>
      <c r="G274" s="17">
        <v>8</v>
      </c>
      <c r="H274" s="17">
        <v>6800</v>
      </c>
    </row>
    <row r="275" spans="1:8" x14ac:dyDescent="0.2">
      <c r="A275" s="11" t="s">
        <v>32</v>
      </c>
      <c r="B275" s="11" t="s">
        <v>1734</v>
      </c>
      <c r="C275" s="11" t="s">
        <v>40</v>
      </c>
      <c r="D275" s="11" t="s">
        <v>25</v>
      </c>
      <c r="E275" s="20">
        <v>43423</v>
      </c>
      <c r="F275" s="35">
        <v>0.74305555555555547</v>
      </c>
      <c r="G275" s="17">
        <v>7</v>
      </c>
      <c r="H275" s="17">
        <v>4270</v>
      </c>
    </row>
    <row r="276" spans="1:8" x14ac:dyDescent="0.2">
      <c r="A276" s="11" t="s">
        <v>49</v>
      </c>
      <c r="B276" s="11" t="s">
        <v>1731</v>
      </c>
      <c r="C276" s="11" t="s">
        <v>33</v>
      </c>
      <c r="D276" s="11" t="s">
        <v>120</v>
      </c>
      <c r="E276" s="20">
        <v>43192</v>
      </c>
      <c r="F276" s="35">
        <v>0.50347222222222221</v>
      </c>
      <c r="G276" s="17">
        <v>1</v>
      </c>
      <c r="H276" s="17">
        <v>443</v>
      </c>
    </row>
    <row r="277" spans="1:8" x14ac:dyDescent="0.2">
      <c r="A277" s="11" t="s">
        <v>125</v>
      </c>
      <c r="B277" s="11" t="s">
        <v>1734</v>
      </c>
      <c r="C277" s="11" t="s">
        <v>33</v>
      </c>
      <c r="D277" s="11" t="s">
        <v>219</v>
      </c>
      <c r="E277" s="20">
        <v>43423</v>
      </c>
      <c r="F277" s="35">
        <v>0.47916666666666663</v>
      </c>
      <c r="G277" s="17">
        <v>5</v>
      </c>
      <c r="H277" s="17">
        <v>3135</v>
      </c>
    </row>
    <row r="278" spans="1:8" x14ac:dyDescent="0.2">
      <c r="A278" s="11" t="s">
        <v>64</v>
      </c>
      <c r="B278" s="11" t="s">
        <v>1732</v>
      </c>
      <c r="C278" s="11" t="s">
        <v>40</v>
      </c>
      <c r="D278" s="11" t="s">
        <v>41</v>
      </c>
      <c r="E278" s="20">
        <v>43507</v>
      </c>
      <c r="F278" s="35">
        <v>0.36458333333333331</v>
      </c>
      <c r="G278" s="17">
        <v>6</v>
      </c>
      <c r="H278" s="17">
        <v>6192</v>
      </c>
    </row>
    <row r="279" spans="1:8" x14ac:dyDescent="0.2">
      <c r="A279" s="11" t="s">
        <v>45</v>
      </c>
      <c r="B279" s="11" t="s">
        <v>1731</v>
      </c>
      <c r="C279" s="11" t="s">
        <v>65</v>
      </c>
      <c r="D279" s="11" t="s">
        <v>120</v>
      </c>
      <c r="E279" s="20">
        <v>43528</v>
      </c>
      <c r="F279" s="35">
        <v>0.75</v>
      </c>
      <c r="G279" s="17">
        <v>6</v>
      </c>
      <c r="H279" s="17">
        <v>2772</v>
      </c>
    </row>
    <row r="280" spans="1:8" x14ac:dyDescent="0.2">
      <c r="A280" s="11" t="s">
        <v>89</v>
      </c>
      <c r="B280" s="11" t="s">
        <v>1731</v>
      </c>
      <c r="C280" s="11" t="s">
        <v>40</v>
      </c>
      <c r="D280" s="11" t="s">
        <v>219</v>
      </c>
      <c r="E280" s="20">
        <v>43535</v>
      </c>
      <c r="F280" s="35">
        <v>0.54861111111111105</v>
      </c>
      <c r="G280" s="17">
        <v>3</v>
      </c>
      <c r="H280" s="17">
        <v>1728</v>
      </c>
    </row>
    <row r="281" spans="1:8" x14ac:dyDescent="0.2">
      <c r="A281" s="11" t="s">
        <v>23</v>
      </c>
      <c r="B281" s="11" t="s">
        <v>1735</v>
      </c>
      <c r="C281" s="11" t="s">
        <v>33</v>
      </c>
      <c r="D281" s="11" t="s">
        <v>120</v>
      </c>
      <c r="E281" s="20">
        <v>43280</v>
      </c>
      <c r="F281" s="35">
        <v>0.57986111111111105</v>
      </c>
      <c r="G281" s="17">
        <v>2</v>
      </c>
      <c r="H281" s="17">
        <v>1158</v>
      </c>
    </row>
    <row r="282" spans="1:8" x14ac:dyDescent="0.2">
      <c r="A282" s="11" t="s">
        <v>54</v>
      </c>
      <c r="B282" s="11" t="s">
        <v>1731</v>
      </c>
      <c r="C282" s="11" t="s">
        <v>65</v>
      </c>
      <c r="D282" s="11" t="s">
        <v>34</v>
      </c>
      <c r="E282" s="20">
        <v>43521</v>
      </c>
      <c r="F282" s="35">
        <v>0.63541666666666663</v>
      </c>
      <c r="G282" s="17">
        <v>9</v>
      </c>
      <c r="H282" s="17">
        <v>3681</v>
      </c>
    </row>
    <row r="283" spans="1:8" x14ac:dyDescent="0.2">
      <c r="A283" s="11" t="s">
        <v>125</v>
      </c>
      <c r="B283" s="11" t="s">
        <v>1733</v>
      </c>
      <c r="C283" s="11" t="s">
        <v>65</v>
      </c>
      <c r="D283" s="11" t="s">
        <v>41</v>
      </c>
      <c r="E283" s="20">
        <v>43519</v>
      </c>
      <c r="F283" s="35">
        <v>0.3611111111111111</v>
      </c>
      <c r="G283" s="17">
        <v>1</v>
      </c>
      <c r="H283" s="17">
        <v>1363</v>
      </c>
    </row>
    <row r="284" spans="1:8" x14ac:dyDescent="0.2">
      <c r="A284" s="11" t="s">
        <v>45</v>
      </c>
      <c r="B284" s="11" t="s">
        <v>1732</v>
      </c>
      <c r="C284" s="11" t="s">
        <v>40</v>
      </c>
      <c r="D284" s="11" t="s">
        <v>34</v>
      </c>
      <c r="E284" s="20">
        <v>43171</v>
      </c>
      <c r="F284" s="35">
        <v>0.49652777777777773</v>
      </c>
      <c r="G284" s="17">
        <v>19</v>
      </c>
      <c r="H284" s="17">
        <v>11552</v>
      </c>
    </row>
    <row r="285" spans="1:8" x14ac:dyDescent="0.2">
      <c r="A285" s="11" t="s">
        <v>114</v>
      </c>
      <c r="B285" s="11" t="s">
        <v>1733</v>
      </c>
      <c r="C285" s="11" t="s">
        <v>24</v>
      </c>
      <c r="D285" s="11" t="s">
        <v>219</v>
      </c>
      <c r="E285" s="20">
        <v>43423</v>
      </c>
      <c r="F285" s="35">
        <v>0.42708333333333331</v>
      </c>
      <c r="G285" s="17">
        <v>9</v>
      </c>
      <c r="H285" s="17">
        <v>13410</v>
      </c>
    </row>
    <row r="286" spans="1:8" x14ac:dyDescent="0.2">
      <c r="A286" s="11" t="s">
        <v>117</v>
      </c>
      <c r="B286" s="11" t="s">
        <v>1733</v>
      </c>
      <c r="C286" s="11" t="s">
        <v>33</v>
      </c>
      <c r="D286" s="11" t="s">
        <v>34</v>
      </c>
      <c r="E286" s="20">
        <v>43422</v>
      </c>
      <c r="F286" s="35">
        <v>0.62847222222222221</v>
      </c>
      <c r="G286" s="17">
        <v>8</v>
      </c>
      <c r="H286" s="17">
        <v>6992</v>
      </c>
    </row>
    <row r="287" spans="1:8" x14ac:dyDescent="0.2">
      <c r="A287" s="11" t="s">
        <v>64</v>
      </c>
      <c r="B287" s="11" t="s">
        <v>1733</v>
      </c>
      <c r="C287" s="11" t="s">
        <v>65</v>
      </c>
      <c r="D287" s="11" t="s">
        <v>120</v>
      </c>
      <c r="E287" s="20">
        <v>43387</v>
      </c>
      <c r="F287" s="35">
        <v>0.52083333333333326</v>
      </c>
      <c r="G287" s="17">
        <v>15</v>
      </c>
      <c r="H287" s="17">
        <v>16860</v>
      </c>
    </row>
    <row r="288" spans="1:8" x14ac:dyDescent="0.2">
      <c r="A288" s="11" t="s">
        <v>125</v>
      </c>
      <c r="B288" s="11" t="s">
        <v>1734</v>
      </c>
      <c r="C288" s="11" t="s">
        <v>40</v>
      </c>
      <c r="D288" s="11" t="s">
        <v>41</v>
      </c>
      <c r="E288" s="20">
        <v>43150</v>
      </c>
      <c r="F288" s="35">
        <v>0.42708333333333331</v>
      </c>
      <c r="G288" s="17">
        <v>10</v>
      </c>
      <c r="H288" s="17">
        <v>6960</v>
      </c>
    </row>
    <row r="289" spans="1:8" x14ac:dyDescent="0.2">
      <c r="A289" s="11" t="s">
        <v>32</v>
      </c>
      <c r="B289" s="11" t="s">
        <v>1735</v>
      </c>
      <c r="C289" s="11" t="s">
        <v>40</v>
      </c>
      <c r="D289" s="11" t="s">
        <v>41</v>
      </c>
      <c r="E289" s="20">
        <v>43420</v>
      </c>
      <c r="F289" s="35">
        <v>0.47222222222222221</v>
      </c>
      <c r="G289" s="17">
        <v>9</v>
      </c>
      <c r="H289" s="17">
        <v>5256</v>
      </c>
    </row>
    <row r="290" spans="1:8" x14ac:dyDescent="0.2">
      <c r="A290" s="11" t="s">
        <v>75</v>
      </c>
      <c r="B290" s="11" t="s">
        <v>1733</v>
      </c>
      <c r="C290" s="11" t="s">
        <v>40</v>
      </c>
      <c r="D290" s="11" t="s">
        <v>120</v>
      </c>
      <c r="E290" s="20">
        <v>43420</v>
      </c>
      <c r="F290" s="35">
        <v>0.53125</v>
      </c>
      <c r="G290" s="17">
        <v>10</v>
      </c>
      <c r="H290" s="17">
        <v>14800</v>
      </c>
    </row>
    <row r="291" spans="1:8" x14ac:dyDescent="0.2">
      <c r="A291" s="11" t="s">
        <v>125</v>
      </c>
      <c r="B291" s="11" t="s">
        <v>1732</v>
      </c>
      <c r="C291" s="11" t="s">
        <v>33</v>
      </c>
      <c r="D291" s="11" t="s">
        <v>120</v>
      </c>
      <c r="E291" s="20">
        <v>43209</v>
      </c>
      <c r="F291" s="35">
        <v>0.4236111111111111</v>
      </c>
      <c r="G291" s="17">
        <v>6</v>
      </c>
      <c r="H291" s="17">
        <v>9846</v>
      </c>
    </row>
    <row r="292" spans="1:8" x14ac:dyDescent="0.2">
      <c r="A292" s="11" t="s">
        <v>64</v>
      </c>
      <c r="B292" s="11" t="s">
        <v>1731</v>
      </c>
      <c r="C292" s="11" t="s">
        <v>24</v>
      </c>
      <c r="D292" s="11" t="s">
        <v>34</v>
      </c>
      <c r="E292" s="20">
        <v>43153</v>
      </c>
      <c r="F292" s="35">
        <v>0.71875</v>
      </c>
      <c r="G292" s="17">
        <v>11</v>
      </c>
      <c r="H292" s="17">
        <v>5698</v>
      </c>
    </row>
    <row r="293" spans="1:8" x14ac:dyDescent="0.2">
      <c r="A293" s="11" t="s">
        <v>125</v>
      </c>
      <c r="B293" s="11" t="s">
        <v>1734</v>
      </c>
      <c r="C293" s="11" t="s">
        <v>33</v>
      </c>
      <c r="D293" s="11" t="s">
        <v>25</v>
      </c>
      <c r="E293" s="20">
        <v>42950</v>
      </c>
      <c r="F293" s="35">
        <v>0.62152777777777779</v>
      </c>
      <c r="G293" s="17">
        <v>4</v>
      </c>
      <c r="H293" s="17">
        <v>3512</v>
      </c>
    </row>
    <row r="294" spans="1:8" x14ac:dyDescent="0.2">
      <c r="A294" s="11" t="s">
        <v>75</v>
      </c>
      <c r="B294" s="11" t="s">
        <v>1735</v>
      </c>
      <c r="C294" s="11" t="s">
        <v>40</v>
      </c>
      <c r="D294" s="11" t="s">
        <v>25</v>
      </c>
      <c r="E294" s="20">
        <v>43309</v>
      </c>
      <c r="F294" s="35">
        <v>0.61111111111111105</v>
      </c>
      <c r="G294" s="17">
        <v>4</v>
      </c>
      <c r="H294" s="17">
        <v>1968</v>
      </c>
    </row>
    <row r="295" spans="1:8" x14ac:dyDescent="0.2">
      <c r="A295" s="11" t="s">
        <v>89</v>
      </c>
      <c r="B295" s="11" t="s">
        <v>1732</v>
      </c>
      <c r="C295" s="11" t="s">
        <v>65</v>
      </c>
      <c r="D295" s="11" t="s">
        <v>25</v>
      </c>
      <c r="E295" s="20">
        <v>43566</v>
      </c>
      <c r="F295" s="35">
        <v>0.48263888888888884</v>
      </c>
      <c r="G295" s="17">
        <v>12</v>
      </c>
      <c r="H295" s="17">
        <v>16584</v>
      </c>
    </row>
    <row r="296" spans="1:8" x14ac:dyDescent="0.2">
      <c r="A296" s="11" t="s">
        <v>49</v>
      </c>
      <c r="B296" s="11" t="s">
        <v>1734</v>
      </c>
      <c r="C296" s="11" t="s">
        <v>40</v>
      </c>
      <c r="D296" s="11" t="s">
        <v>120</v>
      </c>
      <c r="E296" s="20">
        <v>43008</v>
      </c>
      <c r="F296" s="35">
        <v>0.50347222222222221</v>
      </c>
      <c r="G296" s="17">
        <v>3</v>
      </c>
      <c r="H296" s="17">
        <v>2058</v>
      </c>
    </row>
    <row r="297" spans="1:8" x14ac:dyDescent="0.2">
      <c r="A297" s="11" t="s">
        <v>45</v>
      </c>
      <c r="B297" s="11" t="s">
        <v>1734</v>
      </c>
      <c r="C297" s="11" t="s">
        <v>40</v>
      </c>
      <c r="D297" s="11" t="s">
        <v>25</v>
      </c>
      <c r="E297" s="20">
        <v>43419</v>
      </c>
      <c r="F297" s="35">
        <v>0.45833333333333331</v>
      </c>
      <c r="G297" s="17">
        <v>10</v>
      </c>
      <c r="H297" s="17">
        <v>7210</v>
      </c>
    </row>
    <row r="298" spans="1:8" x14ac:dyDescent="0.2">
      <c r="A298" s="11" t="s">
        <v>23</v>
      </c>
      <c r="B298" s="11" t="s">
        <v>1731</v>
      </c>
      <c r="C298" s="11" t="s">
        <v>40</v>
      </c>
      <c r="D298" s="11" t="s">
        <v>41</v>
      </c>
      <c r="E298" s="20">
        <v>42989</v>
      </c>
      <c r="F298" s="35">
        <v>0.33333333333333331</v>
      </c>
      <c r="G298" s="17">
        <v>4</v>
      </c>
      <c r="H298" s="17">
        <v>1852</v>
      </c>
    </row>
    <row r="299" spans="1:8" x14ac:dyDescent="0.2">
      <c r="A299" s="11" t="s">
        <v>78</v>
      </c>
      <c r="B299" s="11" t="s">
        <v>1733</v>
      </c>
      <c r="C299" s="11" t="s">
        <v>40</v>
      </c>
      <c r="D299" s="11" t="s">
        <v>34</v>
      </c>
      <c r="E299" s="20">
        <v>42868</v>
      </c>
      <c r="F299" s="35">
        <v>0.65625</v>
      </c>
      <c r="G299" s="17">
        <v>20</v>
      </c>
      <c r="H299" s="17">
        <v>12720</v>
      </c>
    </row>
    <row r="300" spans="1:8" x14ac:dyDescent="0.2">
      <c r="A300" s="11" t="s">
        <v>32</v>
      </c>
      <c r="B300" s="11" t="s">
        <v>1733</v>
      </c>
      <c r="C300" s="11" t="s">
        <v>24</v>
      </c>
      <c r="D300" s="11" t="s">
        <v>34</v>
      </c>
      <c r="E300" s="20">
        <v>43349</v>
      </c>
      <c r="F300" s="35">
        <v>0.50347222222222221</v>
      </c>
      <c r="G300" s="17">
        <v>17</v>
      </c>
      <c r="H300" s="17">
        <v>10115</v>
      </c>
    </row>
    <row r="301" spans="1:8" x14ac:dyDescent="0.2">
      <c r="A301" s="11" t="s">
        <v>64</v>
      </c>
      <c r="B301" s="11" t="s">
        <v>1733</v>
      </c>
      <c r="C301" s="11" t="s">
        <v>33</v>
      </c>
      <c r="D301" s="11" t="s">
        <v>25</v>
      </c>
      <c r="E301" s="20">
        <v>42944</v>
      </c>
      <c r="F301" s="35">
        <v>0.72222222222222221</v>
      </c>
      <c r="G301" s="17">
        <v>13</v>
      </c>
      <c r="H301" s="17">
        <v>12155</v>
      </c>
    </row>
    <row r="302" spans="1:8" x14ac:dyDescent="0.2">
      <c r="A302" s="11" t="s">
        <v>45</v>
      </c>
      <c r="B302" s="11" t="s">
        <v>1732</v>
      </c>
      <c r="C302" s="11" t="s">
        <v>33</v>
      </c>
      <c r="D302" s="11" t="s">
        <v>120</v>
      </c>
      <c r="E302" s="20">
        <v>43296</v>
      </c>
      <c r="F302" s="35">
        <v>0.61111111111111105</v>
      </c>
      <c r="G302" s="17">
        <v>4</v>
      </c>
      <c r="H302" s="17">
        <v>5192</v>
      </c>
    </row>
    <row r="303" spans="1:8" x14ac:dyDescent="0.2">
      <c r="A303" s="11" t="s">
        <v>125</v>
      </c>
      <c r="B303" s="11" t="s">
        <v>1731</v>
      </c>
      <c r="C303" s="11" t="s">
        <v>33</v>
      </c>
      <c r="D303" s="11" t="s">
        <v>41</v>
      </c>
      <c r="E303" s="20">
        <v>43227</v>
      </c>
      <c r="F303" s="35">
        <v>0.54166666666666663</v>
      </c>
      <c r="G303" s="17">
        <v>15</v>
      </c>
      <c r="H303" s="17">
        <v>5130</v>
      </c>
    </row>
    <row r="304" spans="1:8" x14ac:dyDescent="0.2">
      <c r="A304" s="11" t="s">
        <v>64</v>
      </c>
      <c r="B304" s="11" t="s">
        <v>1732</v>
      </c>
      <c r="C304" s="11" t="s">
        <v>65</v>
      </c>
      <c r="D304" s="11" t="s">
        <v>25</v>
      </c>
      <c r="E304" s="20">
        <v>43538</v>
      </c>
      <c r="F304" s="35">
        <v>0.65972222222222221</v>
      </c>
      <c r="G304" s="17">
        <v>8</v>
      </c>
      <c r="H304" s="17">
        <v>12936</v>
      </c>
    </row>
    <row r="305" spans="1:8" x14ac:dyDescent="0.2">
      <c r="A305" s="11" t="s">
        <v>32</v>
      </c>
      <c r="B305" s="11" t="s">
        <v>1732</v>
      </c>
      <c r="C305" s="11" t="s">
        <v>65</v>
      </c>
      <c r="D305" s="11" t="s">
        <v>25</v>
      </c>
      <c r="E305" s="20">
        <v>43419</v>
      </c>
      <c r="F305" s="35">
        <v>0.58333333333333326</v>
      </c>
      <c r="G305" s="17">
        <v>14</v>
      </c>
      <c r="H305" s="17">
        <v>7560</v>
      </c>
    </row>
    <row r="306" spans="1:8" x14ac:dyDescent="0.2">
      <c r="A306" s="11" t="s">
        <v>45</v>
      </c>
      <c r="B306" s="11" t="s">
        <v>1733</v>
      </c>
      <c r="C306" s="11" t="s">
        <v>33</v>
      </c>
      <c r="D306" s="11" t="s">
        <v>34</v>
      </c>
      <c r="E306" s="20">
        <v>42853</v>
      </c>
      <c r="F306" s="35">
        <v>0.49305555555555552</v>
      </c>
      <c r="G306" s="17">
        <v>12</v>
      </c>
      <c r="H306" s="17">
        <v>10692</v>
      </c>
    </row>
    <row r="307" spans="1:8" x14ac:dyDescent="0.2">
      <c r="A307" s="11" t="s">
        <v>75</v>
      </c>
      <c r="B307" s="11" t="s">
        <v>1732</v>
      </c>
      <c r="C307" s="11" t="s">
        <v>24</v>
      </c>
      <c r="D307" s="11" t="s">
        <v>25</v>
      </c>
      <c r="E307" s="20">
        <v>42852</v>
      </c>
      <c r="F307" s="35">
        <v>0.35069444444444442</v>
      </c>
      <c r="G307" s="17">
        <v>2</v>
      </c>
      <c r="H307" s="21">
        <v>1430</v>
      </c>
    </row>
    <row r="308" spans="1:8" x14ac:dyDescent="0.2">
      <c r="A308" s="11" t="s">
        <v>64</v>
      </c>
      <c r="B308" s="11" t="s">
        <v>1732</v>
      </c>
      <c r="C308" s="11" t="s">
        <v>24</v>
      </c>
      <c r="D308" s="11" t="s">
        <v>34</v>
      </c>
      <c r="E308" s="20">
        <v>43567</v>
      </c>
      <c r="F308" s="35">
        <v>0.51041666666666663</v>
      </c>
      <c r="G308" s="17">
        <v>20</v>
      </c>
      <c r="H308" s="17">
        <v>8420</v>
      </c>
    </row>
    <row r="309" spans="1:8" x14ac:dyDescent="0.2">
      <c r="A309" s="11" t="s">
        <v>117</v>
      </c>
      <c r="B309" s="11" t="s">
        <v>1731</v>
      </c>
      <c r="C309" s="11" t="s">
        <v>33</v>
      </c>
      <c r="D309" s="11" t="s">
        <v>34</v>
      </c>
      <c r="E309" s="20">
        <v>43416</v>
      </c>
      <c r="F309" s="35">
        <v>0.51736111111111105</v>
      </c>
      <c r="G309" s="17">
        <v>17</v>
      </c>
      <c r="H309" s="17">
        <v>8585</v>
      </c>
    </row>
    <row r="310" spans="1:8" x14ac:dyDescent="0.2">
      <c r="A310" s="11" t="s">
        <v>89</v>
      </c>
      <c r="B310" s="11" t="s">
        <v>1733</v>
      </c>
      <c r="C310" s="11" t="s">
        <v>24</v>
      </c>
      <c r="D310" s="11" t="s">
        <v>219</v>
      </c>
      <c r="E310" s="20">
        <v>43336</v>
      </c>
      <c r="F310" s="35">
        <v>0.50347222222222221</v>
      </c>
      <c r="G310" s="17">
        <v>7</v>
      </c>
      <c r="H310" s="17">
        <v>7203</v>
      </c>
    </row>
    <row r="311" spans="1:8" x14ac:dyDescent="0.2">
      <c r="A311" s="11" t="s">
        <v>32</v>
      </c>
      <c r="B311" s="11" t="s">
        <v>1734</v>
      </c>
      <c r="C311" s="11" t="s">
        <v>65</v>
      </c>
      <c r="D311" s="11" t="s">
        <v>34</v>
      </c>
      <c r="E311" s="20">
        <v>43567</v>
      </c>
      <c r="F311" s="35">
        <v>0.59375</v>
      </c>
      <c r="G311" s="17">
        <v>9</v>
      </c>
      <c r="H311" s="17">
        <v>3987</v>
      </c>
    </row>
    <row r="312" spans="1:8" x14ac:dyDescent="0.2">
      <c r="A312" s="11" t="s">
        <v>117</v>
      </c>
      <c r="B312" s="11" t="s">
        <v>1733</v>
      </c>
      <c r="C312" s="11" t="s">
        <v>24</v>
      </c>
      <c r="D312" s="11" t="s">
        <v>25</v>
      </c>
      <c r="E312" s="20">
        <v>43240</v>
      </c>
      <c r="F312" s="35">
        <v>0.63194444444444442</v>
      </c>
      <c r="G312" s="17">
        <v>2</v>
      </c>
      <c r="H312" s="17">
        <v>2058</v>
      </c>
    </row>
    <row r="313" spans="1:8" x14ac:dyDescent="0.2">
      <c r="A313" s="11" t="s">
        <v>89</v>
      </c>
      <c r="B313" s="11" t="s">
        <v>1731</v>
      </c>
      <c r="C313" s="11" t="s">
        <v>65</v>
      </c>
      <c r="D313" s="11" t="s">
        <v>25</v>
      </c>
      <c r="E313" s="20">
        <v>42924</v>
      </c>
      <c r="F313" s="35">
        <v>0.74305555555555547</v>
      </c>
      <c r="G313" s="17">
        <v>12</v>
      </c>
      <c r="H313" s="17">
        <v>4104</v>
      </c>
    </row>
    <row r="314" spans="1:8" x14ac:dyDescent="0.2">
      <c r="A314" s="11" t="s">
        <v>32</v>
      </c>
      <c r="B314" s="11" t="s">
        <v>1735</v>
      </c>
      <c r="C314" s="11" t="s">
        <v>40</v>
      </c>
      <c r="D314" s="11" t="s">
        <v>219</v>
      </c>
      <c r="E314" s="20">
        <v>43416</v>
      </c>
      <c r="F314" s="35">
        <v>0.64583333333333326</v>
      </c>
      <c r="G314" s="17">
        <v>6</v>
      </c>
      <c r="H314" s="17">
        <v>5028</v>
      </c>
    </row>
    <row r="315" spans="1:8" x14ac:dyDescent="0.2">
      <c r="A315" s="11" t="s">
        <v>114</v>
      </c>
      <c r="B315" s="11" t="s">
        <v>1731</v>
      </c>
      <c r="C315" s="11" t="s">
        <v>33</v>
      </c>
      <c r="D315" s="11" t="s">
        <v>34</v>
      </c>
      <c r="E315" s="20">
        <v>43161</v>
      </c>
      <c r="F315" s="35">
        <v>0.57291666666666663</v>
      </c>
      <c r="G315" s="17">
        <v>11</v>
      </c>
      <c r="H315" s="17">
        <v>5005</v>
      </c>
    </row>
    <row r="316" spans="1:8" x14ac:dyDescent="0.2">
      <c r="A316" s="11" t="s">
        <v>114</v>
      </c>
      <c r="B316" s="11" t="s">
        <v>1734</v>
      </c>
      <c r="C316" s="11" t="s">
        <v>40</v>
      </c>
      <c r="D316" s="11" t="s">
        <v>41</v>
      </c>
      <c r="E316" s="20">
        <v>43519</v>
      </c>
      <c r="F316" s="35">
        <v>0.51736111111111105</v>
      </c>
      <c r="G316" s="17">
        <v>13</v>
      </c>
      <c r="H316" s="17">
        <v>10153</v>
      </c>
    </row>
    <row r="317" spans="1:8" x14ac:dyDescent="0.2">
      <c r="A317" s="11" t="s">
        <v>64</v>
      </c>
      <c r="B317" s="11" t="s">
        <v>1734</v>
      </c>
      <c r="C317" s="11" t="s">
        <v>65</v>
      </c>
      <c r="D317" s="11" t="s">
        <v>41</v>
      </c>
      <c r="E317" s="20">
        <v>43380</v>
      </c>
      <c r="F317" s="35">
        <v>0.375</v>
      </c>
      <c r="G317" s="17">
        <v>1</v>
      </c>
      <c r="H317" s="17">
        <v>655</v>
      </c>
    </row>
    <row r="318" spans="1:8" x14ac:dyDescent="0.2">
      <c r="A318" s="11" t="s">
        <v>54</v>
      </c>
      <c r="B318" s="11" t="s">
        <v>1734</v>
      </c>
      <c r="C318" s="11" t="s">
        <v>40</v>
      </c>
      <c r="D318" s="11" t="s">
        <v>25</v>
      </c>
      <c r="E318" s="20">
        <v>43511</v>
      </c>
      <c r="F318" s="35">
        <v>0.33680555555555552</v>
      </c>
      <c r="G318" s="17">
        <v>13</v>
      </c>
      <c r="H318" s="17">
        <v>9698</v>
      </c>
    </row>
    <row r="319" spans="1:8" x14ac:dyDescent="0.2">
      <c r="A319" s="11" t="s">
        <v>89</v>
      </c>
      <c r="B319" s="11" t="s">
        <v>1733</v>
      </c>
      <c r="C319" s="11" t="s">
        <v>33</v>
      </c>
      <c r="D319" s="11" t="s">
        <v>219</v>
      </c>
      <c r="E319" s="20">
        <v>43415</v>
      </c>
      <c r="F319" s="35">
        <v>0.49305555555555552</v>
      </c>
      <c r="G319" s="17">
        <v>2</v>
      </c>
      <c r="H319" s="17">
        <v>1608</v>
      </c>
    </row>
    <row r="320" spans="1:8" x14ac:dyDescent="0.2">
      <c r="A320" s="11" t="s">
        <v>117</v>
      </c>
      <c r="B320" s="11" t="s">
        <v>1732</v>
      </c>
      <c r="C320" s="11" t="s">
        <v>65</v>
      </c>
      <c r="D320" s="11" t="s">
        <v>219</v>
      </c>
      <c r="E320" s="20">
        <v>43373</v>
      </c>
      <c r="F320" s="35">
        <v>0.46180555555555552</v>
      </c>
      <c r="G320" s="17">
        <v>9</v>
      </c>
      <c r="H320" s="17">
        <v>15624</v>
      </c>
    </row>
    <row r="321" spans="1:8" x14ac:dyDescent="0.2">
      <c r="A321" s="11" t="s">
        <v>45</v>
      </c>
      <c r="B321" s="11" t="s">
        <v>1731</v>
      </c>
      <c r="C321" s="11" t="s">
        <v>40</v>
      </c>
      <c r="D321" s="11" t="s">
        <v>41</v>
      </c>
      <c r="E321" s="20">
        <v>43414</v>
      </c>
      <c r="F321" s="35">
        <v>0.40277777777777773</v>
      </c>
      <c r="G321" s="17">
        <v>2</v>
      </c>
      <c r="H321" s="17">
        <v>1316</v>
      </c>
    </row>
    <row r="322" spans="1:8" x14ac:dyDescent="0.2">
      <c r="A322" s="11" t="s">
        <v>89</v>
      </c>
      <c r="B322" s="11" t="s">
        <v>1733</v>
      </c>
      <c r="C322" s="11" t="s">
        <v>24</v>
      </c>
      <c r="D322" s="11" t="s">
        <v>219</v>
      </c>
      <c r="E322" s="20">
        <v>43378</v>
      </c>
      <c r="F322" s="35">
        <v>0.58333333333333326</v>
      </c>
      <c r="G322" s="17">
        <v>11</v>
      </c>
      <c r="H322" s="17">
        <v>7733</v>
      </c>
    </row>
    <row r="323" spans="1:8" x14ac:dyDescent="0.2">
      <c r="A323" s="11" t="s">
        <v>45</v>
      </c>
      <c r="B323" s="11" t="s">
        <v>1735</v>
      </c>
      <c r="C323" s="11" t="s">
        <v>33</v>
      </c>
      <c r="D323" s="11" t="s">
        <v>219</v>
      </c>
      <c r="E323" s="20">
        <v>42940</v>
      </c>
      <c r="F323" s="35">
        <v>0.37847222222222221</v>
      </c>
      <c r="G323" s="17">
        <v>5</v>
      </c>
      <c r="H323" s="17">
        <v>3910</v>
      </c>
    </row>
    <row r="324" spans="1:8" x14ac:dyDescent="0.2">
      <c r="A324" s="11" t="s">
        <v>45</v>
      </c>
      <c r="B324" s="11" t="s">
        <v>1733</v>
      </c>
      <c r="C324" s="11" t="s">
        <v>40</v>
      </c>
      <c r="D324" s="11" t="s">
        <v>120</v>
      </c>
      <c r="E324" s="20">
        <v>43204</v>
      </c>
      <c r="F324" s="35">
        <v>0.57986111111111105</v>
      </c>
      <c r="G324" s="17">
        <v>1</v>
      </c>
      <c r="H324" s="17">
        <v>573</v>
      </c>
    </row>
    <row r="325" spans="1:8" x14ac:dyDescent="0.2">
      <c r="A325" s="11" t="s">
        <v>75</v>
      </c>
      <c r="B325" s="11" t="s">
        <v>1735</v>
      </c>
      <c r="C325" s="11" t="s">
        <v>24</v>
      </c>
      <c r="D325" s="11" t="s">
        <v>120</v>
      </c>
      <c r="E325" s="20">
        <v>43339</v>
      </c>
      <c r="F325" s="35">
        <v>0.73611111111111105</v>
      </c>
      <c r="G325" s="17">
        <v>2</v>
      </c>
      <c r="H325" s="17">
        <v>708</v>
      </c>
    </row>
    <row r="326" spans="1:8" x14ac:dyDescent="0.2">
      <c r="A326" s="11" t="s">
        <v>54</v>
      </c>
      <c r="B326" s="11" t="s">
        <v>1731</v>
      </c>
      <c r="C326" s="11" t="s">
        <v>33</v>
      </c>
      <c r="D326" s="11" t="s">
        <v>41</v>
      </c>
      <c r="E326" s="20">
        <v>42940</v>
      </c>
      <c r="F326" s="35">
        <v>0.49305555555555552</v>
      </c>
      <c r="G326" s="17">
        <v>14</v>
      </c>
      <c r="H326" s="17">
        <v>6300</v>
      </c>
    </row>
    <row r="327" spans="1:8" x14ac:dyDescent="0.2">
      <c r="A327" s="11" t="s">
        <v>89</v>
      </c>
      <c r="B327" s="11" t="s">
        <v>1734</v>
      </c>
      <c r="C327" s="11" t="s">
        <v>24</v>
      </c>
      <c r="D327" s="11" t="s">
        <v>41</v>
      </c>
      <c r="E327" s="20">
        <v>43381</v>
      </c>
      <c r="F327" s="35">
        <v>0.50347222222222221</v>
      </c>
      <c r="G327" s="17">
        <v>12</v>
      </c>
      <c r="H327" s="17">
        <v>7788</v>
      </c>
    </row>
    <row r="328" spans="1:8" x14ac:dyDescent="0.2">
      <c r="A328" s="11" t="s">
        <v>125</v>
      </c>
      <c r="B328" s="11" t="s">
        <v>1731</v>
      </c>
      <c r="C328" s="11" t="s">
        <v>33</v>
      </c>
      <c r="D328" s="11" t="s">
        <v>120</v>
      </c>
      <c r="E328" s="20">
        <v>43342</v>
      </c>
      <c r="F328" s="35">
        <v>0.71875</v>
      </c>
      <c r="G328" s="17">
        <v>14</v>
      </c>
      <c r="H328" s="17">
        <v>9646</v>
      </c>
    </row>
    <row r="329" spans="1:8" x14ac:dyDescent="0.2">
      <c r="A329" s="11" t="s">
        <v>78</v>
      </c>
      <c r="B329" s="11" t="s">
        <v>1735</v>
      </c>
      <c r="C329" s="11" t="s">
        <v>65</v>
      </c>
      <c r="D329" s="11" t="s">
        <v>25</v>
      </c>
      <c r="E329" s="20">
        <v>42877</v>
      </c>
      <c r="F329" s="35">
        <v>0.50694444444444442</v>
      </c>
      <c r="G329" s="17">
        <v>6</v>
      </c>
      <c r="H329" s="21">
        <v>4086</v>
      </c>
    </row>
    <row r="330" spans="1:8" x14ac:dyDescent="0.2">
      <c r="A330" s="11" t="s">
        <v>78</v>
      </c>
      <c r="B330" s="11" t="s">
        <v>1731</v>
      </c>
      <c r="C330" s="11" t="s">
        <v>40</v>
      </c>
      <c r="D330" s="11" t="s">
        <v>34</v>
      </c>
      <c r="E330" s="20">
        <v>43493</v>
      </c>
      <c r="F330" s="35">
        <v>0.61111111111111105</v>
      </c>
      <c r="G330" s="17">
        <v>8</v>
      </c>
      <c r="H330" s="17">
        <v>4264</v>
      </c>
    </row>
    <row r="331" spans="1:8" x14ac:dyDescent="0.2">
      <c r="A331" s="11" t="s">
        <v>64</v>
      </c>
      <c r="B331" s="11" t="s">
        <v>1731</v>
      </c>
      <c r="C331" s="11" t="s">
        <v>33</v>
      </c>
      <c r="D331" s="11" t="s">
        <v>25</v>
      </c>
      <c r="E331" s="20">
        <v>43211</v>
      </c>
      <c r="F331" s="35">
        <v>0.57291666666666663</v>
      </c>
      <c r="G331" s="17">
        <v>15</v>
      </c>
      <c r="H331" s="17">
        <v>4770</v>
      </c>
    </row>
    <row r="332" spans="1:8" x14ac:dyDescent="0.2">
      <c r="A332" s="11" t="s">
        <v>117</v>
      </c>
      <c r="B332" s="11" t="s">
        <v>1731</v>
      </c>
      <c r="C332" s="11" t="s">
        <v>65</v>
      </c>
      <c r="D332" s="11" t="s">
        <v>34</v>
      </c>
      <c r="E332" s="20">
        <v>43006</v>
      </c>
      <c r="F332" s="35">
        <v>0.33680555555555552</v>
      </c>
      <c r="G332" s="17">
        <v>18</v>
      </c>
      <c r="H332" s="17">
        <v>11484</v>
      </c>
    </row>
    <row r="333" spans="1:8" x14ac:dyDescent="0.2">
      <c r="A333" s="11" t="s">
        <v>114</v>
      </c>
      <c r="B333" s="11" t="s">
        <v>1731</v>
      </c>
      <c r="C333" s="11" t="s">
        <v>65</v>
      </c>
      <c r="D333" s="11" t="s">
        <v>41</v>
      </c>
      <c r="E333" s="20">
        <v>43414</v>
      </c>
      <c r="F333" s="35">
        <v>0.62152777777777779</v>
      </c>
      <c r="G333" s="17">
        <v>2</v>
      </c>
      <c r="H333" s="17">
        <v>686</v>
      </c>
    </row>
    <row r="334" spans="1:8" x14ac:dyDescent="0.2">
      <c r="A334" s="11" t="s">
        <v>54</v>
      </c>
      <c r="B334" s="11" t="s">
        <v>1735</v>
      </c>
      <c r="C334" s="11" t="s">
        <v>40</v>
      </c>
      <c r="D334" s="11" t="s">
        <v>25</v>
      </c>
      <c r="E334" s="20">
        <v>42943</v>
      </c>
      <c r="F334" s="35">
        <v>0.49652777777777773</v>
      </c>
      <c r="G334" s="17">
        <v>3</v>
      </c>
      <c r="H334" s="17">
        <v>1254</v>
      </c>
    </row>
    <row r="335" spans="1:8" x14ac:dyDescent="0.2">
      <c r="A335" s="11" t="s">
        <v>64</v>
      </c>
      <c r="B335" s="11" t="s">
        <v>1733</v>
      </c>
      <c r="C335" s="11" t="s">
        <v>33</v>
      </c>
      <c r="D335" s="11" t="s">
        <v>120</v>
      </c>
      <c r="E335" s="20">
        <v>43409</v>
      </c>
      <c r="F335" s="35">
        <v>0.52777777777777779</v>
      </c>
      <c r="G335" s="17">
        <v>3</v>
      </c>
      <c r="H335" s="17">
        <v>3444</v>
      </c>
    </row>
    <row r="336" spans="1:8" x14ac:dyDescent="0.2">
      <c r="A336" s="11" t="s">
        <v>23</v>
      </c>
      <c r="B336" s="11" t="s">
        <v>1733</v>
      </c>
      <c r="C336" s="11" t="s">
        <v>40</v>
      </c>
      <c r="D336" s="11" t="s">
        <v>34</v>
      </c>
      <c r="E336" s="20">
        <v>43288</v>
      </c>
      <c r="F336" s="35">
        <v>0.42013888888888884</v>
      </c>
      <c r="G336" s="17">
        <v>18</v>
      </c>
      <c r="H336" s="17">
        <v>9864</v>
      </c>
    </row>
    <row r="337" spans="1:8" x14ac:dyDescent="0.2">
      <c r="A337" s="11" t="s">
        <v>78</v>
      </c>
      <c r="B337" s="11" t="s">
        <v>1732</v>
      </c>
      <c r="C337" s="11" t="s">
        <v>33</v>
      </c>
      <c r="D337" s="11" t="s">
        <v>219</v>
      </c>
      <c r="E337" s="20">
        <v>43023</v>
      </c>
      <c r="F337" s="35">
        <v>0.69097222222222221</v>
      </c>
      <c r="G337" s="17">
        <v>15</v>
      </c>
      <c r="H337" s="17">
        <v>18660</v>
      </c>
    </row>
    <row r="338" spans="1:8" x14ac:dyDescent="0.2">
      <c r="A338" s="11" t="s">
        <v>49</v>
      </c>
      <c r="B338" s="11" t="s">
        <v>1732</v>
      </c>
      <c r="C338" s="11" t="s">
        <v>40</v>
      </c>
      <c r="D338" s="11" t="s">
        <v>25</v>
      </c>
      <c r="E338" s="20">
        <v>43023</v>
      </c>
      <c r="F338" s="35">
        <v>0.50347222222222221</v>
      </c>
      <c r="G338" s="17">
        <v>2</v>
      </c>
      <c r="H338" s="17">
        <v>1146</v>
      </c>
    </row>
    <row r="339" spans="1:8" x14ac:dyDescent="0.2">
      <c r="A339" s="11" t="s">
        <v>89</v>
      </c>
      <c r="B339" s="11" t="s">
        <v>1732</v>
      </c>
      <c r="C339" s="11" t="s">
        <v>65</v>
      </c>
      <c r="D339" s="11" t="s">
        <v>25</v>
      </c>
      <c r="E339" s="20">
        <v>43143</v>
      </c>
      <c r="F339" s="35">
        <v>0.44097222222222221</v>
      </c>
      <c r="G339" s="17">
        <v>8</v>
      </c>
      <c r="H339" s="17">
        <v>11520</v>
      </c>
    </row>
    <row r="340" spans="1:8" x14ac:dyDescent="0.2">
      <c r="A340" s="11" t="s">
        <v>64</v>
      </c>
      <c r="B340" s="11" t="s">
        <v>1732</v>
      </c>
      <c r="C340" s="11" t="s">
        <v>24</v>
      </c>
      <c r="D340" s="11" t="s">
        <v>219</v>
      </c>
      <c r="E340" s="20">
        <v>43409</v>
      </c>
      <c r="F340" s="35">
        <v>0.33333333333333331</v>
      </c>
      <c r="G340" s="17">
        <v>3</v>
      </c>
      <c r="H340" s="17">
        <v>4104</v>
      </c>
    </row>
    <row r="341" spans="1:8" x14ac:dyDescent="0.2">
      <c r="A341" s="11" t="s">
        <v>64</v>
      </c>
      <c r="B341" s="11" t="s">
        <v>1732</v>
      </c>
      <c r="C341" s="11" t="s">
        <v>24</v>
      </c>
      <c r="D341" s="11" t="s">
        <v>34</v>
      </c>
      <c r="E341" s="20">
        <v>43490</v>
      </c>
      <c r="F341" s="35">
        <v>0.51041666666666663</v>
      </c>
      <c r="G341" s="17">
        <v>12</v>
      </c>
      <c r="H341" s="17">
        <v>21060</v>
      </c>
    </row>
    <row r="342" spans="1:8" x14ac:dyDescent="0.2">
      <c r="A342" s="11" t="s">
        <v>54</v>
      </c>
      <c r="B342" s="11" t="s">
        <v>1734</v>
      </c>
      <c r="C342" s="11" t="s">
        <v>40</v>
      </c>
      <c r="D342" s="11" t="s">
        <v>34</v>
      </c>
      <c r="E342" s="20">
        <v>43199</v>
      </c>
      <c r="F342" s="35">
        <v>0.47916666666666663</v>
      </c>
      <c r="G342" s="17">
        <v>11</v>
      </c>
      <c r="H342" s="17">
        <v>8635</v>
      </c>
    </row>
    <row r="343" spans="1:8" x14ac:dyDescent="0.2">
      <c r="A343" s="11" t="s">
        <v>64</v>
      </c>
      <c r="B343" s="11" t="s">
        <v>1732</v>
      </c>
      <c r="C343" s="11" t="s">
        <v>40</v>
      </c>
      <c r="D343" s="11" t="s">
        <v>25</v>
      </c>
      <c r="E343" s="20">
        <v>43409</v>
      </c>
      <c r="F343" s="35">
        <v>0.46527777777777773</v>
      </c>
      <c r="G343" s="17">
        <v>5</v>
      </c>
      <c r="H343" s="17">
        <v>4230</v>
      </c>
    </row>
    <row r="344" spans="1:8" x14ac:dyDescent="0.2">
      <c r="A344" s="11" t="s">
        <v>64</v>
      </c>
      <c r="B344" s="11" t="s">
        <v>1731</v>
      </c>
      <c r="C344" s="11" t="s">
        <v>65</v>
      </c>
      <c r="D344" s="11" t="s">
        <v>120</v>
      </c>
      <c r="E344" s="20">
        <v>43559</v>
      </c>
      <c r="F344" s="35">
        <v>0.56944444444444442</v>
      </c>
      <c r="G344" s="17">
        <v>6</v>
      </c>
      <c r="H344" s="17">
        <v>2052</v>
      </c>
    </row>
    <row r="345" spans="1:8" x14ac:dyDescent="0.2">
      <c r="A345" s="11" t="s">
        <v>54</v>
      </c>
      <c r="B345" s="11" t="s">
        <v>1732</v>
      </c>
      <c r="C345" s="11" t="s">
        <v>24</v>
      </c>
      <c r="D345" s="11" t="s">
        <v>120</v>
      </c>
      <c r="E345" s="20">
        <v>43315</v>
      </c>
      <c r="F345" s="35">
        <v>0.46875</v>
      </c>
      <c r="G345" s="17">
        <v>12</v>
      </c>
      <c r="H345" s="17">
        <v>19584</v>
      </c>
    </row>
    <row r="346" spans="1:8" x14ac:dyDescent="0.2">
      <c r="A346" s="11" t="s">
        <v>117</v>
      </c>
      <c r="B346" s="11" t="s">
        <v>1734</v>
      </c>
      <c r="C346" s="11" t="s">
        <v>24</v>
      </c>
      <c r="D346" s="11" t="s">
        <v>219</v>
      </c>
      <c r="E346" s="20">
        <v>43024</v>
      </c>
      <c r="F346" s="35">
        <v>0.59027777777777779</v>
      </c>
      <c r="G346" s="17">
        <v>14</v>
      </c>
      <c r="H346" s="17">
        <v>10276</v>
      </c>
    </row>
    <row r="347" spans="1:8" x14ac:dyDescent="0.2">
      <c r="A347" s="11" t="s">
        <v>32</v>
      </c>
      <c r="B347" s="11" t="s">
        <v>1733</v>
      </c>
      <c r="C347" s="11" t="s">
        <v>24</v>
      </c>
      <c r="D347" s="11" t="s">
        <v>120</v>
      </c>
      <c r="E347" s="20">
        <v>43408</v>
      </c>
      <c r="F347" s="35">
        <v>0.44097222222222221</v>
      </c>
      <c r="G347" s="17">
        <v>12</v>
      </c>
      <c r="H347" s="17">
        <v>7152</v>
      </c>
    </row>
    <row r="348" spans="1:8" x14ac:dyDescent="0.2">
      <c r="A348" s="11" t="s">
        <v>114</v>
      </c>
      <c r="B348" s="11" t="s">
        <v>1731</v>
      </c>
      <c r="C348" s="11" t="s">
        <v>24</v>
      </c>
      <c r="D348" s="11" t="s">
        <v>120</v>
      </c>
      <c r="E348" s="20">
        <v>43351</v>
      </c>
      <c r="F348" s="35">
        <v>0.38194444444444442</v>
      </c>
      <c r="G348" s="17">
        <v>6</v>
      </c>
      <c r="H348" s="17">
        <v>1860</v>
      </c>
    </row>
    <row r="349" spans="1:8" x14ac:dyDescent="0.2">
      <c r="A349" s="11" t="s">
        <v>114</v>
      </c>
      <c r="B349" s="11" t="s">
        <v>1734</v>
      </c>
      <c r="C349" s="11" t="s">
        <v>24</v>
      </c>
      <c r="D349" s="11" t="s">
        <v>25</v>
      </c>
      <c r="E349" s="20">
        <v>43232</v>
      </c>
      <c r="F349" s="35">
        <v>0.74305555555555547</v>
      </c>
      <c r="G349" s="17">
        <v>10</v>
      </c>
      <c r="H349" s="17">
        <v>6350</v>
      </c>
    </row>
    <row r="350" spans="1:8" x14ac:dyDescent="0.2">
      <c r="A350" s="11" t="s">
        <v>54</v>
      </c>
      <c r="B350" s="11" t="s">
        <v>1732</v>
      </c>
      <c r="C350" s="11" t="s">
        <v>24</v>
      </c>
      <c r="D350" s="11" t="s">
        <v>34</v>
      </c>
      <c r="E350" s="20">
        <v>42933</v>
      </c>
      <c r="F350" s="35">
        <v>0.39930555555555552</v>
      </c>
      <c r="G350" s="17">
        <v>20</v>
      </c>
      <c r="H350" s="17">
        <v>34360</v>
      </c>
    </row>
    <row r="351" spans="1:8" x14ac:dyDescent="0.2">
      <c r="A351" s="11" t="s">
        <v>45</v>
      </c>
      <c r="B351" s="11" t="s">
        <v>1735</v>
      </c>
      <c r="C351" s="11" t="s">
        <v>24</v>
      </c>
      <c r="D351" s="11" t="s">
        <v>25</v>
      </c>
      <c r="E351" s="20">
        <v>43408</v>
      </c>
      <c r="F351" s="35">
        <v>0.53819444444444442</v>
      </c>
      <c r="G351" s="17">
        <v>2</v>
      </c>
      <c r="H351" s="17">
        <v>848</v>
      </c>
    </row>
    <row r="352" spans="1:8" x14ac:dyDescent="0.2">
      <c r="A352" s="11" t="s">
        <v>114</v>
      </c>
      <c r="B352" s="11" t="s">
        <v>1734</v>
      </c>
      <c r="C352" s="11" t="s">
        <v>24</v>
      </c>
      <c r="D352" s="11" t="s">
        <v>219</v>
      </c>
      <c r="E352" s="20">
        <v>43273</v>
      </c>
      <c r="F352" s="35">
        <v>0.625</v>
      </c>
      <c r="G352" s="17">
        <v>13</v>
      </c>
      <c r="H352" s="17">
        <v>6331</v>
      </c>
    </row>
    <row r="353" spans="1:8" x14ac:dyDescent="0.2">
      <c r="A353" s="11" t="s">
        <v>45</v>
      </c>
      <c r="B353" s="11" t="s">
        <v>1732</v>
      </c>
      <c r="C353" s="11" t="s">
        <v>65</v>
      </c>
      <c r="D353" s="11" t="s">
        <v>219</v>
      </c>
      <c r="E353" s="20">
        <v>43168</v>
      </c>
      <c r="F353" s="35">
        <v>0.53125</v>
      </c>
      <c r="G353" s="17">
        <v>3</v>
      </c>
      <c r="H353" s="17">
        <v>3615</v>
      </c>
    </row>
    <row r="354" spans="1:8" x14ac:dyDescent="0.2">
      <c r="A354" s="11" t="s">
        <v>75</v>
      </c>
      <c r="B354" s="11" t="s">
        <v>1734</v>
      </c>
      <c r="C354" s="11" t="s">
        <v>24</v>
      </c>
      <c r="D354" s="11" t="s">
        <v>41</v>
      </c>
      <c r="E354" s="20">
        <v>43518</v>
      </c>
      <c r="F354" s="35">
        <v>0.71875</v>
      </c>
      <c r="G354" s="17">
        <v>7</v>
      </c>
      <c r="H354" s="17">
        <v>5383</v>
      </c>
    </row>
    <row r="355" spans="1:8" x14ac:dyDescent="0.2">
      <c r="A355" s="11" t="s">
        <v>54</v>
      </c>
      <c r="B355" s="11" t="s">
        <v>1731</v>
      </c>
      <c r="C355" s="11" t="s">
        <v>33</v>
      </c>
      <c r="D355" s="11" t="s">
        <v>219</v>
      </c>
      <c r="E355" s="20">
        <v>43171</v>
      </c>
      <c r="F355" s="35">
        <v>0.73611111111111105</v>
      </c>
      <c r="G355" s="17">
        <v>3</v>
      </c>
      <c r="H355" s="17">
        <v>1521</v>
      </c>
    </row>
    <row r="356" spans="1:8" x14ac:dyDescent="0.2">
      <c r="A356" s="11" t="s">
        <v>45</v>
      </c>
      <c r="B356" s="11" t="s">
        <v>1733</v>
      </c>
      <c r="C356" s="11" t="s">
        <v>65</v>
      </c>
      <c r="D356" s="11" t="s">
        <v>41</v>
      </c>
      <c r="E356" s="20">
        <v>43407</v>
      </c>
      <c r="F356" s="35">
        <v>0.61805555555555547</v>
      </c>
      <c r="G356" s="17">
        <v>15</v>
      </c>
      <c r="H356" s="17">
        <v>12765</v>
      </c>
    </row>
    <row r="357" spans="1:8" x14ac:dyDescent="0.2">
      <c r="A357" s="11" t="s">
        <v>78</v>
      </c>
      <c r="B357" s="11" t="s">
        <v>1731</v>
      </c>
      <c r="C357" s="11" t="s">
        <v>33</v>
      </c>
      <c r="D357" s="11" t="s">
        <v>120</v>
      </c>
      <c r="E357" s="20">
        <v>43407</v>
      </c>
      <c r="F357" s="35">
        <v>0.70833333333333326</v>
      </c>
      <c r="G357" s="17">
        <v>4</v>
      </c>
      <c r="H357" s="17">
        <v>1360</v>
      </c>
    </row>
    <row r="358" spans="1:8" x14ac:dyDescent="0.2">
      <c r="A358" s="11" t="s">
        <v>49</v>
      </c>
      <c r="B358" s="11" t="s">
        <v>1735</v>
      </c>
      <c r="C358" s="11" t="s">
        <v>40</v>
      </c>
      <c r="D358" s="11" t="s">
        <v>120</v>
      </c>
      <c r="E358" s="20">
        <v>43521</v>
      </c>
      <c r="F358" s="35">
        <v>0.65972222222222221</v>
      </c>
      <c r="G358" s="17">
        <v>6</v>
      </c>
      <c r="H358" s="17">
        <v>5376</v>
      </c>
    </row>
    <row r="359" spans="1:8" x14ac:dyDescent="0.2">
      <c r="A359" s="11" t="s">
        <v>117</v>
      </c>
      <c r="B359" s="11" t="s">
        <v>1732</v>
      </c>
      <c r="C359" s="11" t="s">
        <v>33</v>
      </c>
      <c r="D359" s="11" t="s">
        <v>120</v>
      </c>
      <c r="E359" s="20">
        <v>42925</v>
      </c>
      <c r="F359" s="35">
        <v>0.74652777777777779</v>
      </c>
      <c r="G359" s="17">
        <v>1</v>
      </c>
      <c r="H359" s="17">
        <v>1775</v>
      </c>
    </row>
    <row r="360" spans="1:8" x14ac:dyDescent="0.2">
      <c r="A360" s="11" t="s">
        <v>45</v>
      </c>
      <c r="B360" s="11" t="s">
        <v>1733</v>
      </c>
      <c r="C360" s="11" t="s">
        <v>33</v>
      </c>
      <c r="D360" s="11" t="s">
        <v>25</v>
      </c>
      <c r="E360" s="20">
        <v>43000</v>
      </c>
      <c r="F360" s="35">
        <v>0.65972222222222221</v>
      </c>
      <c r="G360" s="17">
        <v>12</v>
      </c>
      <c r="H360" s="17">
        <v>7608</v>
      </c>
    </row>
    <row r="361" spans="1:8" x14ac:dyDescent="0.2">
      <c r="A361" s="11" t="s">
        <v>45</v>
      </c>
      <c r="B361" s="11" t="s">
        <v>1731</v>
      </c>
      <c r="C361" s="11" t="s">
        <v>65</v>
      </c>
      <c r="D361" s="11" t="s">
        <v>41</v>
      </c>
      <c r="E361" s="20">
        <v>43356</v>
      </c>
      <c r="F361" s="35">
        <v>0.72222222222222221</v>
      </c>
      <c r="G361" s="17">
        <v>14</v>
      </c>
      <c r="H361" s="17">
        <v>7490</v>
      </c>
    </row>
    <row r="362" spans="1:8" x14ac:dyDescent="0.2">
      <c r="A362" s="11" t="s">
        <v>49</v>
      </c>
      <c r="B362" s="11" t="s">
        <v>1735</v>
      </c>
      <c r="C362" s="11" t="s">
        <v>24</v>
      </c>
      <c r="D362" s="11" t="s">
        <v>219</v>
      </c>
      <c r="E362" s="20">
        <v>43356</v>
      </c>
      <c r="F362" s="35">
        <v>0.73263888888888884</v>
      </c>
      <c r="G362" s="17">
        <v>10</v>
      </c>
      <c r="H362" s="17">
        <v>5930</v>
      </c>
    </row>
    <row r="363" spans="1:8" x14ac:dyDescent="0.2">
      <c r="A363" s="11" t="s">
        <v>49</v>
      </c>
      <c r="B363" s="11" t="s">
        <v>1731</v>
      </c>
      <c r="C363" s="11" t="s">
        <v>24</v>
      </c>
      <c r="D363" s="11" t="s">
        <v>34</v>
      </c>
      <c r="E363" s="20">
        <v>43556</v>
      </c>
      <c r="F363" s="35">
        <v>0.38888888888888884</v>
      </c>
      <c r="G363" s="17">
        <v>6</v>
      </c>
      <c r="H363" s="17">
        <v>2046</v>
      </c>
    </row>
    <row r="364" spans="1:8" x14ac:dyDescent="0.2">
      <c r="A364" s="11" t="s">
        <v>75</v>
      </c>
      <c r="B364" s="11" t="s">
        <v>1733</v>
      </c>
      <c r="C364" s="11" t="s">
        <v>65</v>
      </c>
      <c r="D364" s="11" t="s">
        <v>41</v>
      </c>
      <c r="E364" s="20">
        <v>42993</v>
      </c>
      <c r="F364" s="35">
        <v>0.40277777777777773</v>
      </c>
      <c r="G364" s="17">
        <v>1</v>
      </c>
      <c r="H364" s="17">
        <v>1466</v>
      </c>
    </row>
    <row r="365" spans="1:8" x14ac:dyDescent="0.2">
      <c r="A365" s="11" t="s">
        <v>23</v>
      </c>
      <c r="B365" s="11" t="s">
        <v>1733</v>
      </c>
      <c r="C365" s="11" t="s">
        <v>33</v>
      </c>
      <c r="D365" s="11" t="s">
        <v>120</v>
      </c>
      <c r="E365" s="20">
        <v>43525</v>
      </c>
      <c r="F365" s="35">
        <v>0.34722222222222221</v>
      </c>
      <c r="G365" s="17">
        <v>1</v>
      </c>
      <c r="H365" s="17">
        <v>718</v>
      </c>
    </row>
    <row r="366" spans="1:8" x14ac:dyDescent="0.2">
      <c r="A366" s="11" t="s">
        <v>23</v>
      </c>
      <c r="B366" s="11" t="s">
        <v>1732</v>
      </c>
      <c r="C366" s="11" t="s">
        <v>40</v>
      </c>
      <c r="D366" s="11" t="s">
        <v>41</v>
      </c>
      <c r="E366" s="20">
        <v>43140</v>
      </c>
      <c r="F366" s="35">
        <v>0.70138888888888884</v>
      </c>
      <c r="G366" s="17">
        <v>7</v>
      </c>
      <c r="H366" s="17">
        <v>12467</v>
      </c>
    </row>
    <row r="367" spans="1:8" x14ac:dyDescent="0.2">
      <c r="A367" s="11" t="s">
        <v>54</v>
      </c>
      <c r="B367" s="11" t="s">
        <v>1732</v>
      </c>
      <c r="C367" s="11" t="s">
        <v>24</v>
      </c>
      <c r="D367" s="11" t="s">
        <v>219</v>
      </c>
      <c r="E367" s="20">
        <v>43272</v>
      </c>
      <c r="F367" s="35">
        <v>0.48958333333333331</v>
      </c>
      <c r="G367" s="17">
        <v>12</v>
      </c>
      <c r="H367" s="17">
        <v>18720</v>
      </c>
    </row>
    <row r="368" spans="1:8" x14ac:dyDescent="0.2">
      <c r="A368" s="11" t="s">
        <v>114</v>
      </c>
      <c r="B368" s="11" t="s">
        <v>1734</v>
      </c>
      <c r="C368" s="11" t="s">
        <v>65</v>
      </c>
      <c r="D368" s="11" t="s">
        <v>34</v>
      </c>
      <c r="E368" s="20">
        <v>43283</v>
      </c>
      <c r="F368" s="35">
        <v>0.72916666666666663</v>
      </c>
      <c r="G368" s="17">
        <v>9</v>
      </c>
      <c r="H368" s="17">
        <v>4644</v>
      </c>
    </row>
    <row r="369" spans="1:8" x14ac:dyDescent="0.2">
      <c r="A369" s="11" t="s">
        <v>89</v>
      </c>
      <c r="B369" s="11" t="s">
        <v>1735</v>
      </c>
      <c r="C369" s="11" t="s">
        <v>33</v>
      </c>
      <c r="D369" s="11" t="s">
        <v>120</v>
      </c>
      <c r="E369" s="20">
        <v>43252</v>
      </c>
      <c r="F369" s="35">
        <v>0.46527777777777773</v>
      </c>
      <c r="G369" s="17">
        <v>7</v>
      </c>
      <c r="H369" s="17">
        <v>2716</v>
      </c>
    </row>
    <row r="370" spans="1:8" x14ac:dyDescent="0.2">
      <c r="A370" s="11" t="s">
        <v>49</v>
      </c>
      <c r="B370" s="11" t="s">
        <v>1733</v>
      </c>
      <c r="C370" s="11" t="s">
        <v>33</v>
      </c>
      <c r="D370" s="11" t="s">
        <v>25</v>
      </c>
      <c r="E370" s="20">
        <v>43406</v>
      </c>
      <c r="F370" s="35">
        <v>0.59375</v>
      </c>
      <c r="G370" s="17">
        <v>8</v>
      </c>
      <c r="H370" s="17">
        <v>7616</v>
      </c>
    </row>
    <row r="371" spans="1:8" x14ac:dyDescent="0.2">
      <c r="A371" s="11" t="s">
        <v>64</v>
      </c>
      <c r="B371" s="11" t="s">
        <v>1731</v>
      </c>
      <c r="C371" s="11" t="s">
        <v>24</v>
      </c>
      <c r="D371" s="11" t="s">
        <v>34</v>
      </c>
      <c r="E371" s="20">
        <v>42993</v>
      </c>
      <c r="F371" s="35">
        <v>0.36458333333333331</v>
      </c>
      <c r="G371" s="17">
        <v>6</v>
      </c>
      <c r="H371" s="17">
        <v>3876</v>
      </c>
    </row>
    <row r="372" spans="1:8" x14ac:dyDescent="0.2">
      <c r="A372" s="11" t="s">
        <v>78</v>
      </c>
      <c r="B372" s="11" t="s">
        <v>1732</v>
      </c>
      <c r="C372" s="11" t="s">
        <v>33</v>
      </c>
      <c r="D372" s="11" t="s">
        <v>41</v>
      </c>
      <c r="E372" s="20">
        <v>43370</v>
      </c>
      <c r="F372" s="35">
        <v>0.68402777777777779</v>
      </c>
      <c r="G372" s="17">
        <v>7</v>
      </c>
      <c r="H372" s="17">
        <v>12033</v>
      </c>
    </row>
    <row r="373" spans="1:8" x14ac:dyDescent="0.2">
      <c r="A373" s="11" t="s">
        <v>49</v>
      </c>
      <c r="B373" s="11" t="s">
        <v>1735</v>
      </c>
      <c r="C373" s="11" t="s">
        <v>33</v>
      </c>
      <c r="D373" s="11" t="s">
        <v>120</v>
      </c>
      <c r="E373" s="20">
        <v>43302</v>
      </c>
      <c r="F373" s="35">
        <v>0.46875</v>
      </c>
      <c r="G373" s="17">
        <v>4</v>
      </c>
      <c r="H373" s="17">
        <v>2392</v>
      </c>
    </row>
    <row r="374" spans="1:8" x14ac:dyDescent="0.2">
      <c r="A374" s="11" t="s">
        <v>114</v>
      </c>
      <c r="B374" s="11" t="s">
        <v>1734</v>
      </c>
      <c r="C374" s="11" t="s">
        <v>24</v>
      </c>
      <c r="D374" s="11" t="s">
        <v>25</v>
      </c>
      <c r="E374" s="20">
        <v>42930</v>
      </c>
      <c r="F374" s="35">
        <v>0.41319444444444442</v>
      </c>
      <c r="G374" s="17">
        <v>8</v>
      </c>
      <c r="H374" s="17">
        <v>5616</v>
      </c>
    </row>
    <row r="375" spans="1:8" x14ac:dyDescent="0.2">
      <c r="A375" s="11" t="s">
        <v>45</v>
      </c>
      <c r="B375" s="11" t="s">
        <v>1733</v>
      </c>
      <c r="C375" s="11" t="s">
        <v>24</v>
      </c>
      <c r="D375" s="11" t="s">
        <v>25</v>
      </c>
      <c r="E375" s="20">
        <v>43406</v>
      </c>
      <c r="F375" s="35">
        <v>0.52430555555555558</v>
      </c>
      <c r="G375" s="17">
        <v>12</v>
      </c>
      <c r="H375" s="17">
        <v>6396</v>
      </c>
    </row>
    <row r="376" spans="1:8" x14ac:dyDescent="0.2">
      <c r="A376" s="11" t="s">
        <v>54</v>
      </c>
      <c r="B376" s="11" t="s">
        <v>1732</v>
      </c>
      <c r="C376" s="11" t="s">
        <v>40</v>
      </c>
      <c r="D376" s="11" t="s">
        <v>41</v>
      </c>
      <c r="E376" s="20">
        <v>43241</v>
      </c>
      <c r="F376" s="35">
        <v>0.63194444444444442</v>
      </c>
      <c r="G376" s="17">
        <v>15</v>
      </c>
      <c r="H376" s="17">
        <v>6240</v>
      </c>
    </row>
    <row r="377" spans="1:8" x14ac:dyDescent="0.2">
      <c r="A377" s="11" t="s">
        <v>23</v>
      </c>
      <c r="B377" s="11" t="s">
        <v>1734</v>
      </c>
      <c r="C377" s="11" t="s">
        <v>40</v>
      </c>
      <c r="D377" s="11" t="s">
        <v>120</v>
      </c>
      <c r="E377" s="20">
        <v>42895</v>
      </c>
      <c r="F377" s="35">
        <v>0.59722222222222221</v>
      </c>
      <c r="G377" s="17">
        <v>5</v>
      </c>
      <c r="H377" s="21">
        <v>2910</v>
      </c>
    </row>
    <row r="378" spans="1:8" x14ac:dyDescent="0.2">
      <c r="A378" s="11" t="s">
        <v>78</v>
      </c>
      <c r="B378" s="11" t="s">
        <v>1733</v>
      </c>
      <c r="C378" s="11" t="s">
        <v>24</v>
      </c>
      <c r="D378" s="11" t="s">
        <v>219</v>
      </c>
      <c r="E378" s="20">
        <v>43406</v>
      </c>
      <c r="F378" s="35">
        <v>0.65277777777777779</v>
      </c>
      <c r="G378" s="17">
        <v>3</v>
      </c>
      <c r="H378" s="17">
        <v>1767</v>
      </c>
    </row>
    <row r="379" spans="1:8" x14ac:dyDescent="0.2">
      <c r="A379" s="11" t="s">
        <v>23</v>
      </c>
      <c r="B379" s="11" t="s">
        <v>1732</v>
      </c>
      <c r="C379" s="11" t="s">
        <v>40</v>
      </c>
      <c r="D379" s="11" t="s">
        <v>34</v>
      </c>
      <c r="E379" s="20">
        <v>43182</v>
      </c>
      <c r="F379" s="35">
        <v>0.60763888888888884</v>
      </c>
      <c r="G379" s="17">
        <v>13</v>
      </c>
      <c r="H379" s="17">
        <v>19448</v>
      </c>
    </row>
    <row r="380" spans="1:8" x14ac:dyDescent="0.2">
      <c r="A380" s="11" t="s">
        <v>64</v>
      </c>
      <c r="B380" s="11" t="s">
        <v>1732</v>
      </c>
      <c r="C380" s="11" t="s">
        <v>65</v>
      </c>
      <c r="D380" s="11" t="s">
        <v>25</v>
      </c>
      <c r="E380" s="20">
        <v>43342</v>
      </c>
      <c r="F380" s="35">
        <v>0.4548611111111111</v>
      </c>
      <c r="G380" s="17">
        <v>5</v>
      </c>
      <c r="H380" s="17">
        <v>6530</v>
      </c>
    </row>
    <row r="381" spans="1:8" x14ac:dyDescent="0.2">
      <c r="A381" s="11" t="s">
        <v>114</v>
      </c>
      <c r="B381" s="11" t="s">
        <v>1731</v>
      </c>
      <c r="C381" s="11" t="s">
        <v>24</v>
      </c>
      <c r="D381" s="11" t="s">
        <v>34</v>
      </c>
      <c r="E381" s="20">
        <v>43402</v>
      </c>
      <c r="F381" s="35">
        <v>0.34027777777777773</v>
      </c>
      <c r="G381" s="17">
        <v>13</v>
      </c>
      <c r="H381" s="17">
        <v>4459</v>
      </c>
    </row>
    <row r="382" spans="1:8" x14ac:dyDescent="0.2">
      <c r="A382" s="11" t="s">
        <v>125</v>
      </c>
      <c r="B382" s="11" t="s">
        <v>1734</v>
      </c>
      <c r="C382" s="11" t="s">
        <v>24</v>
      </c>
      <c r="D382" s="11" t="s">
        <v>25</v>
      </c>
      <c r="E382" s="20">
        <v>43402</v>
      </c>
      <c r="F382" s="35">
        <v>0.45833333333333331</v>
      </c>
      <c r="G382" s="17">
        <v>7</v>
      </c>
      <c r="H382" s="17">
        <v>5040</v>
      </c>
    </row>
    <row r="383" spans="1:8" x14ac:dyDescent="0.2">
      <c r="A383" s="11" t="s">
        <v>89</v>
      </c>
      <c r="B383" s="11" t="s">
        <v>1734</v>
      </c>
      <c r="C383" s="11" t="s">
        <v>40</v>
      </c>
      <c r="D383" s="11" t="s">
        <v>120</v>
      </c>
      <c r="E383" s="20">
        <v>42887</v>
      </c>
      <c r="F383" s="35">
        <v>0.67708333333333326</v>
      </c>
      <c r="G383" s="17">
        <v>4</v>
      </c>
      <c r="H383" s="21">
        <v>2656</v>
      </c>
    </row>
    <row r="384" spans="1:8" x14ac:dyDescent="0.2">
      <c r="A384" s="11" t="s">
        <v>75</v>
      </c>
      <c r="B384" s="11" t="s">
        <v>1731</v>
      </c>
      <c r="C384" s="11" t="s">
        <v>24</v>
      </c>
      <c r="D384" s="11" t="s">
        <v>25</v>
      </c>
      <c r="E384" s="20">
        <v>43402</v>
      </c>
      <c r="F384" s="35">
        <v>0.72569444444444442</v>
      </c>
      <c r="G384" s="17">
        <v>4</v>
      </c>
      <c r="H384" s="17">
        <v>2292</v>
      </c>
    </row>
    <row r="385" spans="1:8" x14ac:dyDescent="0.2">
      <c r="A385" s="11" t="s">
        <v>54</v>
      </c>
      <c r="B385" s="11" t="s">
        <v>1731</v>
      </c>
      <c r="C385" s="11" t="s">
        <v>33</v>
      </c>
      <c r="D385" s="11" t="s">
        <v>25</v>
      </c>
      <c r="E385" s="20">
        <v>43507</v>
      </c>
      <c r="F385" s="35">
        <v>0.70138888888888884</v>
      </c>
      <c r="G385" s="17">
        <v>1</v>
      </c>
      <c r="H385" s="17">
        <v>569</v>
      </c>
    </row>
    <row r="386" spans="1:8" x14ac:dyDescent="0.2">
      <c r="A386" s="11" t="s">
        <v>23</v>
      </c>
      <c r="B386" s="11" t="s">
        <v>1733</v>
      </c>
      <c r="C386" s="11" t="s">
        <v>24</v>
      </c>
      <c r="D386" s="11" t="s">
        <v>120</v>
      </c>
      <c r="E386" s="20">
        <v>43511</v>
      </c>
      <c r="F386" s="35">
        <v>0.62152777777777779</v>
      </c>
      <c r="G386" s="17">
        <v>8</v>
      </c>
      <c r="H386" s="17">
        <v>6816</v>
      </c>
    </row>
    <row r="387" spans="1:8" x14ac:dyDescent="0.2">
      <c r="A387" s="11" t="s">
        <v>125</v>
      </c>
      <c r="B387" s="11" t="s">
        <v>1734</v>
      </c>
      <c r="C387" s="11" t="s">
        <v>24</v>
      </c>
      <c r="D387" s="11" t="s">
        <v>219</v>
      </c>
      <c r="E387" s="20">
        <v>43262</v>
      </c>
      <c r="F387" s="35">
        <v>0.71875</v>
      </c>
      <c r="G387" s="17">
        <v>13</v>
      </c>
      <c r="H387" s="17">
        <v>9659</v>
      </c>
    </row>
    <row r="388" spans="1:8" x14ac:dyDescent="0.2">
      <c r="A388" s="11" t="s">
        <v>64</v>
      </c>
      <c r="B388" s="11" t="s">
        <v>1732</v>
      </c>
      <c r="C388" s="11" t="s">
        <v>40</v>
      </c>
      <c r="D388" s="11" t="s">
        <v>34</v>
      </c>
      <c r="E388" s="20">
        <v>43507</v>
      </c>
      <c r="F388" s="35">
        <v>0.72916666666666663</v>
      </c>
      <c r="G388" s="17">
        <v>18</v>
      </c>
      <c r="H388" s="17">
        <v>26334</v>
      </c>
    </row>
    <row r="389" spans="1:8" x14ac:dyDescent="0.2">
      <c r="A389" s="11" t="s">
        <v>49</v>
      </c>
      <c r="B389" s="11" t="s">
        <v>1734</v>
      </c>
      <c r="C389" s="11" t="s">
        <v>40</v>
      </c>
      <c r="D389" s="11" t="s">
        <v>120</v>
      </c>
      <c r="E389" s="20">
        <v>43350</v>
      </c>
      <c r="F389" s="35">
        <v>0.53819444444444442</v>
      </c>
      <c r="G389" s="17">
        <v>13</v>
      </c>
      <c r="H389" s="17">
        <v>6370</v>
      </c>
    </row>
    <row r="390" spans="1:8" x14ac:dyDescent="0.2">
      <c r="A390" s="11" t="s">
        <v>75</v>
      </c>
      <c r="B390" s="11" t="s">
        <v>1735</v>
      </c>
      <c r="C390" s="11" t="s">
        <v>65</v>
      </c>
      <c r="D390" s="11" t="s">
        <v>34</v>
      </c>
      <c r="E390" s="20">
        <v>43401</v>
      </c>
      <c r="F390" s="35">
        <v>0.68402777777777779</v>
      </c>
      <c r="G390" s="17">
        <v>9</v>
      </c>
      <c r="H390" s="17">
        <v>7344</v>
      </c>
    </row>
    <row r="391" spans="1:8" x14ac:dyDescent="0.2">
      <c r="A391" s="11" t="s">
        <v>75</v>
      </c>
      <c r="B391" s="11" t="s">
        <v>1731</v>
      </c>
      <c r="C391" s="11" t="s">
        <v>33</v>
      </c>
      <c r="D391" s="11" t="s">
        <v>41</v>
      </c>
      <c r="E391" s="20">
        <v>43514</v>
      </c>
      <c r="F391" s="35">
        <v>0.65277777777777779</v>
      </c>
      <c r="G391" s="17">
        <v>2</v>
      </c>
      <c r="H391" s="17">
        <v>1352</v>
      </c>
    </row>
    <row r="392" spans="1:8" x14ac:dyDescent="0.2">
      <c r="A392" s="11" t="s">
        <v>78</v>
      </c>
      <c r="B392" s="11" t="s">
        <v>1733</v>
      </c>
      <c r="C392" s="11" t="s">
        <v>24</v>
      </c>
      <c r="D392" s="11" t="s">
        <v>34</v>
      </c>
      <c r="E392" s="20">
        <v>43168</v>
      </c>
      <c r="F392" s="35">
        <v>0.66666666666666663</v>
      </c>
      <c r="G392" s="17">
        <v>13</v>
      </c>
      <c r="H392" s="17">
        <v>6682</v>
      </c>
    </row>
    <row r="393" spans="1:8" x14ac:dyDescent="0.2">
      <c r="A393" s="11" t="s">
        <v>114</v>
      </c>
      <c r="B393" s="11" t="s">
        <v>1732</v>
      </c>
      <c r="C393" s="11" t="s">
        <v>24</v>
      </c>
      <c r="D393" s="11" t="s">
        <v>25</v>
      </c>
      <c r="E393" s="20">
        <v>43178</v>
      </c>
      <c r="F393" s="35">
        <v>0.39930555555555552</v>
      </c>
      <c r="G393" s="17">
        <v>12</v>
      </c>
      <c r="H393" s="17">
        <v>6780</v>
      </c>
    </row>
    <row r="394" spans="1:8" x14ac:dyDescent="0.2">
      <c r="A394" s="11" t="s">
        <v>45</v>
      </c>
      <c r="B394" s="11" t="s">
        <v>1732</v>
      </c>
      <c r="C394" s="11" t="s">
        <v>33</v>
      </c>
      <c r="D394" s="11" t="s">
        <v>25</v>
      </c>
      <c r="E394" s="20">
        <v>43169</v>
      </c>
      <c r="F394" s="35">
        <v>0.38541666666666663</v>
      </c>
      <c r="G394" s="17">
        <v>7</v>
      </c>
      <c r="H394" s="17">
        <v>8288</v>
      </c>
    </row>
    <row r="395" spans="1:8" x14ac:dyDescent="0.2">
      <c r="A395" s="11" t="s">
        <v>49</v>
      </c>
      <c r="B395" s="11" t="s">
        <v>1735</v>
      </c>
      <c r="C395" s="11" t="s">
        <v>65</v>
      </c>
      <c r="D395" s="11" t="s">
        <v>25</v>
      </c>
      <c r="E395" s="20">
        <v>43401</v>
      </c>
      <c r="F395" s="35">
        <v>0.69791666666666663</v>
      </c>
      <c r="G395" s="17">
        <v>6</v>
      </c>
      <c r="H395" s="17">
        <v>5388</v>
      </c>
    </row>
    <row r="396" spans="1:8" x14ac:dyDescent="0.2">
      <c r="A396" s="11" t="s">
        <v>125</v>
      </c>
      <c r="B396" s="11" t="s">
        <v>1731</v>
      </c>
      <c r="C396" s="11" t="s">
        <v>40</v>
      </c>
      <c r="D396" s="11" t="s">
        <v>120</v>
      </c>
      <c r="E396" s="20">
        <v>43337</v>
      </c>
      <c r="F396" s="35">
        <v>0.45138888888888884</v>
      </c>
      <c r="G396" s="17">
        <v>3</v>
      </c>
      <c r="H396" s="17">
        <v>1956</v>
      </c>
    </row>
    <row r="397" spans="1:8" x14ac:dyDescent="0.2">
      <c r="A397" s="11" t="s">
        <v>89</v>
      </c>
      <c r="B397" s="11" t="s">
        <v>1734</v>
      </c>
      <c r="C397" s="11" t="s">
        <v>65</v>
      </c>
      <c r="D397" s="11" t="s">
        <v>25</v>
      </c>
      <c r="E397" s="20">
        <v>42877</v>
      </c>
      <c r="F397" s="35">
        <v>0.68402777777777779</v>
      </c>
      <c r="G397" s="17">
        <v>7</v>
      </c>
      <c r="H397" s="21">
        <v>4984</v>
      </c>
    </row>
    <row r="398" spans="1:8" x14ac:dyDescent="0.2">
      <c r="A398" s="11" t="s">
        <v>89</v>
      </c>
      <c r="B398" s="11" t="s">
        <v>1733</v>
      </c>
      <c r="C398" s="11" t="s">
        <v>65</v>
      </c>
      <c r="D398" s="11" t="s">
        <v>120</v>
      </c>
      <c r="E398" s="20">
        <v>43133</v>
      </c>
      <c r="F398" s="35">
        <v>0.60069444444444442</v>
      </c>
      <c r="G398" s="17">
        <v>2</v>
      </c>
      <c r="H398" s="17">
        <v>2636</v>
      </c>
    </row>
    <row r="399" spans="1:8" x14ac:dyDescent="0.2">
      <c r="A399" s="11" t="s">
        <v>54</v>
      </c>
      <c r="B399" s="11" t="s">
        <v>1734</v>
      </c>
      <c r="C399" s="11" t="s">
        <v>40</v>
      </c>
      <c r="D399" s="11" t="s">
        <v>219</v>
      </c>
      <c r="E399" s="20">
        <v>43024</v>
      </c>
      <c r="F399" s="35">
        <v>0.67708333333333326</v>
      </c>
      <c r="G399" s="17">
        <v>15</v>
      </c>
      <c r="H399" s="17">
        <v>12285</v>
      </c>
    </row>
    <row r="400" spans="1:8" x14ac:dyDescent="0.2">
      <c r="A400" s="11" t="s">
        <v>78</v>
      </c>
      <c r="B400" s="11" t="s">
        <v>1732</v>
      </c>
      <c r="C400" s="11" t="s">
        <v>40</v>
      </c>
      <c r="D400" s="11" t="s">
        <v>120</v>
      </c>
      <c r="E400" s="20">
        <v>42992</v>
      </c>
      <c r="F400" s="35">
        <v>0.57291666666666663</v>
      </c>
      <c r="G400" s="17">
        <v>3</v>
      </c>
      <c r="H400" s="17">
        <v>4812</v>
      </c>
    </row>
    <row r="401" spans="1:8" x14ac:dyDescent="0.2">
      <c r="A401" s="11" t="s">
        <v>117</v>
      </c>
      <c r="B401" s="11" t="s">
        <v>1735</v>
      </c>
      <c r="C401" s="11" t="s">
        <v>24</v>
      </c>
      <c r="D401" s="11" t="s">
        <v>34</v>
      </c>
      <c r="E401" s="20">
        <v>43400</v>
      </c>
      <c r="F401" s="35">
        <v>0.4861111111111111</v>
      </c>
      <c r="G401" s="17">
        <v>6</v>
      </c>
      <c r="H401" s="17">
        <v>4680</v>
      </c>
    </row>
    <row r="402" spans="1:8" x14ac:dyDescent="0.2">
      <c r="A402" s="11" t="s">
        <v>64</v>
      </c>
      <c r="B402" s="11" t="s">
        <v>1733</v>
      </c>
      <c r="C402" s="11" t="s">
        <v>33</v>
      </c>
      <c r="D402" s="11" t="s">
        <v>120</v>
      </c>
      <c r="E402" s="20">
        <v>42884</v>
      </c>
      <c r="F402" s="35">
        <v>0.48958333333333331</v>
      </c>
      <c r="G402" s="17">
        <v>9</v>
      </c>
      <c r="H402" s="21">
        <v>7470</v>
      </c>
    </row>
    <row r="403" spans="1:8" x14ac:dyDescent="0.2">
      <c r="A403" s="11" t="s">
        <v>78</v>
      </c>
      <c r="B403" s="11" t="s">
        <v>1731</v>
      </c>
      <c r="C403" s="11" t="s">
        <v>65</v>
      </c>
      <c r="D403" s="11" t="s">
        <v>219</v>
      </c>
      <c r="E403" s="20">
        <v>43223</v>
      </c>
      <c r="F403" s="35">
        <v>0.47222222222222221</v>
      </c>
      <c r="G403" s="17">
        <v>1</v>
      </c>
      <c r="H403" s="17">
        <v>438</v>
      </c>
    </row>
    <row r="404" spans="1:8" x14ac:dyDescent="0.2">
      <c r="A404" s="11" t="s">
        <v>32</v>
      </c>
      <c r="B404" s="11" t="s">
        <v>1734</v>
      </c>
      <c r="C404" s="11" t="s">
        <v>65</v>
      </c>
      <c r="D404" s="11" t="s">
        <v>120</v>
      </c>
      <c r="E404" s="20">
        <v>43140</v>
      </c>
      <c r="F404" s="35">
        <v>0.58680555555555547</v>
      </c>
      <c r="G404" s="17">
        <v>5</v>
      </c>
      <c r="H404" s="17">
        <v>2315</v>
      </c>
    </row>
    <row r="405" spans="1:8" x14ac:dyDescent="0.2">
      <c r="A405" s="11" t="s">
        <v>49</v>
      </c>
      <c r="B405" s="11" t="s">
        <v>1735</v>
      </c>
      <c r="C405" s="11" t="s">
        <v>40</v>
      </c>
      <c r="D405" s="11" t="s">
        <v>25</v>
      </c>
      <c r="E405" s="20">
        <v>43311</v>
      </c>
      <c r="F405" s="35">
        <v>0.70138888888888884</v>
      </c>
      <c r="G405" s="17">
        <v>4</v>
      </c>
      <c r="H405" s="17">
        <v>1916</v>
      </c>
    </row>
    <row r="406" spans="1:8" x14ac:dyDescent="0.2">
      <c r="A406" s="11" t="s">
        <v>125</v>
      </c>
      <c r="B406" s="11" t="s">
        <v>1735</v>
      </c>
      <c r="C406" s="11" t="s">
        <v>24</v>
      </c>
      <c r="D406" s="11" t="s">
        <v>25</v>
      </c>
      <c r="E406" s="20">
        <v>43247</v>
      </c>
      <c r="F406" s="35">
        <v>0.4548611111111111</v>
      </c>
      <c r="G406" s="17">
        <v>14</v>
      </c>
      <c r="H406" s="17">
        <v>10528</v>
      </c>
    </row>
    <row r="407" spans="1:8" x14ac:dyDescent="0.2">
      <c r="A407" s="11" t="s">
        <v>75</v>
      </c>
      <c r="B407" s="11" t="s">
        <v>1731</v>
      </c>
      <c r="C407" s="11" t="s">
        <v>65</v>
      </c>
      <c r="D407" s="11" t="s">
        <v>25</v>
      </c>
      <c r="E407" s="20">
        <v>43534</v>
      </c>
      <c r="F407" s="35">
        <v>0.71180555555555547</v>
      </c>
      <c r="G407" s="17">
        <v>3</v>
      </c>
      <c r="H407" s="17">
        <v>1920</v>
      </c>
    </row>
    <row r="408" spans="1:8" x14ac:dyDescent="0.2">
      <c r="A408" s="11" t="s">
        <v>45</v>
      </c>
      <c r="B408" s="11" t="s">
        <v>1732</v>
      </c>
      <c r="C408" s="11" t="s">
        <v>33</v>
      </c>
      <c r="D408" s="11" t="s">
        <v>120</v>
      </c>
      <c r="E408" s="20">
        <v>42940</v>
      </c>
      <c r="F408" s="35">
        <v>0.47222222222222221</v>
      </c>
      <c r="G408" s="17">
        <v>3</v>
      </c>
      <c r="H408" s="17">
        <v>1356</v>
      </c>
    </row>
    <row r="409" spans="1:8" x14ac:dyDescent="0.2">
      <c r="A409" s="11" t="s">
        <v>45</v>
      </c>
      <c r="B409" s="11" t="s">
        <v>1734</v>
      </c>
      <c r="C409" s="11" t="s">
        <v>65</v>
      </c>
      <c r="D409" s="11" t="s">
        <v>41</v>
      </c>
      <c r="E409" s="20">
        <v>43220</v>
      </c>
      <c r="F409" s="35">
        <v>0.56597222222222221</v>
      </c>
      <c r="G409" s="17">
        <v>7</v>
      </c>
      <c r="H409" s="17">
        <v>2905</v>
      </c>
    </row>
    <row r="410" spans="1:8" x14ac:dyDescent="0.2">
      <c r="A410" s="11" t="s">
        <v>45</v>
      </c>
      <c r="B410" s="11" t="s">
        <v>1734</v>
      </c>
      <c r="C410" s="11" t="s">
        <v>65</v>
      </c>
      <c r="D410" s="11" t="s">
        <v>219</v>
      </c>
      <c r="E410" s="20">
        <v>43316</v>
      </c>
      <c r="F410" s="35">
        <v>0.45833333333333331</v>
      </c>
      <c r="G410" s="17">
        <v>9</v>
      </c>
      <c r="H410" s="17">
        <v>5526</v>
      </c>
    </row>
    <row r="411" spans="1:8" x14ac:dyDescent="0.2">
      <c r="A411" s="11" t="s">
        <v>125</v>
      </c>
      <c r="B411" s="11" t="s">
        <v>1735</v>
      </c>
      <c r="C411" s="11" t="s">
        <v>33</v>
      </c>
      <c r="D411" s="11" t="s">
        <v>34</v>
      </c>
      <c r="E411" s="20">
        <v>43520</v>
      </c>
      <c r="F411" s="35">
        <v>0.50347222222222221</v>
      </c>
      <c r="G411" s="17">
        <v>17</v>
      </c>
      <c r="H411" s="17">
        <v>13872</v>
      </c>
    </row>
    <row r="412" spans="1:8" x14ac:dyDescent="0.2">
      <c r="A412" s="11" t="s">
        <v>89</v>
      </c>
      <c r="B412" s="11" t="s">
        <v>1731</v>
      </c>
      <c r="C412" s="11" t="s">
        <v>40</v>
      </c>
      <c r="D412" s="11" t="s">
        <v>41</v>
      </c>
      <c r="E412" s="20">
        <v>43322</v>
      </c>
      <c r="F412" s="35">
        <v>0.4236111111111111</v>
      </c>
      <c r="G412" s="17">
        <v>1</v>
      </c>
      <c r="H412" s="17">
        <v>328</v>
      </c>
    </row>
    <row r="413" spans="1:8" x14ac:dyDescent="0.2">
      <c r="A413" s="11" t="s">
        <v>32</v>
      </c>
      <c r="B413" s="11" t="s">
        <v>1732</v>
      </c>
      <c r="C413" s="11" t="s">
        <v>40</v>
      </c>
      <c r="D413" s="11" t="s">
        <v>41</v>
      </c>
      <c r="E413" s="20">
        <v>43528</v>
      </c>
      <c r="F413" s="35">
        <v>0.46527777777777773</v>
      </c>
      <c r="G413" s="17">
        <v>10</v>
      </c>
      <c r="H413" s="17">
        <v>14160</v>
      </c>
    </row>
    <row r="414" spans="1:8" x14ac:dyDescent="0.2">
      <c r="A414" s="11" t="s">
        <v>114</v>
      </c>
      <c r="B414" s="11" t="s">
        <v>1731</v>
      </c>
      <c r="C414" s="11" t="s">
        <v>33</v>
      </c>
      <c r="D414" s="11" t="s">
        <v>120</v>
      </c>
      <c r="E414" s="20">
        <v>43364</v>
      </c>
      <c r="F414" s="35">
        <v>0.34722222222222221</v>
      </c>
      <c r="G414" s="17">
        <v>4</v>
      </c>
      <c r="H414" s="17">
        <v>2144</v>
      </c>
    </row>
    <row r="415" spans="1:8" x14ac:dyDescent="0.2">
      <c r="A415" s="11" t="s">
        <v>32</v>
      </c>
      <c r="B415" s="11" t="s">
        <v>1734</v>
      </c>
      <c r="C415" s="11" t="s">
        <v>24</v>
      </c>
      <c r="D415" s="11" t="s">
        <v>120</v>
      </c>
      <c r="E415" s="20">
        <v>42877</v>
      </c>
      <c r="F415" s="35">
        <v>0.69444444444444442</v>
      </c>
      <c r="G415" s="17">
        <v>5</v>
      </c>
      <c r="H415" s="21">
        <v>4475</v>
      </c>
    </row>
    <row r="416" spans="1:8" x14ac:dyDescent="0.2">
      <c r="A416" s="11" t="s">
        <v>54</v>
      </c>
      <c r="B416" s="11" t="s">
        <v>1731</v>
      </c>
      <c r="C416" s="11" t="s">
        <v>33</v>
      </c>
      <c r="D416" s="11" t="s">
        <v>34</v>
      </c>
      <c r="E416" s="20">
        <v>43511</v>
      </c>
      <c r="F416" s="35">
        <v>0.60069444444444442</v>
      </c>
      <c r="G416" s="17">
        <v>18</v>
      </c>
      <c r="H416" s="17">
        <v>5958</v>
      </c>
    </row>
    <row r="417" spans="1:8" x14ac:dyDescent="0.2">
      <c r="A417" s="11" t="s">
        <v>32</v>
      </c>
      <c r="B417" s="11" t="s">
        <v>1731</v>
      </c>
      <c r="C417" s="11" t="s">
        <v>65</v>
      </c>
      <c r="D417" s="11" t="s">
        <v>34</v>
      </c>
      <c r="E417" s="20">
        <v>43399</v>
      </c>
      <c r="F417" s="35">
        <v>0.68402777777777779</v>
      </c>
      <c r="G417" s="17">
        <v>17</v>
      </c>
      <c r="H417" s="17">
        <v>8228</v>
      </c>
    </row>
    <row r="418" spans="1:8" x14ac:dyDescent="0.2">
      <c r="A418" s="11" t="s">
        <v>23</v>
      </c>
      <c r="B418" s="11" t="s">
        <v>1733</v>
      </c>
      <c r="C418" s="11" t="s">
        <v>40</v>
      </c>
      <c r="D418" s="11" t="s">
        <v>41</v>
      </c>
      <c r="E418" s="20">
        <v>43399</v>
      </c>
      <c r="F418" s="35">
        <v>0.73263888888888884</v>
      </c>
      <c r="G418" s="17">
        <v>3</v>
      </c>
      <c r="H418" s="17">
        <v>2646</v>
      </c>
    </row>
    <row r="419" spans="1:8" x14ac:dyDescent="0.2">
      <c r="A419" s="11" t="s">
        <v>23</v>
      </c>
      <c r="B419" s="11" t="s">
        <v>1735</v>
      </c>
      <c r="C419" s="11" t="s">
        <v>65</v>
      </c>
      <c r="D419" s="11" t="s">
        <v>34</v>
      </c>
      <c r="E419" s="20">
        <v>42882</v>
      </c>
      <c r="F419" s="35">
        <v>0.5</v>
      </c>
      <c r="G419" s="17">
        <v>9</v>
      </c>
      <c r="H419" s="17">
        <v>8028</v>
      </c>
    </row>
    <row r="420" spans="1:8" x14ac:dyDescent="0.2">
      <c r="A420" s="11" t="s">
        <v>89</v>
      </c>
      <c r="B420" s="11" t="s">
        <v>1733</v>
      </c>
      <c r="C420" s="11" t="s">
        <v>40</v>
      </c>
      <c r="D420" s="11" t="s">
        <v>120</v>
      </c>
      <c r="E420" s="20">
        <v>43021</v>
      </c>
      <c r="F420" s="35">
        <v>0.6875</v>
      </c>
      <c r="G420" s="17">
        <v>10</v>
      </c>
      <c r="H420" s="17">
        <v>10770</v>
      </c>
    </row>
    <row r="421" spans="1:8" x14ac:dyDescent="0.2">
      <c r="A421" s="11" t="s">
        <v>64</v>
      </c>
      <c r="B421" s="11" t="s">
        <v>1733</v>
      </c>
      <c r="C421" s="11" t="s">
        <v>33</v>
      </c>
      <c r="D421" s="11" t="s">
        <v>25</v>
      </c>
      <c r="E421" s="20">
        <v>43247</v>
      </c>
      <c r="F421" s="35">
        <v>0.60069444444444442</v>
      </c>
      <c r="G421" s="17">
        <v>3</v>
      </c>
      <c r="H421" s="17">
        <v>1581</v>
      </c>
    </row>
    <row r="422" spans="1:8" x14ac:dyDescent="0.2">
      <c r="A422" s="11" t="s">
        <v>54</v>
      </c>
      <c r="B422" s="11" t="s">
        <v>1734</v>
      </c>
      <c r="C422" s="11" t="s">
        <v>33</v>
      </c>
      <c r="D422" s="11" t="s">
        <v>219</v>
      </c>
      <c r="E422" s="20">
        <v>43399</v>
      </c>
      <c r="F422" s="35">
        <v>0.71527777777777779</v>
      </c>
      <c r="G422" s="17">
        <v>5</v>
      </c>
      <c r="H422" s="17">
        <v>3970</v>
      </c>
    </row>
    <row r="423" spans="1:8" x14ac:dyDescent="0.2">
      <c r="A423" s="11" t="s">
        <v>114</v>
      </c>
      <c r="B423" s="11" t="s">
        <v>1732</v>
      </c>
      <c r="C423" s="11" t="s">
        <v>40</v>
      </c>
      <c r="D423" s="11" t="s">
        <v>41</v>
      </c>
      <c r="E423" s="20">
        <v>42867</v>
      </c>
      <c r="F423" s="35">
        <v>0.4375</v>
      </c>
      <c r="G423" s="17">
        <v>4</v>
      </c>
      <c r="H423" s="21">
        <v>4532</v>
      </c>
    </row>
    <row r="424" spans="1:8" x14ac:dyDescent="0.2">
      <c r="A424" s="11" t="s">
        <v>114</v>
      </c>
      <c r="B424" s="11" t="s">
        <v>1733</v>
      </c>
      <c r="C424" s="11" t="s">
        <v>33</v>
      </c>
      <c r="D424" s="11" t="s">
        <v>41</v>
      </c>
      <c r="E424" s="20">
        <v>43555</v>
      </c>
      <c r="F424" s="35">
        <v>0.52777777777777779</v>
      </c>
      <c r="G424" s="17">
        <v>15</v>
      </c>
      <c r="H424" s="17">
        <v>8520</v>
      </c>
    </row>
    <row r="425" spans="1:8" x14ac:dyDescent="0.2">
      <c r="A425" s="11" t="s">
        <v>32</v>
      </c>
      <c r="B425" s="11" t="s">
        <v>1732</v>
      </c>
      <c r="C425" s="11" t="s">
        <v>40</v>
      </c>
      <c r="D425" s="11" t="s">
        <v>219</v>
      </c>
      <c r="E425" s="20">
        <v>43171</v>
      </c>
      <c r="F425" s="35">
        <v>0.38541666666666663</v>
      </c>
      <c r="G425" s="17">
        <v>8</v>
      </c>
      <c r="H425" s="17">
        <v>10176</v>
      </c>
    </row>
    <row r="426" spans="1:8" x14ac:dyDescent="0.2">
      <c r="A426" s="11" t="s">
        <v>78</v>
      </c>
      <c r="B426" s="11" t="s">
        <v>1733</v>
      </c>
      <c r="C426" s="11" t="s">
        <v>33</v>
      </c>
      <c r="D426" s="11" t="s">
        <v>25</v>
      </c>
      <c r="E426" s="20">
        <v>43231</v>
      </c>
      <c r="F426" s="35">
        <v>0.53472222222222221</v>
      </c>
      <c r="G426" s="17">
        <v>14</v>
      </c>
      <c r="H426" s="17">
        <v>16422</v>
      </c>
    </row>
    <row r="427" spans="1:8" x14ac:dyDescent="0.2">
      <c r="A427" s="11" t="s">
        <v>23</v>
      </c>
      <c r="B427" s="11" t="s">
        <v>1733</v>
      </c>
      <c r="C427" s="11" t="s">
        <v>24</v>
      </c>
      <c r="D427" s="11" t="s">
        <v>120</v>
      </c>
      <c r="E427" s="20">
        <v>43336</v>
      </c>
      <c r="F427" s="35">
        <v>0.45138888888888884</v>
      </c>
      <c r="G427" s="17">
        <v>11</v>
      </c>
      <c r="H427" s="17">
        <v>8140</v>
      </c>
    </row>
    <row r="428" spans="1:8" x14ac:dyDescent="0.2">
      <c r="A428" s="11" t="s">
        <v>64</v>
      </c>
      <c r="B428" s="11" t="s">
        <v>1732</v>
      </c>
      <c r="C428" s="11" t="s">
        <v>33</v>
      </c>
      <c r="D428" s="11" t="s">
        <v>25</v>
      </c>
      <c r="E428" s="20">
        <v>42944</v>
      </c>
      <c r="F428" s="35">
        <v>0.73958333333333326</v>
      </c>
      <c r="G428" s="17">
        <v>11</v>
      </c>
      <c r="H428" s="17">
        <v>17193</v>
      </c>
    </row>
    <row r="429" spans="1:8" x14ac:dyDescent="0.2">
      <c r="A429" s="11" t="s">
        <v>54</v>
      </c>
      <c r="B429" s="11" t="s">
        <v>1732</v>
      </c>
      <c r="C429" s="11" t="s">
        <v>40</v>
      </c>
      <c r="D429" s="11" t="s">
        <v>219</v>
      </c>
      <c r="E429" s="20">
        <v>43184</v>
      </c>
      <c r="F429" s="35">
        <v>0.41666666666666663</v>
      </c>
      <c r="G429" s="17">
        <v>13</v>
      </c>
      <c r="H429" s="17">
        <v>14196</v>
      </c>
    </row>
    <row r="430" spans="1:8" x14ac:dyDescent="0.2">
      <c r="A430" s="11" t="s">
        <v>125</v>
      </c>
      <c r="B430" s="11" t="s">
        <v>1734</v>
      </c>
      <c r="C430" s="11" t="s">
        <v>65</v>
      </c>
      <c r="D430" s="11" t="s">
        <v>34</v>
      </c>
      <c r="E430" s="20">
        <v>42898</v>
      </c>
      <c r="F430" s="35">
        <v>0.40972222222222221</v>
      </c>
      <c r="G430" s="17">
        <v>17</v>
      </c>
      <c r="H430" s="17">
        <v>10098</v>
      </c>
    </row>
    <row r="431" spans="1:8" x14ac:dyDescent="0.2">
      <c r="A431" s="11" t="s">
        <v>78</v>
      </c>
      <c r="B431" s="11" t="s">
        <v>1733</v>
      </c>
      <c r="C431" s="11" t="s">
        <v>65</v>
      </c>
      <c r="D431" s="11" t="s">
        <v>120</v>
      </c>
      <c r="E431" s="20">
        <v>43399</v>
      </c>
      <c r="F431" s="35">
        <v>0.50694444444444442</v>
      </c>
      <c r="G431" s="17">
        <v>14</v>
      </c>
      <c r="H431" s="17">
        <v>20020</v>
      </c>
    </row>
    <row r="432" spans="1:8" x14ac:dyDescent="0.2">
      <c r="A432" s="11" t="s">
        <v>23</v>
      </c>
      <c r="B432" s="11" t="s">
        <v>1731</v>
      </c>
      <c r="C432" s="11" t="s">
        <v>24</v>
      </c>
      <c r="D432" s="11" t="s">
        <v>219</v>
      </c>
      <c r="E432" s="20">
        <v>43398</v>
      </c>
      <c r="F432" s="35">
        <v>0.70486111111111105</v>
      </c>
      <c r="G432" s="17">
        <v>3</v>
      </c>
      <c r="H432" s="17">
        <v>1473</v>
      </c>
    </row>
    <row r="433" spans="1:8" x14ac:dyDescent="0.2">
      <c r="A433" s="11" t="s">
        <v>45</v>
      </c>
      <c r="B433" s="11" t="s">
        <v>1734</v>
      </c>
      <c r="C433" s="11" t="s">
        <v>65</v>
      </c>
      <c r="D433" s="11" t="s">
        <v>34</v>
      </c>
      <c r="E433" s="20">
        <v>43174</v>
      </c>
      <c r="F433" s="35">
        <v>0.33680555555555552</v>
      </c>
      <c r="G433" s="17">
        <v>14</v>
      </c>
      <c r="H433" s="17">
        <v>12110</v>
      </c>
    </row>
    <row r="434" spans="1:8" x14ac:dyDescent="0.2">
      <c r="A434" s="11" t="s">
        <v>89</v>
      </c>
      <c r="B434" s="11" t="s">
        <v>1732</v>
      </c>
      <c r="C434" s="11" t="s">
        <v>33</v>
      </c>
      <c r="D434" s="11" t="s">
        <v>41</v>
      </c>
      <c r="E434" s="20">
        <v>43209</v>
      </c>
      <c r="F434" s="35">
        <v>0.73263888888888884</v>
      </c>
      <c r="G434" s="17">
        <v>12</v>
      </c>
      <c r="H434" s="17">
        <v>22080</v>
      </c>
    </row>
    <row r="435" spans="1:8" x14ac:dyDescent="0.2">
      <c r="A435" s="11" t="s">
        <v>64</v>
      </c>
      <c r="B435" s="11" t="s">
        <v>1734</v>
      </c>
      <c r="C435" s="11" t="s">
        <v>33</v>
      </c>
      <c r="D435" s="11" t="s">
        <v>120</v>
      </c>
      <c r="E435" s="20">
        <v>43252</v>
      </c>
      <c r="F435" s="35">
        <v>0.43402777777777773</v>
      </c>
      <c r="G435" s="17">
        <v>11</v>
      </c>
      <c r="H435" s="17">
        <v>8393</v>
      </c>
    </row>
    <row r="436" spans="1:8" x14ac:dyDescent="0.2">
      <c r="A436" s="11" t="s">
        <v>32</v>
      </c>
      <c r="B436" s="11" t="s">
        <v>1735</v>
      </c>
      <c r="C436" s="11" t="s">
        <v>65</v>
      </c>
      <c r="D436" s="11" t="s">
        <v>25</v>
      </c>
      <c r="E436" s="20">
        <v>42884</v>
      </c>
      <c r="F436" s="35">
        <v>0.44444444444444442</v>
      </c>
      <c r="G436" s="17">
        <v>3</v>
      </c>
      <c r="H436" s="21">
        <v>2448</v>
      </c>
    </row>
    <row r="437" spans="1:8" x14ac:dyDescent="0.2">
      <c r="A437" s="11" t="s">
        <v>78</v>
      </c>
      <c r="B437" s="11" t="s">
        <v>1733</v>
      </c>
      <c r="C437" s="11" t="s">
        <v>33</v>
      </c>
      <c r="D437" s="11" t="s">
        <v>25</v>
      </c>
      <c r="E437" s="20">
        <v>43398</v>
      </c>
      <c r="F437" s="35">
        <v>0.52430555555555558</v>
      </c>
      <c r="G437" s="17">
        <v>10</v>
      </c>
      <c r="H437" s="17">
        <v>6940</v>
      </c>
    </row>
    <row r="438" spans="1:8" x14ac:dyDescent="0.2">
      <c r="A438" s="11" t="s">
        <v>78</v>
      </c>
      <c r="B438" s="11" t="s">
        <v>1733</v>
      </c>
      <c r="C438" s="11" t="s">
        <v>40</v>
      </c>
      <c r="D438" s="11" t="s">
        <v>219</v>
      </c>
      <c r="E438" s="20">
        <v>43398</v>
      </c>
      <c r="F438" s="35">
        <v>0.65625</v>
      </c>
      <c r="G438" s="17">
        <v>15</v>
      </c>
      <c r="H438" s="17">
        <v>13725</v>
      </c>
    </row>
    <row r="439" spans="1:8" x14ac:dyDescent="0.2">
      <c r="A439" s="11" t="s">
        <v>89</v>
      </c>
      <c r="B439" s="11" t="s">
        <v>1733</v>
      </c>
      <c r="C439" s="11" t="s">
        <v>40</v>
      </c>
      <c r="D439" s="11" t="s">
        <v>41</v>
      </c>
      <c r="E439" s="20">
        <v>43567</v>
      </c>
      <c r="F439" s="35">
        <v>0.43055555555555552</v>
      </c>
      <c r="G439" s="17">
        <v>7</v>
      </c>
      <c r="H439" s="17">
        <v>7308</v>
      </c>
    </row>
    <row r="440" spans="1:8" x14ac:dyDescent="0.2">
      <c r="A440" s="11" t="s">
        <v>78</v>
      </c>
      <c r="B440" s="11" t="s">
        <v>1732</v>
      </c>
      <c r="C440" s="11" t="s">
        <v>40</v>
      </c>
      <c r="D440" s="11" t="s">
        <v>120</v>
      </c>
      <c r="E440" s="20">
        <v>43239</v>
      </c>
      <c r="F440" s="35">
        <v>0.66666666666666663</v>
      </c>
      <c r="G440" s="17">
        <v>8</v>
      </c>
      <c r="H440" s="17">
        <v>15216</v>
      </c>
    </row>
    <row r="441" spans="1:8" x14ac:dyDescent="0.2">
      <c r="A441" s="11" t="s">
        <v>89</v>
      </c>
      <c r="B441" s="11" t="s">
        <v>1732</v>
      </c>
      <c r="C441" s="11" t="s">
        <v>24</v>
      </c>
      <c r="D441" s="11" t="s">
        <v>41</v>
      </c>
      <c r="E441" s="20">
        <v>42933</v>
      </c>
      <c r="F441" s="35">
        <v>0.61111111111111105</v>
      </c>
      <c r="G441" s="17">
        <v>15</v>
      </c>
      <c r="H441" s="17">
        <v>28650</v>
      </c>
    </row>
    <row r="442" spans="1:8" x14ac:dyDescent="0.2">
      <c r="A442" s="11" t="s">
        <v>117</v>
      </c>
      <c r="B442" s="11" t="s">
        <v>1735</v>
      </c>
      <c r="C442" s="11" t="s">
        <v>40</v>
      </c>
      <c r="D442" s="11" t="s">
        <v>25</v>
      </c>
      <c r="E442" s="20">
        <v>43398</v>
      </c>
      <c r="F442" s="35">
        <v>0.67361111111111105</v>
      </c>
      <c r="G442" s="17">
        <v>7</v>
      </c>
      <c r="H442" s="17">
        <v>3101</v>
      </c>
    </row>
    <row r="443" spans="1:8" x14ac:dyDescent="0.2">
      <c r="A443" s="11" t="s">
        <v>78</v>
      </c>
      <c r="B443" s="11" t="s">
        <v>1733</v>
      </c>
      <c r="C443" s="11" t="s">
        <v>33</v>
      </c>
      <c r="D443" s="11" t="s">
        <v>34</v>
      </c>
      <c r="E443" s="20">
        <v>43157</v>
      </c>
      <c r="F443" s="35">
        <v>0.61805555555555547</v>
      </c>
      <c r="G443" s="17">
        <v>9</v>
      </c>
      <c r="H443" s="17">
        <v>5274</v>
      </c>
    </row>
    <row r="444" spans="1:8" x14ac:dyDescent="0.2">
      <c r="A444" s="11" t="s">
        <v>32</v>
      </c>
      <c r="B444" s="11" t="s">
        <v>1735</v>
      </c>
      <c r="C444" s="11" t="s">
        <v>33</v>
      </c>
      <c r="D444" s="11" t="s">
        <v>219</v>
      </c>
      <c r="E444" s="20">
        <v>43154</v>
      </c>
      <c r="F444" s="35">
        <v>0.57986111111111105</v>
      </c>
      <c r="G444" s="17">
        <v>6</v>
      </c>
      <c r="H444" s="17">
        <v>3564</v>
      </c>
    </row>
    <row r="445" spans="1:8" x14ac:dyDescent="0.2">
      <c r="A445" s="11" t="s">
        <v>64</v>
      </c>
      <c r="B445" s="11" t="s">
        <v>1731</v>
      </c>
      <c r="C445" s="11" t="s">
        <v>24</v>
      </c>
      <c r="D445" s="11" t="s">
        <v>34</v>
      </c>
      <c r="E445" s="20">
        <v>43395</v>
      </c>
      <c r="F445" s="35">
        <v>0.60069444444444442</v>
      </c>
      <c r="G445" s="17">
        <v>8</v>
      </c>
      <c r="H445" s="17">
        <v>4600</v>
      </c>
    </row>
    <row r="446" spans="1:8" x14ac:dyDescent="0.2">
      <c r="A446" s="11" t="s">
        <v>117</v>
      </c>
      <c r="B446" s="11" t="s">
        <v>1731</v>
      </c>
      <c r="C446" s="11" t="s">
        <v>24</v>
      </c>
      <c r="D446" s="11" t="s">
        <v>120</v>
      </c>
      <c r="E446" s="20">
        <v>42981</v>
      </c>
      <c r="F446" s="35">
        <v>0.39583333333333331</v>
      </c>
      <c r="G446" s="17">
        <v>15</v>
      </c>
      <c r="H446" s="17">
        <v>5880</v>
      </c>
    </row>
    <row r="447" spans="1:8" x14ac:dyDescent="0.2">
      <c r="A447" s="11" t="s">
        <v>64</v>
      </c>
      <c r="B447" s="11" t="s">
        <v>1734</v>
      </c>
      <c r="C447" s="11" t="s">
        <v>65</v>
      </c>
      <c r="D447" s="11" t="s">
        <v>219</v>
      </c>
      <c r="E447" s="20">
        <v>43360</v>
      </c>
      <c r="F447" s="35">
        <v>0.63194444444444442</v>
      </c>
      <c r="G447" s="17">
        <v>12</v>
      </c>
      <c r="H447" s="17">
        <v>6744</v>
      </c>
    </row>
    <row r="448" spans="1:8" x14ac:dyDescent="0.2">
      <c r="A448" s="11" t="s">
        <v>23</v>
      </c>
      <c r="B448" s="11" t="s">
        <v>1735</v>
      </c>
      <c r="C448" s="11" t="s">
        <v>33</v>
      </c>
      <c r="D448" s="11" t="s">
        <v>34</v>
      </c>
      <c r="E448" s="20">
        <v>43296</v>
      </c>
      <c r="F448" s="35">
        <v>0.70833333333333326</v>
      </c>
      <c r="G448" s="17">
        <v>18</v>
      </c>
      <c r="H448" s="17">
        <v>10260</v>
      </c>
    </row>
    <row r="449" spans="1:8" x14ac:dyDescent="0.2">
      <c r="A449" s="11" t="s">
        <v>125</v>
      </c>
      <c r="B449" s="11" t="s">
        <v>1732</v>
      </c>
      <c r="C449" s="11" t="s">
        <v>33</v>
      </c>
      <c r="D449" s="11" t="s">
        <v>34</v>
      </c>
      <c r="E449" s="20">
        <v>43121</v>
      </c>
      <c r="F449" s="35">
        <v>0.57291666666666663</v>
      </c>
      <c r="G449" s="17">
        <v>19</v>
      </c>
      <c r="H449" s="17">
        <v>34276</v>
      </c>
    </row>
    <row r="450" spans="1:8" x14ac:dyDescent="0.2">
      <c r="A450" s="11" t="s">
        <v>64</v>
      </c>
      <c r="B450" s="11" t="s">
        <v>1734</v>
      </c>
      <c r="C450" s="11" t="s">
        <v>40</v>
      </c>
      <c r="D450" s="11" t="s">
        <v>34</v>
      </c>
      <c r="E450" s="20">
        <v>43021</v>
      </c>
      <c r="F450" s="35">
        <v>0.72569444444444442</v>
      </c>
      <c r="G450" s="17">
        <v>19</v>
      </c>
      <c r="H450" s="17">
        <v>13224</v>
      </c>
    </row>
    <row r="451" spans="1:8" x14ac:dyDescent="0.2">
      <c r="A451" s="11" t="s">
        <v>45</v>
      </c>
      <c r="B451" s="11" t="s">
        <v>1731</v>
      </c>
      <c r="C451" s="11" t="s">
        <v>65</v>
      </c>
      <c r="D451" s="11" t="s">
        <v>25</v>
      </c>
      <c r="E451" s="20">
        <v>43356</v>
      </c>
      <c r="F451" s="35">
        <v>0.64930555555555547</v>
      </c>
      <c r="G451" s="17">
        <v>13</v>
      </c>
      <c r="H451" s="17">
        <v>5447</v>
      </c>
    </row>
    <row r="452" spans="1:8" x14ac:dyDescent="0.2">
      <c r="A452" s="11" t="s">
        <v>89</v>
      </c>
      <c r="B452" s="11" t="s">
        <v>1731</v>
      </c>
      <c r="C452" s="11" t="s">
        <v>40</v>
      </c>
      <c r="D452" s="11" t="s">
        <v>34</v>
      </c>
      <c r="E452" s="20">
        <v>43276</v>
      </c>
      <c r="F452" s="35">
        <v>0.64236111111111105</v>
      </c>
      <c r="G452" s="17">
        <v>8</v>
      </c>
      <c r="H452" s="17">
        <v>4424</v>
      </c>
    </row>
    <row r="453" spans="1:8" x14ac:dyDescent="0.2">
      <c r="A453" s="11" t="s">
        <v>45</v>
      </c>
      <c r="B453" s="11" t="s">
        <v>1733</v>
      </c>
      <c r="C453" s="11" t="s">
        <v>40</v>
      </c>
      <c r="D453" s="11" t="s">
        <v>34</v>
      </c>
      <c r="E453" s="20">
        <v>43121</v>
      </c>
      <c r="F453" s="35">
        <v>0.57638888888888884</v>
      </c>
      <c r="G453" s="17">
        <v>20</v>
      </c>
      <c r="H453" s="17">
        <v>11480</v>
      </c>
    </row>
    <row r="454" spans="1:8" x14ac:dyDescent="0.2">
      <c r="A454" s="11" t="s">
        <v>54</v>
      </c>
      <c r="B454" s="11" t="s">
        <v>1732</v>
      </c>
      <c r="C454" s="11" t="s">
        <v>24</v>
      </c>
      <c r="D454" s="11" t="s">
        <v>41</v>
      </c>
      <c r="E454" s="20">
        <v>42918</v>
      </c>
      <c r="F454" s="35">
        <v>0.52430555555555558</v>
      </c>
      <c r="G454" s="17">
        <v>5</v>
      </c>
      <c r="H454" s="21">
        <v>8155</v>
      </c>
    </row>
    <row r="455" spans="1:8" x14ac:dyDescent="0.2">
      <c r="A455" s="11" t="s">
        <v>54</v>
      </c>
      <c r="B455" s="11" t="s">
        <v>1732</v>
      </c>
      <c r="C455" s="11" t="s">
        <v>40</v>
      </c>
      <c r="D455" s="11" t="s">
        <v>25</v>
      </c>
      <c r="E455" s="20">
        <v>43280</v>
      </c>
      <c r="F455" s="35">
        <v>0.63541666666666663</v>
      </c>
      <c r="G455" s="17">
        <v>12</v>
      </c>
      <c r="H455" s="17">
        <v>15996</v>
      </c>
    </row>
    <row r="456" spans="1:8" x14ac:dyDescent="0.2">
      <c r="A456" s="11" t="s">
        <v>75</v>
      </c>
      <c r="B456" s="11" t="s">
        <v>1733</v>
      </c>
      <c r="C456" s="11" t="s">
        <v>24</v>
      </c>
      <c r="D456" s="11" t="s">
        <v>120</v>
      </c>
      <c r="E456" s="20">
        <v>43171</v>
      </c>
      <c r="F456" s="35">
        <v>0.75</v>
      </c>
      <c r="G456" s="17">
        <v>4</v>
      </c>
      <c r="H456" s="17">
        <v>3088</v>
      </c>
    </row>
    <row r="457" spans="1:8" x14ac:dyDescent="0.2">
      <c r="A457" s="11" t="s">
        <v>64</v>
      </c>
      <c r="B457" s="11" t="s">
        <v>1734</v>
      </c>
      <c r="C457" s="11" t="s">
        <v>65</v>
      </c>
      <c r="D457" s="11" t="s">
        <v>120</v>
      </c>
      <c r="E457" s="20">
        <v>43010</v>
      </c>
      <c r="F457" s="35">
        <v>0.6875</v>
      </c>
      <c r="G457" s="17">
        <v>10</v>
      </c>
      <c r="H457" s="17">
        <v>8090</v>
      </c>
    </row>
    <row r="458" spans="1:8" x14ac:dyDescent="0.2">
      <c r="A458" s="11" t="s">
        <v>49</v>
      </c>
      <c r="B458" s="11" t="s">
        <v>1732</v>
      </c>
      <c r="C458" s="11" t="s">
        <v>40</v>
      </c>
      <c r="D458" s="11" t="s">
        <v>34</v>
      </c>
      <c r="E458" s="20">
        <v>43121</v>
      </c>
      <c r="F458" s="35">
        <v>0.49652777777777773</v>
      </c>
      <c r="G458" s="17">
        <v>6</v>
      </c>
      <c r="H458" s="17">
        <v>7320</v>
      </c>
    </row>
    <row r="459" spans="1:8" x14ac:dyDescent="0.2">
      <c r="A459" s="11" t="s">
        <v>45</v>
      </c>
      <c r="B459" s="11" t="s">
        <v>1731</v>
      </c>
      <c r="C459" s="11" t="s">
        <v>33</v>
      </c>
      <c r="D459" s="11" t="s">
        <v>25</v>
      </c>
      <c r="E459" s="20">
        <v>43120</v>
      </c>
      <c r="F459" s="35">
        <v>0.3611111111111111</v>
      </c>
      <c r="G459" s="17">
        <v>1</v>
      </c>
      <c r="H459" s="17">
        <v>388</v>
      </c>
    </row>
    <row r="460" spans="1:8" x14ac:dyDescent="0.2">
      <c r="A460" s="23" t="s">
        <v>49</v>
      </c>
      <c r="B460" s="11" t="s">
        <v>1735</v>
      </c>
      <c r="C460" s="11" t="s">
        <v>24</v>
      </c>
      <c r="D460" s="11" t="s">
        <v>25</v>
      </c>
      <c r="E460" s="20">
        <v>43318</v>
      </c>
      <c r="F460" s="35">
        <v>0.72222222222222221</v>
      </c>
      <c r="G460" s="17">
        <v>12</v>
      </c>
      <c r="H460" s="17">
        <v>4980</v>
      </c>
    </row>
    <row r="461" spans="1:8" x14ac:dyDescent="0.2">
      <c r="A461" s="11" t="s">
        <v>89</v>
      </c>
      <c r="B461" s="11" t="s">
        <v>1732</v>
      </c>
      <c r="C461" s="11" t="s">
        <v>33</v>
      </c>
      <c r="D461" s="11" t="s">
        <v>34</v>
      </c>
      <c r="E461" s="20">
        <v>43510</v>
      </c>
      <c r="F461" s="35">
        <v>0.65625</v>
      </c>
      <c r="G461" s="17">
        <v>16</v>
      </c>
      <c r="H461" s="17">
        <v>15408</v>
      </c>
    </row>
    <row r="462" spans="1:8" x14ac:dyDescent="0.2">
      <c r="A462" s="11" t="s">
        <v>114</v>
      </c>
      <c r="B462" s="11" t="s">
        <v>1732</v>
      </c>
      <c r="C462" s="11" t="s">
        <v>33</v>
      </c>
      <c r="D462" s="11" t="s">
        <v>41</v>
      </c>
      <c r="E462" s="20">
        <v>42951</v>
      </c>
      <c r="F462" s="35">
        <v>0.52430555555555558</v>
      </c>
      <c r="G462" s="17">
        <v>6</v>
      </c>
      <c r="H462" s="17">
        <v>11286</v>
      </c>
    </row>
    <row r="463" spans="1:8" x14ac:dyDescent="0.2">
      <c r="A463" s="11" t="s">
        <v>78</v>
      </c>
      <c r="B463" s="11" t="s">
        <v>1735</v>
      </c>
      <c r="C463" s="11" t="s">
        <v>65</v>
      </c>
      <c r="D463" s="11" t="s">
        <v>25</v>
      </c>
      <c r="E463" s="20">
        <v>42884</v>
      </c>
      <c r="F463" s="35">
        <v>0.60763888888888884</v>
      </c>
      <c r="G463" s="17">
        <v>1</v>
      </c>
      <c r="H463" s="21">
        <v>598</v>
      </c>
    </row>
    <row r="464" spans="1:8" x14ac:dyDescent="0.2">
      <c r="A464" s="11" t="s">
        <v>78</v>
      </c>
      <c r="B464" s="11" t="s">
        <v>1732</v>
      </c>
      <c r="C464" s="11" t="s">
        <v>40</v>
      </c>
      <c r="D464" s="11" t="s">
        <v>219</v>
      </c>
      <c r="E464" s="20">
        <v>43171</v>
      </c>
      <c r="F464" s="35">
        <v>0.58333333333333326</v>
      </c>
      <c r="G464" s="17">
        <v>15</v>
      </c>
      <c r="H464" s="17">
        <v>26250</v>
      </c>
    </row>
    <row r="465" spans="1:8" x14ac:dyDescent="0.2">
      <c r="A465" s="11" t="s">
        <v>117</v>
      </c>
      <c r="B465" s="11" t="s">
        <v>1731</v>
      </c>
      <c r="C465" s="11" t="s">
        <v>40</v>
      </c>
      <c r="D465" s="11" t="s">
        <v>120</v>
      </c>
      <c r="E465" s="20">
        <v>42944</v>
      </c>
      <c r="F465" s="35">
        <v>0.42708333333333331</v>
      </c>
      <c r="G465" s="17">
        <v>13</v>
      </c>
      <c r="H465" s="17">
        <v>9048</v>
      </c>
    </row>
    <row r="466" spans="1:8" x14ac:dyDescent="0.2">
      <c r="A466" s="11" t="s">
        <v>89</v>
      </c>
      <c r="B466" s="11" t="s">
        <v>1735</v>
      </c>
      <c r="C466" s="11" t="s">
        <v>33</v>
      </c>
      <c r="D466" s="11" t="s">
        <v>219</v>
      </c>
      <c r="E466" s="20">
        <v>43119</v>
      </c>
      <c r="F466" s="35">
        <v>0.71180555555555547</v>
      </c>
      <c r="G466" s="17">
        <v>12</v>
      </c>
      <c r="H466" s="17">
        <v>4188</v>
      </c>
    </row>
    <row r="467" spans="1:8" x14ac:dyDescent="0.2">
      <c r="A467" s="11" t="s">
        <v>54</v>
      </c>
      <c r="B467" s="11" t="s">
        <v>1732</v>
      </c>
      <c r="C467" s="11" t="s">
        <v>33</v>
      </c>
      <c r="D467" s="11" t="s">
        <v>219</v>
      </c>
      <c r="E467" s="20">
        <v>43118</v>
      </c>
      <c r="F467" s="35">
        <v>0.42013888888888884</v>
      </c>
      <c r="G467" s="17">
        <v>1</v>
      </c>
      <c r="H467" s="17">
        <v>1174</v>
      </c>
    </row>
    <row r="468" spans="1:8" x14ac:dyDescent="0.2">
      <c r="A468" s="11" t="s">
        <v>89</v>
      </c>
      <c r="B468" s="11" t="s">
        <v>1734</v>
      </c>
      <c r="C468" s="11" t="s">
        <v>65</v>
      </c>
      <c r="D468" s="11" t="s">
        <v>34</v>
      </c>
      <c r="E468" s="20">
        <v>43226</v>
      </c>
      <c r="F468" s="35">
        <v>0.73958333333333326</v>
      </c>
      <c r="G468" s="17">
        <v>6</v>
      </c>
      <c r="H468" s="17">
        <v>4434</v>
      </c>
    </row>
    <row r="469" spans="1:8" x14ac:dyDescent="0.2">
      <c r="A469" s="11" t="s">
        <v>125</v>
      </c>
      <c r="B469" s="11" t="s">
        <v>1733</v>
      </c>
      <c r="C469" s="11" t="s">
        <v>24</v>
      </c>
      <c r="D469" s="11" t="s">
        <v>120</v>
      </c>
      <c r="E469" s="20">
        <v>43342</v>
      </c>
      <c r="F469" s="35">
        <v>0.65625</v>
      </c>
      <c r="G469" s="17">
        <v>10</v>
      </c>
      <c r="H469" s="17">
        <v>13930</v>
      </c>
    </row>
    <row r="470" spans="1:8" x14ac:dyDescent="0.2">
      <c r="A470" s="11" t="s">
        <v>64</v>
      </c>
      <c r="B470" s="11" t="s">
        <v>1734</v>
      </c>
      <c r="C470" s="11" t="s">
        <v>65</v>
      </c>
      <c r="D470" s="11" t="s">
        <v>34</v>
      </c>
      <c r="E470" s="20">
        <v>43118</v>
      </c>
      <c r="F470" s="35">
        <v>0.57638888888888884</v>
      </c>
      <c r="G470" s="17">
        <v>6</v>
      </c>
      <c r="H470" s="17">
        <v>3738</v>
      </c>
    </row>
    <row r="471" spans="1:8" x14ac:dyDescent="0.2">
      <c r="A471" s="11" t="s">
        <v>117</v>
      </c>
      <c r="B471" s="11" t="s">
        <v>1735</v>
      </c>
      <c r="C471" s="11" t="s">
        <v>40</v>
      </c>
      <c r="D471" s="11" t="s">
        <v>219</v>
      </c>
      <c r="E471" s="20">
        <v>43301</v>
      </c>
      <c r="F471" s="35">
        <v>0.40277777777777773</v>
      </c>
      <c r="G471" s="17">
        <v>10</v>
      </c>
      <c r="H471" s="17">
        <v>6800</v>
      </c>
    </row>
    <row r="472" spans="1:8" x14ac:dyDescent="0.2">
      <c r="A472" s="11" t="s">
        <v>32</v>
      </c>
      <c r="B472" s="11" t="s">
        <v>1731</v>
      </c>
      <c r="C472" s="11" t="s">
        <v>65</v>
      </c>
      <c r="D472" s="11" t="s">
        <v>219</v>
      </c>
      <c r="E472" s="20">
        <v>43115</v>
      </c>
      <c r="F472" s="35">
        <v>0.74652777777777779</v>
      </c>
      <c r="G472" s="17">
        <v>4</v>
      </c>
      <c r="H472" s="17">
        <v>1352</v>
      </c>
    </row>
    <row r="473" spans="1:8" x14ac:dyDescent="0.2">
      <c r="A473" s="11" t="s">
        <v>117</v>
      </c>
      <c r="B473" s="11" t="s">
        <v>1732</v>
      </c>
      <c r="C473" s="11" t="s">
        <v>33</v>
      </c>
      <c r="D473" s="11" t="s">
        <v>34</v>
      </c>
      <c r="E473" s="20">
        <v>43311</v>
      </c>
      <c r="F473" s="35">
        <v>0.54861111111111105</v>
      </c>
      <c r="G473" s="17">
        <v>15</v>
      </c>
      <c r="H473" s="17">
        <v>21165</v>
      </c>
    </row>
    <row r="474" spans="1:8" x14ac:dyDescent="0.2">
      <c r="A474" s="11" t="s">
        <v>78</v>
      </c>
      <c r="B474" s="11" t="s">
        <v>1732</v>
      </c>
      <c r="C474" s="11" t="s">
        <v>24</v>
      </c>
      <c r="D474" s="11" t="s">
        <v>41</v>
      </c>
      <c r="E474" s="20">
        <v>43115</v>
      </c>
      <c r="F474" s="35">
        <v>0.3576388888888889</v>
      </c>
      <c r="G474" s="17">
        <v>1</v>
      </c>
      <c r="H474" s="17">
        <v>953</v>
      </c>
    </row>
    <row r="475" spans="1:8" x14ac:dyDescent="0.2">
      <c r="A475" s="11" t="s">
        <v>117</v>
      </c>
      <c r="B475" s="11" t="s">
        <v>1734</v>
      </c>
      <c r="C475" s="11" t="s">
        <v>40</v>
      </c>
      <c r="D475" s="11" t="s">
        <v>25</v>
      </c>
      <c r="E475" s="20">
        <v>43566</v>
      </c>
      <c r="F475" s="35">
        <v>0.67708333333333326</v>
      </c>
      <c r="G475" s="17">
        <v>3</v>
      </c>
      <c r="H475" s="17">
        <v>1386</v>
      </c>
    </row>
    <row r="476" spans="1:8" x14ac:dyDescent="0.2">
      <c r="A476" s="11" t="s">
        <v>64</v>
      </c>
      <c r="B476" s="11" t="s">
        <v>1733</v>
      </c>
      <c r="C476" s="11" t="s">
        <v>40</v>
      </c>
      <c r="D476" s="11" t="s">
        <v>34</v>
      </c>
      <c r="E476" s="20">
        <v>43211</v>
      </c>
      <c r="F476" s="35">
        <v>0.72222222222222221</v>
      </c>
      <c r="G476" s="17">
        <v>9</v>
      </c>
      <c r="H476" s="17">
        <v>10494</v>
      </c>
    </row>
    <row r="477" spans="1:8" x14ac:dyDescent="0.2">
      <c r="A477" s="11" t="s">
        <v>78</v>
      </c>
      <c r="B477" s="11" t="s">
        <v>1734</v>
      </c>
      <c r="C477" s="11" t="s">
        <v>33</v>
      </c>
      <c r="D477" s="11" t="s">
        <v>120</v>
      </c>
      <c r="E477" s="20">
        <v>42965</v>
      </c>
      <c r="F477" s="35">
        <v>0.38541666666666663</v>
      </c>
      <c r="G477" s="17">
        <v>2</v>
      </c>
      <c r="H477" s="17">
        <v>1648</v>
      </c>
    </row>
    <row r="478" spans="1:8" x14ac:dyDescent="0.2">
      <c r="A478" s="11" t="s">
        <v>64</v>
      </c>
      <c r="B478" s="11" t="s">
        <v>1733</v>
      </c>
      <c r="C478" s="11" t="s">
        <v>40</v>
      </c>
      <c r="D478" s="11" t="s">
        <v>120</v>
      </c>
      <c r="E478" s="20">
        <v>43203</v>
      </c>
      <c r="F478" s="35">
        <v>0.33333333333333331</v>
      </c>
      <c r="G478" s="17">
        <v>3</v>
      </c>
      <c r="H478" s="17">
        <v>4452</v>
      </c>
    </row>
    <row r="479" spans="1:8" x14ac:dyDescent="0.2">
      <c r="A479" s="11" t="s">
        <v>45</v>
      </c>
      <c r="B479" s="11" t="s">
        <v>1731</v>
      </c>
      <c r="C479" s="11" t="s">
        <v>40</v>
      </c>
      <c r="D479" s="11" t="s">
        <v>41</v>
      </c>
      <c r="E479" s="20">
        <v>43175</v>
      </c>
      <c r="F479" s="35">
        <v>0.34375</v>
      </c>
      <c r="G479" s="17">
        <v>2</v>
      </c>
      <c r="H479" s="17">
        <v>928</v>
      </c>
    </row>
    <row r="480" spans="1:8" x14ac:dyDescent="0.2">
      <c r="A480" s="11" t="s">
        <v>45</v>
      </c>
      <c r="B480" s="11" t="s">
        <v>1732</v>
      </c>
      <c r="C480" s="11" t="s">
        <v>40</v>
      </c>
      <c r="D480" s="11" t="s">
        <v>219</v>
      </c>
      <c r="E480" s="20">
        <v>43224</v>
      </c>
      <c r="F480" s="35">
        <v>0.40972222222222221</v>
      </c>
      <c r="G480" s="17">
        <v>15</v>
      </c>
      <c r="H480" s="17">
        <v>15855</v>
      </c>
    </row>
    <row r="481" spans="1:8" x14ac:dyDescent="0.2">
      <c r="A481" s="11" t="s">
        <v>78</v>
      </c>
      <c r="B481" s="11" t="s">
        <v>1733</v>
      </c>
      <c r="C481" s="11" t="s">
        <v>24</v>
      </c>
      <c r="D481" s="11" t="s">
        <v>120</v>
      </c>
      <c r="E481" s="20">
        <v>43114</v>
      </c>
      <c r="F481" s="35">
        <v>0.37152777777777773</v>
      </c>
      <c r="G481" s="17">
        <v>3</v>
      </c>
      <c r="H481" s="17">
        <v>2760</v>
      </c>
    </row>
    <row r="482" spans="1:8" x14ac:dyDescent="0.2">
      <c r="A482" s="11" t="s">
        <v>114</v>
      </c>
      <c r="B482" s="11" t="s">
        <v>1734</v>
      </c>
      <c r="C482" s="11" t="s">
        <v>40</v>
      </c>
      <c r="D482" s="11" t="s">
        <v>219</v>
      </c>
      <c r="E482" s="20">
        <v>43112</v>
      </c>
      <c r="F482" s="35">
        <v>0.72569444444444442</v>
      </c>
      <c r="G482" s="17">
        <v>4</v>
      </c>
      <c r="H482" s="17">
        <v>2276</v>
      </c>
    </row>
    <row r="483" spans="1:8" x14ac:dyDescent="0.2">
      <c r="A483" s="11" t="s">
        <v>49</v>
      </c>
      <c r="B483" s="11" t="s">
        <v>1733</v>
      </c>
      <c r="C483" s="11" t="s">
        <v>33</v>
      </c>
      <c r="D483" s="11" t="s">
        <v>25</v>
      </c>
      <c r="E483" s="20">
        <v>42870</v>
      </c>
      <c r="F483" s="35">
        <v>0.51041666666666663</v>
      </c>
      <c r="G483" s="17">
        <v>11</v>
      </c>
      <c r="H483" s="21">
        <v>16181</v>
      </c>
    </row>
    <row r="484" spans="1:8" x14ac:dyDescent="0.2">
      <c r="A484" s="11" t="s">
        <v>54</v>
      </c>
      <c r="B484" s="11" t="s">
        <v>1732</v>
      </c>
      <c r="C484" s="11" t="s">
        <v>33</v>
      </c>
      <c r="D484" s="11" t="s">
        <v>34</v>
      </c>
      <c r="E484" s="20">
        <v>43559</v>
      </c>
      <c r="F484" s="35">
        <v>0.3923611111111111</v>
      </c>
      <c r="G484" s="17">
        <v>13</v>
      </c>
      <c r="H484" s="17">
        <v>25727</v>
      </c>
    </row>
    <row r="485" spans="1:8" x14ac:dyDescent="0.2">
      <c r="A485" s="11" t="s">
        <v>89</v>
      </c>
      <c r="B485" s="11" t="s">
        <v>1735</v>
      </c>
      <c r="C485" s="11" t="s">
        <v>65</v>
      </c>
      <c r="D485" s="11" t="s">
        <v>41</v>
      </c>
      <c r="E485" s="20">
        <v>43140</v>
      </c>
      <c r="F485" s="35">
        <v>0.69444444444444442</v>
      </c>
      <c r="G485" s="17">
        <v>6</v>
      </c>
      <c r="H485" s="17">
        <v>5310</v>
      </c>
    </row>
    <row r="486" spans="1:8" x14ac:dyDescent="0.2">
      <c r="A486" s="11" t="s">
        <v>49</v>
      </c>
      <c r="B486" s="11" t="s">
        <v>1732</v>
      </c>
      <c r="C486" s="11" t="s">
        <v>24</v>
      </c>
      <c r="D486" s="11" t="s">
        <v>219</v>
      </c>
      <c r="E486" s="20">
        <v>43545</v>
      </c>
      <c r="F486" s="35">
        <v>0.50347222222222221</v>
      </c>
      <c r="G486" s="17">
        <v>2</v>
      </c>
      <c r="H486" s="17">
        <v>3766</v>
      </c>
    </row>
    <row r="487" spans="1:8" x14ac:dyDescent="0.2">
      <c r="A487" s="11" t="s">
        <v>23</v>
      </c>
      <c r="B487" s="11" t="s">
        <v>1735</v>
      </c>
      <c r="C487" s="11" t="s">
        <v>40</v>
      </c>
      <c r="D487" s="11" t="s">
        <v>34</v>
      </c>
      <c r="E487" s="20">
        <v>42917</v>
      </c>
      <c r="F487" s="35">
        <v>0.64930555555555547</v>
      </c>
      <c r="G487" s="17">
        <v>17</v>
      </c>
      <c r="H487" s="17">
        <v>14195</v>
      </c>
    </row>
    <row r="488" spans="1:8" x14ac:dyDescent="0.2">
      <c r="A488" s="11" t="s">
        <v>54</v>
      </c>
      <c r="B488" s="11" t="s">
        <v>1735</v>
      </c>
      <c r="C488" s="11" t="s">
        <v>65</v>
      </c>
      <c r="D488" s="11" t="s">
        <v>34</v>
      </c>
      <c r="E488" s="20">
        <v>42862</v>
      </c>
      <c r="F488" s="35">
        <v>0.58680555555555547</v>
      </c>
      <c r="G488" s="17">
        <v>14</v>
      </c>
      <c r="H488" s="17">
        <v>11550</v>
      </c>
    </row>
    <row r="489" spans="1:8" x14ac:dyDescent="0.2">
      <c r="A489" s="11" t="s">
        <v>54</v>
      </c>
      <c r="B489" s="11" t="s">
        <v>1734</v>
      </c>
      <c r="C489" s="11" t="s">
        <v>24</v>
      </c>
      <c r="D489" s="11" t="s">
        <v>41</v>
      </c>
      <c r="E489" s="20">
        <v>43149</v>
      </c>
      <c r="F489" s="35">
        <v>0.63194444444444442</v>
      </c>
      <c r="G489" s="17">
        <v>4</v>
      </c>
      <c r="H489" s="17">
        <v>2116</v>
      </c>
    </row>
    <row r="490" spans="1:8" x14ac:dyDescent="0.2">
      <c r="A490" s="11" t="s">
        <v>45</v>
      </c>
      <c r="B490" s="11" t="s">
        <v>1733</v>
      </c>
      <c r="C490" s="11" t="s">
        <v>40</v>
      </c>
      <c r="D490" s="11" t="s">
        <v>25</v>
      </c>
      <c r="E490" s="20">
        <v>43112</v>
      </c>
      <c r="F490" s="35">
        <v>0.51041666666666663</v>
      </c>
      <c r="G490" s="17">
        <v>12</v>
      </c>
      <c r="H490" s="17">
        <v>6648</v>
      </c>
    </row>
    <row r="491" spans="1:8" x14ac:dyDescent="0.2">
      <c r="A491" s="11" t="s">
        <v>45</v>
      </c>
      <c r="B491" s="11" t="s">
        <v>1734</v>
      </c>
      <c r="C491" s="11" t="s">
        <v>24</v>
      </c>
      <c r="D491" s="11" t="s">
        <v>41</v>
      </c>
      <c r="E491" s="20">
        <v>43108</v>
      </c>
      <c r="F491" s="35">
        <v>0.71527777777777779</v>
      </c>
      <c r="G491" s="17">
        <v>10</v>
      </c>
      <c r="H491" s="17">
        <v>8470</v>
      </c>
    </row>
    <row r="492" spans="1:8" x14ac:dyDescent="0.2">
      <c r="A492" s="11" t="s">
        <v>89</v>
      </c>
      <c r="B492" s="11" t="s">
        <v>1735</v>
      </c>
      <c r="C492" s="11" t="s">
        <v>33</v>
      </c>
      <c r="D492" s="11" t="s">
        <v>219</v>
      </c>
      <c r="E492" s="20">
        <v>43108</v>
      </c>
      <c r="F492" s="35">
        <v>0.61805555555555547</v>
      </c>
      <c r="G492" s="17">
        <v>12</v>
      </c>
      <c r="H492" s="17">
        <v>9192</v>
      </c>
    </row>
    <row r="493" spans="1:8" x14ac:dyDescent="0.2">
      <c r="A493" s="11" t="s">
        <v>23</v>
      </c>
      <c r="B493" s="11" t="s">
        <v>1734</v>
      </c>
      <c r="C493" s="11" t="s">
        <v>65</v>
      </c>
      <c r="D493" s="11" t="s">
        <v>120</v>
      </c>
      <c r="E493" s="20">
        <v>42891</v>
      </c>
      <c r="F493" s="35">
        <v>0.67013888888888884</v>
      </c>
      <c r="G493" s="17">
        <v>1</v>
      </c>
      <c r="H493" s="21">
        <v>769</v>
      </c>
    </row>
    <row r="494" spans="1:8" x14ac:dyDescent="0.2">
      <c r="A494" s="11" t="s">
        <v>32</v>
      </c>
      <c r="B494" s="11" t="s">
        <v>1735</v>
      </c>
      <c r="C494" s="11" t="s">
        <v>33</v>
      </c>
      <c r="D494" s="11" t="s">
        <v>41</v>
      </c>
      <c r="E494" s="20">
        <v>43335</v>
      </c>
      <c r="F494" s="35">
        <v>0.4861111111111111</v>
      </c>
      <c r="G494" s="17">
        <v>10</v>
      </c>
      <c r="H494" s="17">
        <v>5650</v>
      </c>
    </row>
    <row r="495" spans="1:8" x14ac:dyDescent="0.2">
      <c r="A495" s="11" t="s">
        <v>114</v>
      </c>
      <c r="B495" s="11" t="s">
        <v>1732</v>
      </c>
      <c r="C495" s="11" t="s">
        <v>65</v>
      </c>
      <c r="D495" s="11" t="s">
        <v>120</v>
      </c>
      <c r="E495" s="20">
        <v>43108</v>
      </c>
      <c r="F495" s="35">
        <v>0.60763888888888884</v>
      </c>
      <c r="G495" s="17">
        <v>15</v>
      </c>
      <c r="H495" s="17">
        <v>10890</v>
      </c>
    </row>
    <row r="496" spans="1:8" x14ac:dyDescent="0.2">
      <c r="A496" s="11" t="s">
        <v>64</v>
      </c>
      <c r="B496" s="11" t="s">
        <v>1734</v>
      </c>
      <c r="C496" s="11" t="s">
        <v>33</v>
      </c>
      <c r="D496" s="11" t="s">
        <v>25</v>
      </c>
      <c r="E496" s="20">
        <v>43108</v>
      </c>
      <c r="F496" s="35">
        <v>0.74652777777777779</v>
      </c>
      <c r="G496" s="17">
        <v>11</v>
      </c>
      <c r="H496" s="17">
        <v>9460</v>
      </c>
    </row>
    <row r="497" spans="1:8" x14ac:dyDescent="0.2">
      <c r="A497" s="11" t="s">
        <v>54</v>
      </c>
      <c r="B497" s="11" t="s">
        <v>1734</v>
      </c>
      <c r="C497" s="11" t="s">
        <v>65</v>
      </c>
      <c r="D497" s="11" t="s">
        <v>219</v>
      </c>
      <c r="E497" s="20">
        <v>43220</v>
      </c>
      <c r="F497" s="35">
        <v>0.34375</v>
      </c>
      <c r="G497" s="17">
        <v>7</v>
      </c>
      <c r="H497" s="17">
        <v>4984</v>
      </c>
    </row>
    <row r="498" spans="1:8" x14ac:dyDescent="0.2">
      <c r="A498" s="11" t="s">
        <v>117</v>
      </c>
      <c r="B498" s="11" t="s">
        <v>1735</v>
      </c>
      <c r="C498" s="11" t="s">
        <v>65</v>
      </c>
      <c r="D498" s="11" t="s">
        <v>120</v>
      </c>
      <c r="E498" s="20">
        <v>43196</v>
      </c>
      <c r="F498" s="35">
        <v>0.73611111111111105</v>
      </c>
      <c r="G498" s="17">
        <v>2</v>
      </c>
      <c r="H498" s="17">
        <v>1540</v>
      </c>
    </row>
    <row r="499" spans="1:8" x14ac:dyDescent="0.2">
      <c r="A499" s="11" t="s">
        <v>32</v>
      </c>
      <c r="B499" s="11" t="s">
        <v>1733</v>
      </c>
      <c r="C499" s="11" t="s">
        <v>33</v>
      </c>
      <c r="D499" s="11" t="s">
        <v>25</v>
      </c>
      <c r="E499" s="20">
        <v>43108</v>
      </c>
      <c r="F499" s="35">
        <v>0.65972222222222221</v>
      </c>
      <c r="G499" s="17">
        <v>14</v>
      </c>
      <c r="H499" s="17">
        <v>11564</v>
      </c>
    </row>
    <row r="500" spans="1:8" x14ac:dyDescent="0.2">
      <c r="A500" s="11" t="s">
        <v>23</v>
      </c>
      <c r="B500" s="11" t="s">
        <v>1731</v>
      </c>
      <c r="C500" s="11" t="s">
        <v>40</v>
      </c>
      <c r="D500" s="11" t="s">
        <v>34</v>
      </c>
      <c r="E500" s="20">
        <v>43224</v>
      </c>
      <c r="F500" s="35">
        <v>0.59722222222222221</v>
      </c>
      <c r="G500" s="17">
        <v>13</v>
      </c>
      <c r="H500" s="17">
        <v>6253</v>
      </c>
    </row>
    <row r="501" spans="1:8" x14ac:dyDescent="0.2">
      <c r="A501" s="11" t="s">
        <v>75</v>
      </c>
      <c r="B501" s="11" t="s">
        <v>1734</v>
      </c>
      <c r="C501" s="11" t="s">
        <v>33</v>
      </c>
      <c r="D501" s="11" t="s">
        <v>25</v>
      </c>
      <c r="E501" s="20">
        <v>43538</v>
      </c>
      <c r="F501" s="35">
        <v>0.58680555555555547</v>
      </c>
      <c r="G501" s="17">
        <v>1</v>
      </c>
      <c r="H501" s="17">
        <v>572</v>
      </c>
    </row>
    <row r="502" spans="1:8" x14ac:dyDescent="0.2">
      <c r="A502" s="11" t="s">
        <v>117</v>
      </c>
      <c r="B502" s="11" t="s">
        <v>1731</v>
      </c>
      <c r="C502" s="11" t="s">
        <v>33</v>
      </c>
      <c r="D502" s="11" t="s">
        <v>41</v>
      </c>
      <c r="E502" s="20">
        <v>43182</v>
      </c>
      <c r="F502" s="35">
        <v>0.75</v>
      </c>
      <c r="G502" s="17">
        <v>9</v>
      </c>
      <c r="H502" s="17">
        <v>5031</v>
      </c>
    </row>
    <row r="503" spans="1:8" x14ac:dyDescent="0.2">
      <c r="A503" s="11" t="s">
        <v>49</v>
      </c>
      <c r="B503" s="11" t="s">
        <v>1735</v>
      </c>
      <c r="C503" s="11" t="s">
        <v>33</v>
      </c>
      <c r="D503" s="11" t="s">
        <v>34</v>
      </c>
      <c r="E503" s="20">
        <v>43171</v>
      </c>
      <c r="F503" s="35">
        <v>0.38888888888888884</v>
      </c>
      <c r="G503" s="17">
        <v>8</v>
      </c>
      <c r="H503" s="17">
        <v>3568</v>
      </c>
    </row>
    <row r="504" spans="1:8" x14ac:dyDescent="0.2">
      <c r="A504" s="11" t="s">
        <v>75</v>
      </c>
      <c r="B504" s="11" t="s">
        <v>1732</v>
      </c>
      <c r="C504" s="11" t="s">
        <v>65</v>
      </c>
      <c r="D504" s="11" t="s">
        <v>25</v>
      </c>
      <c r="E504" s="20">
        <v>43206</v>
      </c>
      <c r="F504" s="35">
        <v>0.45833333333333331</v>
      </c>
      <c r="G504" s="17">
        <v>9</v>
      </c>
      <c r="H504" s="17">
        <v>17784</v>
      </c>
    </row>
    <row r="505" spans="1:8" x14ac:dyDescent="0.2">
      <c r="A505" s="11" t="s">
        <v>117</v>
      </c>
      <c r="B505" s="11" t="s">
        <v>1735</v>
      </c>
      <c r="C505" s="11" t="s">
        <v>65</v>
      </c>
      <c r="D505" s="11" t="s">
        <v>120</v>
      </c>
      <c r="E505" s="20">
        <v>43297</v>
      </c>
      <c r="F505" s="35">
        <v>0.60069444444444442</v>
      </c>
      <c r="G505" s="17">
        <v>4</v>
      </c>
      <c r="H505" s="17">
        <v>3544</v>
      </c>
    </row>
    <row r="506" spans="1:8" x14ac:dyDescent="0.2">
      <c r="A506" s="11" t="s">
        <v>54</v>
      </c>
      <c r="B506" s="11" t="s">
        <v>1732</v>
      </c>
      <c r="C506" s="11" t="s">
        <v>65</v>
      </c>
      <c r="D506" s="11" t="s">
        <v>120</v>
      </c>
      <c r="E506" s="20">
        <v>43259</v>
      </c>
      <c r="F506" s="35">
        <v>0.3923611111111111</v>
      </c>
      <c r="G506" s="17">
        <v>2</v>
      </c>
      <c r="H506" s="17">
        <v>2020</v>
      </c>
    </row>
    <row r="507" spans="1:8" x14ac:dyDescent="0.2">
      <c r="A507" s="11" t="s">
        <v>45</v>
      </c>
      <c r="B507" s="11" t="s">
        <v>1733</v>
      </c>
      <c r="C507" s="11" t="s">
        <v>40</v>
      </c>
      <c r="D507" s="11" t="s">
        <v>120</v>
      </c>
      <c r="E507" s="20">
        <v>43280</v>
      </c>
      <c r="F507" s="35">
        <v>0.51736111111111105</v>
      </c>
      <c r="G507" s="17">
        <v>2</v>
      </c>
      <c r="H507" s="17">
        <v>2948</v>
      </c>
    </row>
    <row r="508" spans="1:8" x14ac:dyDescent="0.2">
      <c r="A508" s="11" t="s">
        <v>125</v>
      </c>
      <c r="B508" s="11" t="s">
        <v>1734</v>
      </c>
      <c r="C508" s="11" t="s">
        <v>24</v>
      </c>
      <c r="D508" s="11" t="s">
        <v>25</v>
      </c>
      <c r="E508" s="20">
        <v>43107</v>
      </c>
      <c r="F508" s="35">
        <v>0.56597222222222221</v>
      </c>
      <c r="G508" s="17">
        <v>13</v>
      </c>
      <c r="H508" s="17">
        <v>9581</v>
      </c>
    </row>
    <row r="509" spans="1:8" x14ac:dyDescent="0.2">
      <c r="A509" s="11" t="s">
        <v>23</v>
      </c>
      <c r="B509" s="11" t="s">
        <v>1731</v>
      </c>
      <c r="C509" s="11" t="s">
        <v>65</v>
      </c>
      <c r="D509" s="11" t="s">
        <v>25</v>
      </c>
      <c r="E509" s="20">
        <v>43514</v>
      </c>
      <c r="F509" s="35">
        <v>0.37847222222222221</v>
      </c>
      <c r="G509" s="17">
        <v>13</v>
      </c>
      <c r="H509" s="17">
        <v>7540</v>
      </c>
    </row>
    <row r="510" spans="1:8" x14ac:dyDescent="0.2">
      <c r="A510" s="11" t="s">
        <v>23</v>
      </c>
      <c r="B510" s="11" t="s">
        <v>1731</v>
      </c>
      <c r="C510" s="11" t="s">
        <v>40</v>
      </c>
      <c r="D510" s="11" t="s">
        <v>41</v>
      </c>
      <c r="E510" s="20">
        <v>43493</v>
      </c>
      <c r="F510" s="35">
        <v>0.45138888888888884</v>
      </c>
      <c r="G510" s="17">
        <v>10</v>
      </c>
      <c r="H510" s="17">
        <v>6760</v>
      </c>
    </row>
    <row r="511" spans="1:8" x14ac:dyDescent="0.2">
      <c r="A511" s="11" t="s">
        <v>89</v>
      </c>
      <c r="B511" s="11" t="s">
        <v>1731</v>
      </c>
      <c r="C511" s="11" t="s">
        <v>40</v>
      </c>
      <c r="D511" s="11" t="s">
        <v>41</v>
      </c>
      <c r="E511" s="20">
        <v>43224</v>
      </c>
      <c r="F511" s="35">
        <v>0.71180555555555547</v>
      </c>
      <c r="G511" s="17">
        <v>15</v>
      </c>
      <c r="H511" s="17">
        <v>9570</v>
      </c>
    </row>
    <row r="512" spans="1:8" x14ac:dyDescent="0.2">
      <c r="A512" s="11" t="s">
        <v>64</v>
      </c>
      <c r="B512" s="11" t="s">
        <v>1733</v>
      </c>
      <c r="C512" s="11" t="s">
        <v>65</v>
      </c>
      <c r="D512" s="11" t="s">
        <v>34</v>
      </c>
      <c r="E512" s="20">
        <v>42891</v>
      </c>
      <c r="F512" s="35">
        <v>0.35416666666666663</v>
      </c>
      <c r="G512" s="17">
        <v>17</v>
      </c>
      <c r="H512" s="17">
        <v>15011</v>
      </c>
    </row>
    <row r="513" spans="1:8" x14ac:dyDescent="0.2">
      <c r="A513" s="11" t="s">
        <v>64</v>
      </c>
      <c r="B513" s="11" t="s">
        <v>1734</v>
      </c>
      <c r="C513" s="11" t="s">
        <v>40</v>
      </c>
      <c r="D513" s="11" t="s">
        <v>120</v>
      </c>
      <c r="E513" s="20">
        <v>43328</v>
      </c>
      <c r="F513" s="35">
        <v>0.52777777777777779</v>
      </c>
      <c r="G513" s="17">
        <v>10</v>
      </c>
      <c r="H513" s="17">
        <v>6410</v>
      </c>
    </row>
    <row r="514" spans="1:8" x14ac:dyDescent="0.2">
      <c r="A514" s="11" t="s">
        <v>54</v>
      </c>
      <c r="B514" s="11" t="s">
        <v>1732</v>
      </c>
      <c r="C514" s="11" t="s">
        <v>24</v>
      </c>
      <c r="D514" s="11" t="s">
        <v>25</v>
      </c>
      <c r="E514" s="20">
        <v>42869</v>
      </c>
      <c r="F514" s="35">
        <v>0.44791666666666663</v>
      </c>
      <c r="G514" s="17">
        <v>8</v>
      </c>
      <c r="H514" s="21">
        <v>8192</v>
      </c>
    </row>
    <row r="515" spans="1:8" x14ac:dyDescent="0.2">
      <c r="A515" s="11" t="s">
        <v>64</v>
      </c>
      <c r="B515" s="11" t="s">
        <v>1734</v>
      </c>
      <c r="C515" s="11" t="s">
        <v>33</v>
      </c>
      <c r="D515" s="11" t="s">
        <v>41</v>
      </c>
      <c r="E515" s="20">
        <v>43220</v>
      </c>
      <c r="F515" s="35">
        <v>0.57291666666666663</v>
      </c>
      <c r="G515" s="17">
        <v>8</v>
      </c>
      <c r="H515" s="17">
        <v>4448</v>
      </c>
    </row>
    <row r="516" spans="1:8" x14ac:dyDescent="0.2">
      <c r="A516" s="11" t="s">
        <v>54</v>
      </c>
      <c r="B516" s="11" t="s">
        <v>1734</v>
      </c>
      <c r="C516" s="11" t="s">
        <v>40</v>
      </c>
      <c r="D516" s="11" t="s">
        <v>25</v>
      </c>
      <c r="E516" s="20">
        <v>42856</v>
      </c>
      <c r="F516" s="35">
        <v>0.71875</v>
      </c>
      <c r="G516" s="17">
        <v>2</v>
      </c>
      <c r="H516" s="21">
        <v>1316</v>
      </c>
    </row>
    <row r="517" spans="1:8" x14ac:dyDescent="0.2">
      <c r="A517" s="11" t="s">
        <v>114</v>
      </c>
      <c r="B517" s="11" t="s">
        <v>1735</v>
      </c>
      <c r="C517" s="11" t="s">
        <v>40</v>
      </c>
      <c r="D517" s="11" t="s">
        <v>25</v>
      </c>
      <c r="E517" s="20">
        <v>43556</v>
      </c>
      <c r="F517" s="35">
        <v>0.4375</v>
      </c>
      <c r="G517" s="17">
        <v>14</v>
      </c>
      <c r="H517" s="17">
        <v>4704</v>
      </c>
    </row>
    <row r="518" spans="1:8" x14ac:dyDescent="0.2">
      <c r="A518" s="11" t="s">
        <v>64</v>
      </c>
      <c r="B518" s="11" t="s">
        <v>1732</v>
      </c>
      <c r="C518" s="11" t="s">
        <v>40</v>
      </c>
      <c r="D518" s="11" t="s">
        <v>34</v>
      </c>
      <c r="E518" s="20">
        <v>43353</v>
      </c>
      <c r="F518" s="35">
        <v>0.375</v>
      </c>
      <c r="G518" s="17">
        <v>7</v>
      </c>
      <c r="H518" s="17">
        <v>6062</v>
      </c>
    </row>
    <row r="519" spans="1:8" x14ac:dyDescent="0.2">
      <c r="A519" s="11" t="s">
        <v>49</v>
      </c>
      <c r="B519" s="11" t="s">
        <v>1733</v>
      </c>
      <c r="C519" s="11" t="s">
        <v>40</v>
      </c>
      <c r="D519" s="11" t="s">
        <v>120</v>
      </c>
      <c r="E519" s="20">
        <v>42967</v>
      </c>
      <c r="F519" s="35">
        <v>0.56597222222222221</v>
      </c>
      <c r="G519" s="17">
        <v>1</v>
      </c>
      <c r="H519" s="17">
        <v>1372</v>
      </c>
    </row>
    <row r="520" spans="1:8" x14ac:dyDescent="0.2">
      <c r="A520" s="11" t="s">
        <v>114</v>
      </c>
      <c r="B520" s="11" t="s">
        <v>1734</v>
      </c>
      <c r="C520" s="11" t="s">
        <v>33</v>
      </c>
      <c r="D520" s="11" t="s">
        <v>219</v>
      </c>
      <c r="E520" s="20">
        <v>43220</v>
      </c>
      <c r="F520" s="35">
        <v>0.51388888888888884</v>
      </c>
      <c r="G520" s="17">
        <v>15</v>
      </c>
      <c r="H520" s="17">
        <v>11340</v>
      </c>
    </row>
    <row r="521" spans="1:8" x14ac:dyDescent="0.2">
      <c r="A521" s="11" t="s">
        <v>45</v>
      </c>
      <c r="B521" s="11" t="s">
        <v>1733</v>
      </c>
      <c r="C521" s="11" t="s">
        <v>24</v>
      </c>
      <c r="D521" s="11" t="s">
        <v>219</v>
      </c>
      <c r="E521" s="20">
        <v>42953</v>
      </c>
      <c r="F521" s="35">
        <v>0.34375</v>
      </c>
      <c r="G521" s="17">
        <v>12</v>
      </c>
      <c r="H521" s="17">
        <v>14616</v>
      </c>
    </row>
    <row r="522" spans="1:8" x14ac:dyDescent="0.2">
      <c r="A522" s="11" t="s">
        <v>78</v>
      </c>
      <c r="B522" s="11" t="s">
        <v>1732</v>
      </c>
      <c r="C522" s="11" t="s">
        <v>40</v>
      </c>
      <c r="D522" s="11" t="s">
        <v>25</v>
      </c>
      <c r="E522" s="20">
        <v>43134</v>
      </c>
      <c r="F522" s="35">
        <v>0.62847222222222221</v>
      </c>
      <c r="G522" s="17">
        <v>3</v>
      </c>
      <c r="H522" s="17">
        <v>3372</v>
      </c>
    </row>
    <row r="523" spans="1:8" x14ac:dyDescent="0.2">
      <c r="A523" s="11" t="s">
        <v>75</v>
      </c>
      <c r="B523" s="11" t="s">
        <v>1734</v>
      </c>
      <c r="C523" s="11" t="s">
        <v>40</v>
      </c>
      <c r="D523" s="11" t="s">
        <v>120</v>
      </c>
      <c r="E523" s="20">
        <v>43491</v>
      </c>
      <c r="F523" s="35">
        <v>0.5625</v>
      </c>
      <c r="G523" s="17">
        <v>15</v>
      </c>
      <c r="H523" s="17">
        <v>11700</v>
      </c>
    </row>
    <row r="524" spans="1:8" x14ac:dyDescent="0.2">
      <c r="A524" s="11" t="s">
        <v>125</v>
      </c>
      <c r="B524" s="11" t="s">
        <v>1735</v>
      </c>
      <c r="C524" s="11" t="s">
        <v>24</v>
      </c>
      <c r="D524" s="11" t="s">
        <v>41</v>
      </c>
      <c r="E524" s="20">
        <v>43105</v>
      </c>
      <c r="F524" s="35">
        <v>0.57291666666666663</v>
      </c>
      <c r="G524" s="17">
        <v>8</v>
      </c>
      <c r="H524" s="17">
        <v>3288</v>
      </c>
    </row>
    <row r="525" spans="1:8" x14ac:dyDescent="0.2">
      <c r="A525" s="11" t="s">
        <v>54</v>
      </c>
      <c r="B525" s="11" t="s">
        <v>1735</v>
      </c>
      <c r="C525" s="11" t="s">
        <v>33</v>
      </c>
      <c r="D525" s="11" t="s">
        <v>41</v>
      </c>
      <c r="E525" s="20">
        <v>43283</v>
      </c>
      <c r="F525" s="35">
        <v>0.50694444444444442</v>
      </c>
      <c r="G525" s="17">
        <v>13</v>
      </c>
      <c r="H525" s="17">
        <v>6669</v>
      </c>
    </row>
    <row r="526" spans="1:8" x14ac:dyDescent="0.2">
      <c r="A526" s="11" t="s">
        <v>89</v>
      </c>
      <c r="B526" s="11" t="s">
        <v>1734</v>
      </c>
      <c r="C526" s="11" t="s">
        <v>24</v>
      </c>
      <c r="D526" s="11" t="s">
        <v>34</v>
      </c>
      <c r="E526" s="20">
        <v>43517</v>
      </c>
      <c r="F526" s="35">
        <v>0.61458333333333326</v>
      </c>
      <c r="G526" s="17">
        <v>8</v>
      </c>
      <c r="H526" s="17">
        <v>3664</v>
      </c>
    </row>
    <row r="527" spans="1:8" x14ac:dyDescent="0.2">
      <c r="A527" s="11" t="s">
        <v>117</v>
      </c>
      <c r="B527" s="11" t="s">
        <v>1734</v>
      </c>
      <c r="C527" s="11" t="s">
        <v>65</v>
      </c>
      <c r="D527" s="11" t="s">
        <v>41</v>
      </c>
      <c r="E527" s="20">
        <v>42996</v>
      </c>
      <c r="F527" s="35">
        <v>0.37152777777777773</v>
      </c>
      <c r="G527" s="17">
        <v>5</v>
      </c>
      <c r="H527" s="17">
        <v>3130</v>
      </c>
    </row>
    <row r="528" spans="1:8" x14ac:dyDescent="0.2">
      <c r="A528" s="11" t="s">
        <v>75</v>
      </c>
      <c r="B528" s="11" t="s">
        <v>1734</v>
      </c>
      <c r="C528" s="11" t="s">
        <v>33</v>
      </c>
      <c r="D528" s="11" t="s">
        <v>25</v>
      </c>
      <c r="E528" s="20">
        <v>43105</v>
      </c>
      <c r="F528" s="35">
        <v>0.48263888888888884</v>
      </c>
      <c r="G528" s="17">
        <v>8</v>
      </c>
      <c r="H528" s="17">
        <v>5880</v>
      </c>
    </row>
    <row r="529" spans="1:8" x14ac:dyDescent="0.2">
      <c r="A529" s="11" t="s">
        <v>49</v>
      </c>
      <c r="B529" s="11" t="s">
        <v>1735</v>
      </c>
      <c r="C529" s="11" t="s">
        <v>65</v>
      </c>
      <c r="D529" s="11" t="s">
        <v>34</v>
      </c>
      <c r="E529" s="20">
        <v>43346</v>
      </c>
      <c r="F529" s="35">
        <v>0.70833333333333326</v>
      </c>
      <c r="G529" s="17">
        <v>11</v>
      </c>
      <c r="H529" s="17">
        <v>6798</v>
      </c>
    </row>
    <row r="530" spans="1:8" x14ac:dyDescent="0.2">
      <c r="A530" s="11" t="s">
        <v>114</v>
      </c>
      <c r="B530" s="11" t="s">
        <v>1733</v>
      </c>
      <c r="C530" s="11" t="s">
        <v>24</v>
      </c>
      <c r="D530" s="11" t="s">
        <v>41</v>
      </c>
      <c r="E530" s="20">
        <v>43132</v>
      </c>
      <c r="F530" s="35">
        <v>0.71527777777777779</v>
      </c>
      <c r="G530" s="17">
        <v>1</v>
      </c>
      <c r="H530" s="17">
        <v>1376</v>
      </c>
    </row>
    <row r="531" spans="1:8" x14ac:dyDescent="0.2">
      <c r="A531" s="11" t="s">
        <v>45</v>
      </c>
      <c r="B531" s="11" t="s">
        <v>1732</v>
      </c>
      <c r="C531" s="11" t="s">
        <v>33</v>
      </c>
      <c r="D531" s="11" t="s">
        <v>120</v>
      </c>
      <c r="E531" s="20">
        <v>43105</v>
      </c>
      <c r="F531" s="35">
        <v>0.71527777777777779</v>
      </c>
      <c r="G531" s="17">
        <v>9</v>
      </c>
      <c r="H531" s="17">
        <v>6300</v>
      </c>
    </row>
    <row r="532" spans="1:8" x14ac:dyDescent="0.2">
      <c r="A532" s="11" t="s">
        <v>49</v>
      </c>
      <c r="B532" s="11" t="s">
        <v>1734</v>
      </c>
      <c r="C532" s="11" t="s">
        <v>33</v>
      </c>
      <c r="D532" s="11" t="s">
        <v>25</v>
      </c>
      <c r="E532" s="20">
        <v>43105</v>
      </c>
      <c r="F532" s="35">
        <v>0.52777777777777779</v>
      </c>
      <c r="G532" s="17">
        <v>10</v>
      </c>
      <c r="H532" s="17">
        <v>8360</v>
      </c>
    </row>
    <row r="533" spans="1:8" x14ac:dyDescent="0.2">
      <c r="A533" s="11" t="s">
        <v>49</v>
      </c>
      <c r="B533" s="11" t="s">
        <v>1732</v>
      </c>
      <c r="C533" s="11" t="s">
        <v>33</v>
      </c>
      <c r="D533" s="11" t="s">
        <v>41</v>
      </c>
      <c r="E533" s="20">
        <v>43101</v>
      </c>
      <c r="F533" s="35">
        <v>0.67708333333333326</v>
      </c>
      <c r="G533" s="17">
        <v>5</v>
      </c>
      <c r="H533" s="17">
        <v>7945</v>
      </c>
    </row>
    <row r="534" spans="1:8" x14ac:dyDescent="0.2">
      <c r="A534" s="11" t="s">
        <v>117</v>
      </c>
      <c r="B534" s="11" t="s">
        <v>1733</v>
      </c>
      <c r="C534" s="11" t="s">
        <v>24</v>
      </c>
      <c r="D534" s="11" t="s">
        <v>34</v>
      </c>
      <c r="E534" s="20">
        <v>43199</v>
      </c>
      <c r="F534" s="35">
        <v>0.53472222222222221</v>
      </c>
      <c r="G534" s="17">
        <v>19</v>
      </c>
      <c r="H534" s="17">
        <v>15371</v>
      </c>
    </row>
    <row r="535" spans="1:8" x14ac:dyDescent="0.2">
      <c r="A535" s="11" t="s">
        <v>54</v>
      </c>
      <c r="B535" s="11" t="s">
        <v>1732</v>
      </c>
      <c r="C535" s="11" t="s">
        <v>40</v>
      </c>
      <c r="D535" s="11" t="s">
        <v>41</v>
      </c>
      <c r="E535" s="20">
        <v>43101</v>
      </c>
      <c r="F535" s="35">
        <v>0.66666666666666663</v>
      </c>
      <c r="G535" s="17">
        <v>8</v>
      </c>
      <c r="H535" s="17">
        <v>9648</v>
      </c>
    </row>
    <row r="536" spans="1:8" x14ac:dyDescent="0.2">
      <c r="A536" s="11" t="s">
        <v>78</v>
      </c>
      <c r="B536" s="11" t="s">
        <v>1733</v>
      </c>
      <c r="C536" s="11" t="s">
        <v>65</v>
      </c>
      <c r="D536" s="11" t="s">
        <v>34</v>
      </c>
      <c r="E536" s="20">
        <v>43101</v>
      </c>
      <c r="F536" s="35">
        <v>0.4236111111111111</v>
      </c>
      <c r="G536" s="17">
        <v>13</v>
      </c>
      <c r="H536" s="17">
        <v>18226</v>
      </c>
    </row>
    <row r="537" spans="1:8" x14ac:dyDescent="0.2">
      <c r="A537" s="11" t="s">
        <v>125</v>
      </c>
      <c r="B537" s="11" t="s">
        <v>1731</v>
      </c>
      <c r="C537" s="11" t="s">
        <v>24</v>
      </c>
      <c r="D537" s="11" t="s">
        <v>120</v>
      </c>
      <c r="E537" s="20">
        <v>43220</v>
      </c>
      <c r="F537" s="35">
        <v>0.40277777777777773</v>
      </c>
      <c r="G537" s="17">
        <v>6</v>
      </c>
      <c r="H537" s="17">
        <v>3642</v>
      </c>
    </row>
    <row r="538" spans="1:8" x14ac:dyDescent="0.2">
      <c r="A538" s="11" t="s">
        <v>45</v>
      </c>
      <c r="B538" s="11" t="s">
        <v>1734</v>
      </c>
      <c r="C538" s="11" t="s">
        <v>65</v>
      </c>
      <c r="D538" s="11" t="s">
        <v>34</v>
      </c>
      <c r="E538" s="20">
        <v>43101</v>
      </c>
      <c r="F538" s="35">
        <v>0.375</v>
      </c>
      <c r="G538" s="17">
        <v>13</v>
      </c>
      <c r="H538" s="17">
        <v>6071</v>
      </c>
    </row>
    <row r="539" spans="1:8" x14ac:dyDescent="0.2">
      <c r="A539" s="11" t="s">
        <v>45</v>
      </c>
      <c r="B539" s="11" t="s">
        <v>1732</v>
      </c>
      <c r="C539" s="11" t="s">
        <v>33</v>
      </c>
      <c r="D539" s="11" t="s">
        <v>219</v>
      </c>
      <c r="E539" s="20">
        <v>43259</v>
      </c>
      <c r="F539" s="35">
        <v>0.375</v>
      </c>
      <c r="G539" s="17">
        <v>15</v>
      </c>
      <c r="H539" s="17">
        <v>14235</v>
      </c>
    </row>
    <row r="540" spans="1:8" x14ac:dyDescent="0.2">
      <c r="A540" s="11" t="s">
        <v>89</v>
      </c>
      <c r="B540" s="11" t="s">
        <v>1735</v>
      </c>
      <c r="C540" s="11" t="s">
        <v>33</v>
      </c>
      <c r="D540" s="11" t="s">
        <v>219</v>
      </c>
      <c r="E540" s="20">
        <v>42993</v>
      </c>
      <c r="F540" s="35">
        <v>0.69791666666666663</v>
      </c>
      <c r="G540" s="17">
        <v>1</v>
      </c>
      <c r="H540" s="17">
        <v>824</v>
      </c>
    </row>
    <row r="541" spans="1:8" x14ac:dyDescent="0.2">
      <c r="A541" s="11" t="s">
        <v>32</v>
      </c>
      <c r="B541" s="11" t="s">
        <v>1731</v>
      </c>
      <c r="C541" s="11" t="s">
        <v>40</v>
      </c>
      <c r="D541" s="11" t="s">
        <v>219</v>
      </c>
      <c r="E541" s="20">
        <v>43220</v>
      </c>
      <c r="F541" s="35">
        <v>0.43402777777777773</v>
      </c>
      <c r="G541" s="17">
        <v>11</v>
      </c>
      <c r="H541" s="17">
        <v>6908</v>
      </c>
    </row>
    <row r="542" spans="1:8" x14ac:dyDescent="0.2">
      <c r="A542" s="11" t="s">
        <v>89</v>
      </c>
      <c r="B542" s="11" t="s">
        <v>1734</v>
      </c>
      <c r="C542" s="11" t="s">
        <v>33</v>
      </c>
      <c r="D542" s="11" t="s">
        <v>41</v>
      </c>
      <c r="E542" s="20">
        <v>42875</v>
      </c>
      <c r="F542" s="35">
        <v>0.74652777777777779</v>
      </c>
      <c r="G542" s="17">
        <v>10</v>
      </c>
      <c r="H542" s="21">
        <v>6720</v>
      </c>
    </row>
    <row r="543" spans="1:8" x14ac:dyDescent="0.2">
      <c r="A543" s="11" t="s">
        <v>45</v>
      </c>
      <c r="B543" s="11" t="s">
        <v>1735</v>
      </c>
      <c r="C543" s="11" t="s">
        <v>24</v>
      </c>
      <c r="D543" s="11" t="s">
        <v>120</v>
      </c>
      <c r="E543" s="20">
        <v>42982</v>
      </c>
      <c r="F543" s="35">
        <v>0.60416666666666663</v>
      </c>
      <c r="G543" s="17">
        <v>12</v>
      </c>
      <c r="H543" s="17">
        <v>4740</v>
      </c>
    </row>
    <row r="544" spans="1:8" x14ac:dyDescent="0.2">
      <c r="A544" s="11" t="s">
        <v>45</v>
      </c>
      <c r="B544" s="11" t="s">
        <v>1734</v>
      </c>
      <c r="C544" s="11" t="s">
        <v>65</v>
      </c>
      <c r="D544" s="11" t="s">
        <v>34</v>
      </c>
      <c r="E544" s="20">
        <v>43386</v>
      </c>
      <c r="F544" s="35">
        <v>0.4236111111111111</v>
      </c>
      <c r="G544" s="17">
        <v>17</v>
      </c>
      <c r="H544" s="17">
        <v>9112</v>
      </c>
    </row>
    <row r="545" spans="1:8" x14ac:dyDescent="0.2">
      <c r="A545" s="11" t="s">
        <v>125</v>
      </c>
      <c r="B545" s="11" t="s">
        <v>1734</v>
      </c>
      <c r="C545" s="11" t="s">
        <v>65</v>
      </c>
      <c r="D545" s="11" t="s">
        <v>25</v>
      </c>
      <c r="E545" s="20">
        <v>43101</v>
      </c>
      <c r="F545" s="35">
        <v>0.72569444444444442</v>
      </c>
      <c r="G545" s="17">
        <v>10</v>
      </c>
      <c r="H545" s="17">
        <v>4080</v>
      </c>
    </row>
    <row r="546" spans="1:8" x14ac:dyDescent="0.2">
      <c r="A546" s="11" t="s">
        <v>125</v>
      </c>
      <c r="B546" s="11" t="s">
        <v>1735</v>
      </c>
      <c r="C546" s="11" t="s">
        <v>40</v>
      </c>
      <c r="D546" s="11" t="s">
        <v>120</v>
      </c>
      <c r="E546" s="20">
        <v>42917</v>
      </c>
      <c r="F546" s="35">
        <v>0.57638888888888884</v>
      </c>
      <c r="G546" s="17">
        <v>2</v>
      </c>
      <c r="H546" s="21">
        <v>1384</v>
      </c>
    </row>
    <row r="547" spans="1:8" x14ac:dyDescent="0.2">
      <c r="A547" s="11" t="s">
        <v>54</v>
      </c>
      <c r="B547" s="11" t="s">
        <v>1734</v>
      </c>
      <c r="C547" s="11" t="s">
        <v>40</v>
      </c>
      <c r="D547" s="11" t="s">
        <v>120</v>
      </c>
      <c r="E547" s="20">
        <v>43497</v>
      </c>
      <c r="F547" s="35">
        <v>0.33680555555555552</v>
      </c>
      <c r="G547" s="17">
        <v>3</v>
      </c>
      <c r="H547" s="17">
        <v>2253</v>
      </c>
    </row>
    <row r="548" spans="1:8" x14ac:dyDescent="0.2">
      <c r="A548" s="11" t="s">
        <v>45</v>
      </c>
      <c r="B548" s="11" t="s">
        <v>1733</v>
      </c>
      <c r="C548" s="11" t="s">
        <v>65</v>
      </c>
      <c r="D548" s="11" t="s">
        <v>219</v>
      </c>
      <c r="E548" s="20">
        <v>42922</v>
      </c>
      <c r="F548" s="35">
        <v>0.67708333333333326</v>
      </c>
      <c r="G548" s="17">
        <v>1</v>
      </c>
      <c r="H548" s="21">
        <v>1065</v>
      </c>
    </row>
    <row r="549" spans="1:8" x14ac:dyDescent="0.2">
      <c r="A549" s="11" t="s">
        <v>32</v>
      </c>
      <c r="B549" s="11" t="s">
        <v>1735</v>
      </c>
      <c r="C549" s="11" t="s">
        <v>33</v>
      </c>
      <c r="D549" s="11" t="s">
        <v>41</v>
      </c>
      <c r="E549" s="20">
        <v>43100</v>
      </c>
      <c r="F549" s="35">
        <v>0.44097222222222221</v>
      </c>
      <c r="G549" s="17">
        <v>3</v>
      </c>
      <c r="H549" s="17">
        <v>1557</v>
      </c>
    </row>
    <row r="550" spans="1:8" x14ac:dyDescent="0.2">
      <c r="A550" s="11" t="s">
        <v>75</v>
      </c>
      <c r="B550" s="11" t="s">
        <v>1732</v>
      </c>
      <c r="C550" s="11" t="s">
        <v>40</v>
      </c>
      <c r="D550" s="11" t="s">
        <v>219</v>
      </c>
      <c r="E550" s="20">
        <v>43100</v>
      </c>
      <c r="F550" s="35">
        <v>0.56944444444444442</v>
      </c>
      <c r="G550" s="17">
        <v>10</v>
      </c>
      <c r="H550" s="17">
        <v>6650</v>
      </c>
    </row>
    <row r="551" spans="1:8" x14ac:dyDescent="0.2">
      <c r="A551" s="11" t="s">
        <v>117</v>
      </c>
      <c r="B551" s="11" t="s">
        <v>1735</v>
      </c>
      <c r="C551" s="11" t="s">
        <v>33</v>
      </c>
      <c r="D551" s="11" t="s">
        <v>219</v>
      </c>
      <c r="E551" s="20">
        <v>43161</v>
      </c>
      <c r="F551" s="35">
        <v>0.60069444444444442</v>
      </c>
      <c r="G551" s="17">
        <v>4</v>
      </c>
      <c r="H551" s="17">
        <v>1448</v>
      </c>
    </row>
    <row r="552" spans="1:8" x14ac:dyDescent="0.2">
      <c r="A552" s="11" t="s">
        <v>89</v>
      </c>
      <c r="B552" s="11" t="s">
        <v>1735</v>
      </c>
      <c r="C552" s="11" t="s">
        <v>33</v>
      </c>
      <c r="D552" s="11" t="s">
        <v>120</v>
      </c>
      <c r="E552" s="20">
        <v>43206</v>
      </c>
      <c r="F552" s="35">
        <v>0.6875</v>
      </c>
      <c r="G552" s="17">
        <v>3</v>
      </c>
      <c r="H552" s="17">
        <v>2295</v>
      </c>
    </row>
    <row r="553" spans="1:8" x14ac:dyDescent="0.2">
      <c r="A553" s="11" t="s">
        <v>125</v>
      </c>
      <c r="B553" s="11" t="s">
        <v>1731</v>
      </c>
      <c r="C553" s="11" t="s">
        <v>65</v>
      </c>
      <c r="D553" s="11" t="s">
        <v>219</v>
      </c>
      <c r="E553" s="20">
        <v>43100</v>
      </c>
      <c r="F553" s="35">
        <v>0.74652777777777779</v>
      </c>
      <c r="G553" s="17">
        <v>4</v>
      </c>
      <c r="H553" s="17">
        <v>1244</v>
      </c>
    </row>
    <row r="554" spans="1:8" x14ac:dyDescent="0.2">
      <c r="A554" s="11" t="s">
        <v>75</v>
      </c>
      <c r="B554" s="11" t="s">
        <v>1731</v>
      </c>
      <c r="C554" s="11" t="s">
        <v>33</v>
      </c>
      <c r="D554" s="11" t="s">
        <v>25</v>
      </c>
      <c r="E554" s="20">
        <v>43140</v>
      </c>
      <c r="F554" s="35">
        <v>0.64583333333333326</v>
      </c>
      <c r="G554" s="17">
        <v>2</v>
      </c>
      <c r="H554" s="17">
        <v>840</v>
      </c>
    </row>
    <row r="555" spans="1:8" x14ac:dyDescent="0.2">
      <c r="A555" s="11" t="s">
        <v>49</v>
      </c>
      <c r="B555" s="11" t="s">
        <v>1734</v>
      </c>
      <c r="C555" s="11" t="s">
        <v>65</v>
      </c>
      <c r="D555" s="11" t="s">
        <v>219</v>
      </c>
      <c r="E555" s="20">
        <v>43014</v>
      </c>
      <c r="F555" s="35">
        <v>0.65277777777777779</v>
      </c>
      <c r="G555" s="17">
        <v>3</v>
      </c>
      <c r="H555" s="17">
        <v>1659</v>
      </c>
    </row>
    <row r="556" spans="1:8" x14ac:dyDescent="0.2">
      <c r="A556" s="11" t="s">
        <v>78</v>
      </c>
      <c r="B556" s="11" t="s">
        <v>1732</v>
      </c>
      <c r="C556" s="11" t="s">
        <v>24</v>
      </c>
      <c r="D556" s="11" t="s">
        <v>34</v>
      </c>
      <c r="E556" s="20">
        <v>43392</v>
      </c>
      <c r="F556" s="35">
        <v>0.61805555555555547</v>
      </c>
      <c r="G556" s="17">
        <v>9</v>
      </c>
      <c r="H556" s="17">
        <v>4869</v>
      </c>
    </row>
    <row r="557" spans="1:8" x14ac:dyDescent="0.2">
      <c r="A557" s="11" t="s">
        <v>78</v>
      </c>
      <c r="B557" s="11" t="s">
        <v>1735</v>
      </c>
      <c r="C557" s="11" t="s">
        <v>33</v>
      </c>
      <c r="D557" s="11" t="s">
        <v>120</v>
      </c>
      <c r="E557" s="20">
        <v>43308</v>
      </c>
      <c r="F557" s="35">
        <v>0.64930555555555547</v>
      </c>
      <c r="G557" s="17">
        <v>10</v>
      </c>
      <c r="H557" s="17">
        <v>6580</v>
      </c>
    </row>
    <row r="558" spans="1:8" x14ac:dyDescent="0.2">
      <c r="A558" s="11" t="s">
        <v>45</v>
      </c>
      <c r="B558" s="11" t="s">
        <v>1733</v>
      </c>
      <c r="C558" s="11" t="s">
        <v>33</v>
      </c>
      <c r="D558" s="11" t="s">
        <v>219</v>
      </c>
      <c r="E558" s="20">
        <v>43548</v>
      </c>
      <c r="F558" s="35">
        <v>0.37847222222222221</v>
      </c>
      <c r="G558" s="17">
        <v>5</v>
      </c>
      <c r="H558" s="17">
        <v>5970</v>
      </c>
    </row>
    <row r="559" spans="1:8" x14ac:dyDescent="0.2">
      <c r="A559" s="11" t="s">
        <v>54</v>
      </c>
      <c r="B559" s="11" t="s">
        <v>1732</v>
      </c>
      <c r="C559" s="11" t="s">
        <v>65</v>
      </c>
      <c r="D559" s="11" t="s">
        <v>25</v>
      </c>
      <c r="E559" s="20">
        <v>42947</v>
      </c>
      <c r="F559" s="35">
        <v>0.65277777777777779</v>
      </c>
      <c r="G559" s="17">
        <v>14</v>
      </c>
      <c r="H559" s="17">
        <v>23394</v>
      </c>
    </row>
    <row r="560" spans="1:8" x14ac:dyDescent="0.2">
      <c r="A560" s="11" t="s">
        <v>114</v>
      </c>
      <c r="B560" s="11" t="s">
        <v>1734</v>
      </c>
      <c r="C560" s="11" t="s">
        <v>40</v>
      </c>
      <c r="D560" s="11" t="s">
        <v>34</v>
      </c>
      <c r="E560" s="20">
        <v>43385</v>
      </c>
      <c r="F560" s="35">
        <v>0.52083333333333326</v>
      </c>
      <c r="G560" s="17">
        <v>19</v>
      </c>
      <c r="H560" s="17">
        <v>9063</v>
      </c>
    </row>
    <row r="561" spans="1:8" x14ac:dyDescent="0.2">
      <c r="A561" s="11" t="s">
        <v>89</v>
      </c>
      <c r="B561" s="11" t="s">
        <v>1732</v>
      </c>
      <c r="C561" s="11" t="s">
        <v>65</v>
      </c>
      <c r="D561" s="11" t="s">
        <v>34</v>
      </c>
      <c r="E561" s="20">
        <v>43009</v>
      </c>
      <c r="F561" s="35">
        <v>0.73958333333333326</v>
      </c>
      <c r="G561" s="17">
        <v>18</v>
      </c>
      <c r="H561" s="17">
        <v>25794</v>
      </c>
    </row>
    <row r="562" spans="1:8" x14ac:dyDescent="0.2">
      <c r="A562" s="11" t="s">
        <v>54</v>
      </c>
      <c r="B562" s="11" t="s">
        <v>1731</v>
      </c>
      <c r="C562" s="11" t="s">
        <v>33</v>
      </c>
      <c r="D562" s="11" t="s">
        <v>219</v>
      </c>
      <c r="E562" s="20">
        <v>43246</v>
      </c>
      <c r="F562" s="35">
        <v>0.70486111111111105</v>
      </c>
      <c r="G562" s="17">
        <v>6</v>
      </c>
      <c r="H562" s="17">
        <v>2814</v>
      </c>
    </row>
    <row r="563" spans="1:8" x14ac:dyDescent="0.2">
      <c r="A563" s="11" t="s">
        <v>64</v>
      </c>
      <c r="B563" s="11" t="s">
        <v>1734</v>
      </c>
      <c r="C563" s="11" t="s">
        <v>65</v>
      </c>
      <c r="D563" s="11" t="s">
        <v>41</v>
      </c>
      <c r="E563" s="20">
        <v>43143</v>
      </c>
      <c r="F563" s="35">
        <v>0.3923611111111111</v>
      </c>
      <c r="G563" s="17">
        <v>2</v>
      </c>
      <c r="H563" s="17">
        <v>1570</v>
      </c>
    </row>
    <row r="564" spans="1:8" x14ac:dyDescent="0.2">
      <c r="A564" s="11" t="s">
        <v>78</v>
      </c>
      <c r="B564" s="11" t="s">
        <v>1732</v>
      </c>
      <c r="C564" s="11" t="s">
        <v>33</v>
      </c>
      <c r="D564" s="11" t="s">
        <v>120</v>
      </c>
      <c r="E564" s="20">
        <v>43199</v>
      </c>
      <c r="F564" s="35">
        <v>0.6875</v>
      </c>
      <c r="G564" s="17">
        <v>11</v>
      </c>
      <c r="H564" s="17">
        <v>20724</v>
      </c>
    </row>
    <row r="565" spans="1:8" x14ac:dyDescent="0.2">
      <c r="A565" s="11" t="s">
        <v>45</v>
      </c>
      <c r="B565" s="11" t="s">
        <v>1735</v>
      </c>
      <c r="C565" s="11" t="s">
        <v>24</v>
      </c>
      <c r="D565" s="11" t="s">
        <v>34</v>
      </c>
      <c r="E565" s="20">
        <v>43161</v>
      </c>
      <c r="F565" s="35">
        <v>0.40625</v>
      </c>
      <c r="G565" s="17">
        <v>16</v>
      </c>
      <c r="H565" s="17">
        <v>5536</v>
      </c>
    </row>
    <row r="566" spans="1:8" x14ac:dyDescent="0.2">
      <c r="A566" s="11" t="s">
        <v>114</v>
      </c>
      <c r="B566" s="11" t="s">
        <v>1735</v>
      </c>
      <c r="C566" s="11" t="s">
        <v>33</v>
      </c>
      <c r="D566" s="11" t="s">
        <v>34</v>
      </c>
      <c r="E566" s="20">
        <v>43252</v>
      </c>
      <c r="F566" s="35">
        <v>0.4375</v>
      </c>
      <c r="G566" s="17">
        <v>11</v>
      </c>
      <c r="H566" s="17">
        <v>7656</v>
      </c>
    </row>
    <row r="567" spans="1:8" x14ac:dyDescent="0.2">
      <c r="A567" s="11" t="s">
        <v>49</v>
      </c>
      <c r="B567" s="11" t="s">
        <v>1733</v>
      </c>
      <c r="C567" s="11" t="s">
        <v>33</v>
      </c>
      <c r="D567" s="11" t="s">
        <v>41</v>
      </c>
      <c r="E567" s="20">
        <v>43290</v>
      </c>
      <c r="F567" s="35">
        <v>0.71180555555555547</v>
      </c>
      <c r="G567" s="17">
        <v>1</v>
      </c>
      <c r="H567" s="17">
        <v>1169</v>
      </c>
    </row>
    <row r="568" spans="1:8" x14ac:dyDescent="0.2">
      <c r="A568" s="11" t="s">
        <v>23</v>
      </c>
      <c r="B568" s="11" t="s">
        <v>1732</v>
      </c>
      <c r="C568" s="11" t="s">
        <v>33</v>
      </c>
      <c r="D568" s="11" t="s">
        <v>219</v>
      </c>
      <c r="E568" s="20">
        <v>42960</v>
      </c>
      <c r="F568" s="35">
        <v>0.43055555555555552</v>
      </c>
      <c r="G568" s="17">
        <v>7</v>
      </c>
      <c r="H568" s="17">
        <v>6307</v>
      </c>
    </row>
    <row r="569" spans="1:8" x14ac:dyDescent="0.2">
      <c r="A569" s="11" t="s">
        <v>117</v>
      </c>
      <c r="B569" s="11" t="s">
        <v>1731</v>
      </c>
      <c r="C569" s="11" t="s">
        <v>65</v>
      </c>
      <c r="D569" s="11" t="s">
        <v>41</v>
      </c>
      <c r="E569" s="20">
        <v>43241</v>
      </c>
      <c r="F569" s="35">
        <v>0.43055555555555552</v>
      </c>
      <c r="G569" s="17">
        <v>4</v>
      </c>
      <c r="H569" s="17">
        <v>1240</v>
      </c>
    </row>
    <row r="570" spans="1:8" x14ac:dyDescent="0.2">
      <c r="A570" s="11" t="s">
        <v>49</v>
      </c>
      <c r="B570" s="11" t="s">
        <v>1734</v>
      </c>
      <c r="C570" s="11" t="s">
        <v>24</v>
      </c>
      <c r="D570" s="11" t="s">
        <v>41</v>
      </c>
      <c r="E570" s="20">
        <v>43098</v>
      </c>
      <c r="F570" s="35">
        <v>0.4548611111111111</v>
      </c>
      <c r="G570" s="17">
        <v>14</v>
      </c>
      <c r="H570" s="17">
        <v>8120</v>
      </c>
    </row>
    <row r="571" spans="1:8" x14ac:dyDescent="0.2">
      <c r="A571" s="11" t="s">
        <v>64</v>
      </c>
      <c r="B571" s="11" t="s">
        <v>1735</v>
      </c>
      <c r="C571" s="11" t="s">
        <v>65</v>
      </c>
      <c r="D571" s="11" t="s">
        <v>34</v>
      </c>
      <c r="E571" s="20">
        <v>42882</v>
      </c>
      <c r="F571" s="35">
        <v>0.3576388888888889</v>
      </c>
      <c r="G571" s="17">
        <v>17</v>
      </c>
      <c r="H571" s="17">
        <v>11407</v>
      </c>
    </row>
    <row r="572" spans="1:8" x14ac:dyDescent="0.2">
      <c r="A572" s="11" t="s">
        <v>64</v>
      </c>
      <c r="B572" s="11" t="s">
        <v>1731</v>
      </c>
      <c r="C572" s="11" t="s">
        <v>40</v>
      </c>
      <c r="D572" s="11" t="s">
        <v>120</v>
      </c>
      <c r="E572" s="20">
        <v>43323</v>
      </c>
      <c r="F572" s="35">
        <v>0.51388888888888884</v>
      </c>
      <c r="G572" s="17">
        <v>12</v>
      </c>
      <c r="H572" s="17">
        <v>6048</v>
      </c>
    </row>
    <row r="573" spans="1:8" x14ac:dyDescent="0.2">
      <c r="A573" s="11" t="s">
        <v>75</v>
      </c>
      <c r="B573" s="11" t="s">
        <v>1731</v>
      </c>
      <c r="C573" s="11" t="s">
        <v>33</v>
      </c>
      <c r="D573" s="11" t="s">
        <v>34</v>
      </c>
      <c r="E573" s="20">
        <v>43203</v>
      </c>
      <c r="F573" s="35">
        <v>0.36458333333333331</v>
      </c>
      <c r="G573" s="17">
        <v>19</v>
      </c>
      <c r="H573" s="17">
        <v>6536</v>
      </c>
    </row>
    <row r="574" spans="1:8" x14ac:dyDescent="0.2">
      <c r="A574" s="11" t="s">
        <v>78</v>
      </c>
      <c r="B574" s="11" t="s">
        <v>1734</v>
      </c>
      <c r="C574" s="11" t="s">
        <v>33</v>
      </c>
      <c r="D574" s="11" t="s">
        <v>120</v>
      </c>
      <c r="E574" s="20">
        <v>43169</v>
      </c>
      <c r="F574" s="35">
        <v>0.63888888888888884</v>
      </c>
      <c r="G574" s="17">
        <v>5</v>
      </c>
      <c r="H574" s="17">
        <v>3765</v>
      </c>
    </row>
    <row r="575" spans="1:8" x14ac:dyDescent="0.2">
      <c r="A575" s="11" t="s">
        <v>32</v>
      </c>
      <c r="B575" s="11" t="s">
        <v>1734</v>
      </c>
      <c r="C575" s="11" t="s">
        <v>24</v>
      </c>
      <c r="D575" s="11" t="s">
        <v>25</v>
      </c>
      <c r="E575" s="20">
        <v>43098</v>
      </c>
      <c r="F575" s="35">
        <v>0.6875</v>
      </c>
      <c r="G575" s="17">
        <v>1</v>
      </c>
      <c r="H575" s="17">
        <v>567</v>
      </c>
    </row>
    <row r="576" spans="1:8" x14ac:dyDescent="0.2">
      <c r="A576" s="11" t="s">
        <v>49</v>
      </c>
      <c r="B576" s="11" t="s">
        <v>1733</v>
      </c>
      <c r="C576" s="11" t="s">
        <v>33</v>
      </c>
      <c r="D576" s="11" t="s">
        <v>41</v>
      </c>
      <c r="E576" s="20">
        <v>43097</v>
      </c>
      <c r="F576" s="35">
        <v>0.3576388888888889</v>
      </c>
      <c r="G576" s="17">
        <v>13</v>
      </c>
      <c r="H576" s="17">
        <v>18304</v>
      </c>
    </row>
    <row r="577" spans="1:8" x14ac:dyDescent="0.2">
      <c r="A577" s="11" t="s">
        <v>54</v>
      </c>
      <c r="B577" s="11" t="s">
        <v>1731</v>
      </c>
      <c r="C577" s="11" t="s">
        <v>65</v>
      </c>
      <c r="D577" s="11" t="s">
        <v>25</v>
      </c>
      <c r="E577" s="20">
        <v>43296</v>
      </c>
      <c r="F577" s="35">
        <v>0.72222222222222221</v>
      </c>
      <c r="G577" s="17">
        <v>9</v>
      </c>
      <c r="H577" s="17">
        <v>5220</v>
      </c>
    </row>
    <row r="578" spans="1:8" x14ac:dyDescent="0.2">
      <c r="A578" s="11" t="s">
        <v>64</v>
      </c>
      <c r="B578" s="11" t="s">
        <v>1732</v>
      </c>
      <c r="C578" s="11" t="s">
        <v>24</v>
      </c>
      <c r="D578" s="11" t="s">
        <v>34</v>
      </c>
      <c r="E578" s="20">
        <v>42873</v>
      </c>
      <c r="F578" s="35">
        <v>0.64583333333333326</v>
      </c>
      <c r="G578" s="17">
        <v>7</v>
      </c>
      <c r="H578" s="17">
        <v>8694</v>
      </c>
    </row>
    <row r="579" spans="1:8" x14ac:dyDescent="0.2">
      <c r="A579" s="11" t="s">
        <v>89</v>
      </c>
      <c r="B579" s="11" t="s">
        <v>1735</v>
      </c>
      <c r="C579" s="11" t="s">
        <v>40</v>
      </c>
      <c r="D579" s="11" t="s">
        <v>34</v>
      </c>
      <c r="E579" s="20">
        <v>42882</v>
      </c>
      <c r="F579" s="35">
        <v>0.37152777777777773</v>
      </c>
      <c r="G579" s="17">
        <v>7</v>
      </c>
      <c r="H579" s="17">
        <v>2849</v>
      </c>
    </row>
    <row r="580" spans="1:8" x14ac:dyDescent="0.2">
      <c r="A580" s="11" t="s">
        <v>125</v>
      </c>
      <c r="B580" s="11" t="s">
        <v>1732</v>
      </c>
      <c r="C580" s="11" t="s">
        <v>65</v>
      </c>
      <c r="D580" s="11" t="s">
        <v>34</v>
      </c>
      <c r="E580" s="20">
        <v>43097</v>
      </c>
      <c r="F580" s="35">
        <v>0.46180555555555552</v>
      </c>
      <c r="G580" s="17">
        <v>7</v>
      </c>
      <c r="H580" s="17">
        <v>10164</v>
      </c>
    </row>
    <row r="581" spans="1:8" x14ac:dyDescent="0.2">
      <c r="A581" s="11" t="s">
        <v>78</v>
      </c>
      <c r="B581" s="11" t="s">
        <v>1731</v>
      </c>
      <c r="C581" s="11" t="s">
        <v>65</v>
      </c>
      <c r="D581" s="11" t="s">
        <v>120</v>
      </c>
      <c r="E581" s="20">
        <v>43359</v>
      </c>
      <c r="F581" s="35">
        <v>0.40625</v>
      </c>
      <c r="G581" s="17">
        <v>13</v>
      </c>
      <c r="H581" s="17">
        <v>3926</v>
      </c>
    </row>
    <row r="582" spans="1:8" x14ac:dyDescent="0.2">
      <c r="A582" s="11" t="s">
        <v>23</v>
      </c>
      <c r="B582" s="11" t="s">
        <v>1734</v>
      </c>
      <c r="C582" s="11" t="s">
        <v>40</v>
      </c>
      <c r="D582" s="11" t="s">
        <v>219</v>
      </c>
      <c r="E582" s="20">
        <v>43097</v>
      </c>
      <c r="F582" s="35">
        <v>0.66666666666666663</v>
      </c>
      <c r="G582" s="17">
        <v>4</v>
      </c>
      <c r="H582" s="17">
        <v>3420</v>
      </c>
    </row>
    <row r="583" spans="1:8" x14ac:dyDescent="0.2">
      <c r="A583" s="11" t="s">
        <v>23</v>
      </c>
      <c r="B583" s="11" t="s">
        <v>1734</v>
      </c>
      <c r="C583" s="11" t="s">
        <v>24</v>
      </c>
      <c r="D583" s="11" t="s">
        <v>219</v>
      </c>
      <c r="E583" s="20">
        <v>43533</v>
      </c>
      <c r="F583" s="35">
        <v>0.37847222222222221</v>
      </c>
      <c r="G583" s="17">
        <v>3</v>
      </c>
      <c r="H583" s="17">
        <v>2337</v>
      </c>
    </row>
    <row r="584" spans="1:8" x14ac:dyDescent="0.2">
      <c r="A584" s="11" t="s">
        <v>78</v>
      </c>
      <c r="B584" s="11" t="s">
        <v>1732</v>
      </c>
      <c r="C584" s="11" t="s">
        <v>33</v>
      </c>
      <c r="D584" s="11" t="s">
        <v>219</v>
      </c>
      <c r="E584" s="20">
        <v>42944</v>
      </c>
      <c r="F584" s="35">
        <v>0.46875</v>
      </c>
      <c r="G584" s="17">
        <v>2</v>
      </c>
      <c r="H584" s="17">
        <v>1020</v>
      </c>
    </row>
    <row r="585" spans="1:8" x14ac:dyDescent="0.2">
      <c r="A585" s="11" t="s">
        <v>78</v>
      </c>
      <c r="B585" s="11" t="s">
        <v>1732</v>
      </c>
      <c r="C585" s="11" t="s">
        <v>40</v>
      </c>
      <c r="D585" s="11" t="s">
        <v>219</v>
      </c>
      <c r="E585" s="20">
        <v>43518</v>
      </c>
      <c r="F585" s="35">
        <v>0.73263888888888884</v>
      </c>
      <c r="G585" s="17">
        <v>11</v>
      </c>
      <c r="H585" s="17">
        <v>14421</v>
      </c>
    </row>
    <row r="586" spans="1:8" x14ac:dyDescent="0.2">
      <c r="A586" s="11" t="s">
        <v>75</v>
      </c>
      <c r="B586" s="11" t="s">
        <v>1731</v>
      </c>
      <c r="C586" s="11" t="s">
        <v>65</v>
      </c>
      <c r="D586" s="11" t="s">
        <v>120</v>
      </c>
      <c r="E586" s="20">
        <v>42896</v>
      </c>
      <c r="F586" s="35">
        <v>0.67708333333333326</v>
      </c>
      <c r="G586" s="17">
        <v>8</v>
      </c>
      <c r="H586" s="21">
        <v>3904</v>
      </c>
    </row>
    <row r="587" spans="1:8" x14ac:dyDescent="0.2">
      <c r="A587" s="11" t="s">
        <v>64</v>
      </c>
      <c r="B587" s="11" t="s">
        <v>1732</v>
      </c>
      <c r="C587" s="11" t="s">
        <v>24</v>
      </c>
      <c r="D587" s="11" t="s">
        <v>120</v>
      </c>
      <c r="E587" s="20">
        <v>43339</v>
      </c>
      <c r="F587" s="35">
        <v>0.73958333333333326</v>
      </c>
      <c r="G587" s="17">
        <v>8</v>
      </c>
      <c r="H587" s="17">
        <v>8024</v>
      </c>
    </row>
    <row r="588" spans="1:8" x14ac:dyDescent="0.2">
      <c r="A588" s="11" t="s">
        <v>78</v>
      </c>
      <c r="B588" s="11" t="s">
        <v>1733</v>
      </c>
      <c r="C588" s="11" t="s">
        <v>33</v>
      </c>
      <c r="D588" s="11" t="s">
        <v>41</v>
      </c>
      <c r="E588" s="20">
        <v>43394</v>
      </c>
      <c r="F588" s="35">
        <v>0.59027777777777779</v>
      </c>
      <c r="G588" s="17">
        <v>4</v>
      </c>
      <c r="H588" s="17">
        <v>2312</v>
      </c>
    </row>
    <row r="589" spans="1:8" x14ac:dyDescent="0.2">
      <c r="A589" s="11" t="s">
        <v>78</v>
      </c>
      <c r="B589" s="11" t="s">
        <v>1733</v>
      </c>
      <c r="C589" s="11" t="s">
        <v>40</v>
      </c>
      <c r="D589" s="11" t="s">
        <v>219</v>
      </c>
      <c r="E589" s="20">
        <v>43097</v>
      </c>
      <c r="F589" s="35">
        <v>0.72222222222222221</v>
      </c>
      <c r="G589" s="17">
        <v>1</v>
      </c>
      <c r="H589" s="17">
        <v>1348</v>
      </c>
    </row>
    <row r="590" spans="1:8" x14ac:dyDescent="0.2">
      <c r="A590" s="11" t="s">
        <v>45</v>
      </c>
      <c r="B590" s="11" t="s">
        <v>1735</v>
      </c>
      <c r="C590" s="11" t="s">
        <v>33</v>
      </c>
      <c r="D590" s="11" t="s">
        <v>41</v>
      </c>
      <c r="E590" s="20">
        <v>43548</v>
      </c>
      <c r="F590" s="35">
        <v>0.54513888888888884</v>
      </c>
      <c r="G590" s="17">
        <v>9</v>
      </c>
      <c r="H590" s="17">
        <v>7461</v>
      </c>
    </row>
    <row r="591" spans="1:8" x14ac:dyDescent="0.2">
      <c r="A591" s="11" t="s">
        <v>64</v>
      </c>
      <c r="B591" s="11" t="s">
        <v>1735</v>
      </c>
      <c r="C591" s="11" t="s">
        <v>24</v>
      </c>
      <c r="D591" s="11" t="s">
        <v>34</v>
      </c>
      <c r="E591" s="20">
        <v>42860</v>
      </c>
      <c r="F591" s="35">
        <v>0.36805555555555552</v>
      </c>
      <c r="G591" s="17">
        <v>7</v>
      </c>
      <c r="H591" s="17">
        <v>2751</v>
      </c>
    </row>
    <row r="592" spans="1:8" x14ac:dyDescent="0.2">
      <c r="A592" s="11" t="s">
        <v>64</v>
      </c>
      <c r="B592" s="11" t="s">
        <v>1732</v>
      </c>
      <c r="C592" s="11" t="s">
        <v>33</v>
      </c>
      <c r="D592" s="11" t="s">
        <v>219</v>
      </c>
      <c r="E592" s="20">
        <v>43220</v>
      </c>
      <c r="F592" s="35">
        <v>0.58680555555555547</v>
      </c>
      <c r="G592" s="17">
        <v>11</v>
      </c>
      <c r="H592" s="17">
        <v>6017</v>
      </c>
    </row>
    <row r="593" spans="1:8" x14ac:dyDescent="0.2">
      <c r="A593" s="11" t="s">
        <v>32</v>
      </c>
      <c r="B593" s="11" t="s">
        <v>1735</v>
      </c>
      <c r="C593" s="11" t="s">
        <v>65</v>
      </c>
      <c r="D593" s="11" t="s">
        <v>219</v>
      </c>
      <c r="E593" s="20">
        <v>43129</v>
      </c>
      <c r="F593" s="35">
        <v>0.51041666666666663</v>
      </c>
      <c r="G593" s="17">
        <v>12</v>
      </c>
      <c r="H593" s="17">
        <v>4488</v>
      </c>
    </row>
    <row r="594" spans="1:8" x14ac:dyDescent="0.2">
      <c r="A594" s="11" t="s">
        <v>89</v>
      </c>
      <c r="B594" s="11" t="s">
        <v>1733</v>
      </c>
      <c r="C594" s="11" t="s">
        <v>24</v>
      </c>
      <c r="D594" s="11" t="s">
        <v>41</v>
      </c>
      <c r="E594" s="20">
        <v>43134</v>
      </c>
      <c r="F594" s="35">
        <v>0.63194444444444442</v>
      </c>
      <c r="G594" s="17">
        <v>4</v>
      </c>
      <c r="H594" s="17">
        <v>3672</v>
      </c>
    </row>
    <row r="595" spans="1:8" x14ac:dyDescent="0.2">
      <c r="A595" s="11" t="s">
        <v>54</v>
      </c>
      <c r="B595" s="11" t="s">
        <v>1731</v>
      </c>
      <c r="C595" s="11" t="s">
        <v>33</v>
      </c>
      <c r="D595" s="11" t="s">
        <v>34</v>
      </c>
      <c r="E595" s="20">
        <v>43094</v>
      </c>
      <c r="F595" s="35">
        <v>0.70138888888888884</v>
      </c>
      <c r="G595" s="17">
        <v>9</v>
      </c>
      <c r="H595" s="17">
        <v>5724</v>
      </c>
    </row>
    <row r="596" spans="1:8" x14ac:dyDescent="0.2">
      <c r="A596" s="11" t="s">
        <v>78</v>
      </c>
      <c r="B596" s="11" t="s">
        <v>1731</v>
      </c>
      <c r="C596" s="11" t="s">
        <v>33</v>
      </c>
      <c r="D596" s="11" t="s">
        <v>219</v>
      </c>
      <c r="E596" s="20">
        <v>42966</v>
      </c>
      <c r="F596" s="35">
        <v>0.63541666666666663</v>
      </c>
      <c r="G596" s="17">
        <v>12</v>
      </c>
      <c r="H596" s="17">
        <v>3768</v>
      </c>
    </row>
    <row r="597" spans="1:8" x14ac:dyDescent="0.2">
      <c r="A597" s="11" t="s">
        <v>54</v>
      </c>
      <c r="B597" s="11" t="s">
        <v>1735</v>
      </c>
      <c r="C597" s="11" t="s">
        <v>24</v>
      </c>
      <c r="D597" s="11" t="s">
        <v>41</v>
      </c>
      <c r="E597" s="20">
        <v>43367</v>
      </c>
      <c r="F597" s="35">
        <v>0.65625</v>
      </c>
      <c r="G597" s="17">
        <v>2</v>
      </c>
      <c r="H597" s="17">
        <v>1110</v>
      </c>
    </row>
    <row r="598" spans="1:8" x14ac:dyDescent="0.2">
      <c r="A598" s="11" t="s">
        <v>32</v>
      </c>
      <c r="B598" s="11" t="s">
        <v>1732</v>
      </c>
      <c r="C598" s="11" t="s">
        <v>40</v>
      </c>
      <c r="D598" s="11" t="s">
        <v>219</v>
      </c>
      <c r="E598" s="20">
        <v>43532</v>
      </c>
      <c r="F598" s="35">
        <v>0.38541666666666663</v>
      </c>
      <c r="G598" s="17">
        <v>3</v>
      </c>
      <c r="H598" s="17">
        <v>5571</v>
      </c>
    </row>
    <row r="599" spans="1:8" x14ac:dyDescent="0.2">
      <c r="A599" s="11" t="s">
        <v>117</v>
      </c>
      <c r="B599" s="11" t="s">
        <v>1732</v>
      </c>
      <c r="C599" s="11" t="s">
        <v>24</v>
      </c>
      <c r="D599" s="11" t="s">
        <v>41</v>
      </c>
      <c r="E599" s="20">
        <v>43528</v>
      </c>
      <c r="F599" s="35">
        <v>0.39930555555555552</v>
      </c>
      <c r="G599" s="17">
        <v>2</v>
      </c>
      <c r="H599" s="17">
        <v>1584</v>
      </c>
    </row>
    <row r="600" spans="1:8" x14ac:dyDescent="0.2">
      <c r="A600" s="11" t="s">
        <v>78</v>
      </c>
      <c r="B600" s="11" t="s">
        <v>1731</v>
      </c>
      <c r="C600" s="11" t="s">
        <v>24</v>
      </c>
      <c r="D600" s="11" t="s">
        <v>41</v>
      </c>
      <c r="E600" s="20">
        <v>43014</v>
      </c>
      <c r="F600" s="35">
        <v>0.43402777777777773</v>
      </c>
      <c r="G600" s="17">
        <v>6</v>
      </c>
      <c r="H600" s="17">
        <v>3168</v>
      </c>
    </row>
    <row r="601" spans="1:8" x14ac:dyDescent="0.2">
      <c r="A601" s="11" t="s">
        <v>45</v>
      </c>
      <c r="B601" s="11" t="s">
        <v>1734</v>
      </c>
      <c r="C601" s="11" t="s">
        <v>65</v>
      </c>
      <c r="D601" s="11" t="s">
        <v>25</v>
      </c>
      <c r="E601" s="20">
        <v>43325</v>
      </c>
      <c r="F601" s="35">
        <v>0.63888888888888884</v>
      </c>
      <c r="G601" s="17">
        <v>14</v>
      </c>
      <c r="H601" s="17">
        <v>10780</v>
      </c>
    </row>
    <row r="602" spans="1:8" x14ac:dyDescent="0.2">
      <c r="A602" s="11" t="s">
        <v>117</v>
      </c>
      <c r="B602" s="11" t="s">
        <v>1735</v>
      </c>
      <c r="C602" s="11" t="s">
        <v>65</v>
      </c>
      <c r="D602" s="11" t="s">
        <v>25</v>
      </c>
      <c r="E602" s="20">
        <v>43094</v>
      </c>
      <c r="F602" s="35">
        <v>0.43402777777777773</v>
      </c>
      <c r="G602" s="17">
        <v>1</v>
      </c>
      <c r="H602" s="17">
        <v>766</v>
      </c>
    </row>
    <row r="603" spans="1:8" x14ac:dyDescent="0.2">
      <c r="A603" s="11" t="s">
        <v>54</v>
      </c>
      <c r="B603" s="11" t="s">
        <v>1734</v>
      </c>
      <c r="C603" s="11" t="s">
        <v>65</v>
      </c>
      <c r="D603" s="11" t="s">
        <v>41</v>
      </c>
      <c r="E603" s="20">
        <v>43378</v>
      </c>
      <c r="F603" s="35">
        <v>0.6875</v>
      </c>
      <c r="G603" s="17">
        <v>1</v>
      </c>
      <c r="H603" s="17">
        <v>418</v>
      </c>
    </row>
    <row r="604" spans="1:8" x14ac:dyDescent="0.2">
      <c r="A604" s="11" t="s">
        <v>89</v>
      </c>
      <c r="B604" s="11" t="s">
        <v>1732</v>
      </c>
      <c r="C604" s="11" t="s">
        <v>33</v>
      </c>
      <c r="D604" s="11" t="s">
        <v>25</v>
      </c>
      <c r="E604" s="20">
        <v>43519</v>
      </c>
      <c r="F604" s="35">
        <v>0.3923611111111111</v>
      </c>
      <c r="G604" s="17">
        <v>8</v>
      </c>
      <c r="H604" s="17">
        <v>7200</v>
      </c>
    </row>
    <row r="605" spans="1:8" x14ac:dyDescent="0.2">
      <c r="A605" s="11" t="s">
        <v>45</v>
      </c>
      <c r="B605" s="11" t="s">
        <v>1733</v>
      </c>
      <c r="C605" s="11" t="s">
        <v>65</v>
      </c>
      <c r="D605" s="11" t="s">
        <v>25</v>
      </c>
      <c r="E605" s="20">
        <v>42939</v>
      </c>
      <c r="F605" s="35">
        <v>0.63194444444444442</v>
      </c>
      <c r="G605" s="17">
        <v>6</v>
      </c>
      <c r="H605" s="17">
        <v>7002</v>
      </c>
    </row>
    <row r="606" spans="1:8" x14ac:dyDescent="0.2">
      <c r="A606" s="11" t="s">
        <v>64</v>
      </c>
      <c r="B606" s="11" t="s">
        <v>1733</v>
      </c>
      <c r="C606" s="11" t="s">
        <v>65</v>
      </c>
      <c r="D606" s="11" t="s">
        <v>34</v>
      </c>
      <c r="E606" s="20">
        <v>43322</v>
      </c>
      <c r="F606" s="35">
        <v>0.40277777777777773</v>
      </c>
      <c r="G606" s="17">
        <v>7</v>
      </c>
      <c r="H606" s="17">
        <v>7532</v>
      </c>
    </row>
    <row r="607" spans="1:8" x14ac:dyDescent="0.2">
      <c r="A607" s="11" t="s">
        <v>45</v>
      </c>
      <c r="B607" s="11" t="s">
        <v>1733</v>
      </c>
      <c r="C607" s="11" t="s">
        <v>65</v>
      </c>
      <c r="D607" s="11" t="s">
        <v>34</v>
      </c>
      <c r="E607" s="20">
        <v>43093</v>
      </c>
      <c r="F607" s="35">
        <v>0.53819444444444442</v>
      </c>
      <c r="G607" s="17">
        <v>11</v>
      </c>
      <c r="H607" s="17">
        <v>6721</v>
      </c>
    </row>
    <row r="608" spans="1:8" x14ac:dyDescent="0.2">
      <c r="A608" s="11" t="s">
        <v>89</v>
      </c>
      <c r="B608" s="11" t="s">
        <v>1733</v>
      </c>
      <c r="C608" s="11" t="s">
        <v>40</v>
      </c>
      <c r="D608" s="11" t="s">
        <v>219</v>
      </c>
      <c r="E608" s="20">
        <v>43177</v>
      </c>
      <c r="F608" s="35">
        <v>0.72569444444444442</v>
      </c>
      <c r="G608" s="17">
        <v>5</v>
      </c>
      <c r="H608" s="17">
        <v>2955</v>
      </c>
    </row>
    <row r="609" spans="1:8" x14ac:dyDescent="0.2">
      <c r="A609" s="11" t="s">
        <v>75</v>
      </c>
      <c r="B609" s="11" t="s">
        <v>1735</v>
      </c>
      <c r="C609" s="11" t="s">
        <v>33</v>
      </c>
      <c r="D609" s="11" t="s">
        <v>219</v>
      </c>
      <c r="E609" s="20">
        <v>43092</v>
      </c>
      <c r="F609" s="35">
        <v>0.34027777777777773</v>
      </c>
      <c r="G609" s="17">
        <v>9</v>
      </c>
      <c r="H609" s="17">
        <v>3789</v>
      </c>
    </row>
    <row r="610" spans="1:8" x14ac:dyDescent="0.2">
      <c r="A610" s="11" t="s">
        <v>114</v>
      </c>
      <c r="B610" s="11" t="s">
        <v>1735</v>
      </c>
      <c r="C610" s="11" t="s">
        <v>33</v>
      </c>
      <c r="D610" s="11" t="s">
        <v>219</v>
      </c>
      <c r="E610" s="20">
        <v>43024</v>
      </c>
      <c r="F610" s="35">
        <v>0.39583333333333331</v>
      </c>
      <c r="G610" s="17">
        <v>4</v>
      </c>
      <c r="H610" s="17">
        <v>2180</v>
      </c>
    </row>
    <row r="611" spans="1:8" x14ac:dyDescent="0.2">
      <c r="A611" s="11" t="s">
        <v>23</v>
      </c>
      <c r="B611" s="11" t="s">
        <v>1735</v>
      </c>
      <c r="C611" s="11" t="s">
        <v>40</v>
      </c>
      <c r="D611" s="11" t="s">
        <v>41</v>
      </c>
      <c r="E611" s="20">
        <v>42966</v>
      </c>
      <c r="F611" s="35">
        <v>0.6875</v>
      </c>
      <c r="G611" s="17">
        <v>8</v>
      </c>
      <c r="H611" s="17">
        <v>3592</v>
      </c>
    </row>
    <row r="612" spans="1:8" x14ac:dyDescent="0.2">
      <c r="A612" s="11" t="s">
        <v>23</v>
      </c>
      <c r="B612" s="11" t="s">
        <v>1733</v>
      </c>
      <c r="C612" s="11" t="s">
        <v>65</v>
      </c>
      <c r="D612" s="11" t="s">
        <v>219</v>
      </c>
      <c r="E612" s="20">
        <v>43091</v>
      </c>
      <c r="F612" s="35">
        <v>0.46875</v>
      </c>
      <c r="G612" s="17">
        <v>3</v>
      </c>
      <c r="H612" s="17">
        <v>1590</v>
      </c>
    </row>
    <row r="613" spans="1:8" x14ac:dyDescent="0.2">
      <c r="A613" s="11" t="s">
        <v>78</v>
      </c>
      <c r="B613" s="11" t="s">
        <v>1733</v>
      </c>
      <c r="C613" s="11" t="s">
        <v>65</v>
      </c>
      <c r="D613" s="11" t="s">
        <v>120</v>
      </c>
      <c r="E613" s="20">
        <v>43268</v>
      </c>
      <c r="F613" s="35">
        <v>0.42013888888888884</v>
      </c>
      <c r="G613" s="17">
        <v>6</v>
      </c>
      <c r="H613" s="17">
        <v>6288</v>
      </c>
    </row>
    <row r="614" spans="1:8" x14ac:dyDescent="0.2">
      <c r="A614" s="11" t="s">
        <v>78</v>
      </c>
      <c r="B614" s="11" t="s">
        <v>1731</v>
      </c>
      <c r="C614" s="11" t="s">
        <v>33</v>
      </c>
      <c r="D614" s="11" t="s">
        <v>219</v>
      </c>
      <c r="E614" s="20">
        <v>43091</v>
      </c>
      <c r="F614" s="35">
        <v>0.47569444444444442</v>
      </c>
      <c r="G614" s="17">
        <v>12</v>
      </c>
      <c r="H614" s="17">
        <v>3624</v>
      </c>
    </row>
    <row r="615" spans="1:8" x14ac:dyDescent="0.2">
      <c r="A615" s="11" t="s">
        <v>54</v>
      </c>
      <c r="B615" s="11" t="s">
        <v>1732</v>
      </c>
      <c r="C615" s="11" t="s">
        <v>40</v>
      </c>
      <c r="D615" s="11" t="s">
        <v>120</v>
      </c>
      <c r="E615" s="20">
        <v>43555</v>
      </c>
      <c r="F615" s="35">
        <v>0.59722222222222221</v>
      </c>
      <c r="G615" s="17">
        <v>11</v>
      </c>
      <c r="H615" s="17">
        <v>13453</v>
      </c>
    </row>
    <row r="616" spans="1:8" x14ac:dyDescent="0.2">
      <c r="A616" s="11" t="s">
        <v>114</v>
      </c>
      <c r="B616" s="11" t="s">
        <v>1733</v>
      </c>
      <c r="C616" s="11" t="s">
        <v>40</v>
      </c>
      <c r="D616" s="11" t="s">
        <v>34</v>
      </c>
      <c r="E616" s="20">
        <v>43188</v>
      </c>
      <c r="F616" s="35">
        <v>0.56597222222222221</v>
      </c>
      <c r="G616" s="17">
        <v>13</v>
      </c>
      <c r="H616" s="17">
        <v>15639</v>
      </c>
    </row>
    <row r="617" spans="1:8" x14ac:dyDescent="0.2">
      <c r="A617" s="11" t="s">
        <v>117</v>
      </c>
      <c r="B617" s="11" t="s">
        <v>1733</v>
      </c>
      <c r="C617" s="11" t="s">
        <v>33</v>
      </c>
      <c r="D617" s="11" t="s">
        <v>25</v>
      </c>
      <c r="E617" s="20">
        <v>43091</v>
      </c>
      <c r="F617" s="35">
        <v>0.58333333333333326</v>
      </c>
      <c r="G617" s="17">
        <v>2</v>
      </c>
      <c r="H617" s="17">
        <v>1762</v>
      </c>
    </row>
    <row r="618" spans="1:8" x14ac:dyDescent="0.2">
      <c r="A618" s="11" t="s">
        <v>49</v>
      </c>
      <c r="B618" s="11" t="s">
        <v>1735</v>
      </c>
      <c r="C618" s="11" t="s">
        <v>65</v>
      </c>
      <c r="D618" s="11" t="s">
        <v>25</v>
      </c>
      <c r="E618" s="20">
        <v>43518</v>
      </c>
      <c r="F618" s="35">
        <v>0.57986111111111105</v>
      </c>
      <c r="G618" s="17">
        <v>11</v>
      </c>
      <c r="H618" s="17">
        <v>7348</v>
      </c>
    </row>
    <row r="619" spans="1:8" x14ac:dyDescent="0.2">
      <c r="A619" s="11" t="s">
        <v>64</v>
      </c>
      <c r="B619" s="11" t="s">
        <v>1735</v>
      </c>
      <c r="C619" s="11" t="s">
        <v>24</v>
      </c>
      <c r="D619" s="11" t="s">
        <v>25</v>
      </c>
      <c r="E619" s="20">
        <v>43126</v>
      </c>
      <c r="F619" s="35">
        <v>0.69097222222222221</v>
      </c>
      <c r="G619" s="17">
        <v>15</v>
      </c>
      <c r="H619" s="17">
        <v>8535</v>
      </c>
    </row>
    <row r="620" spans="1:8" x14ac:dyDescent="0.2">
      <c r="A620" s="11" t="s">
        <v>117</v>
      </c>
      <c r="B620" s="11" t="s">
        <v>1732</v>
      </c>
      <c r="C620" s="11" t="s">
        <v>24</v>
      </c>
      <c r="D620" s="11" t="s">
        <v>34</v>
      </c>
      <c r="E620" s="20">
        <v>43091</v>
      </c>
      <c r="F620" s="35">
        <v>0.69097222222222221</v>
      </c>
      <c r="G620" s="17">
        <v>11</v>
      </c>
      <c r="H620" s="17">
        <v>17589</v>
      </c>
    </row>
    <row r="621" spans="1:8" x14ac:dyDescent="0.2">
      <c r="A621" s="11" t="s">
        <v>75</v>
      </c>
      <c r="B621" s="11" t="s">
        <v>1733</v>
      </c>
      <c r="C621" s="11" t="s">
        <v>33</v>
      </c>
      <c r="D621" s="11" t="s">
        <v>120</v>
      </c>
      <c r="E621" s="20">
        <v>43087</v>
      </c>
      <c r="F621" s="35">
        <v>0.55555555555555558</v>
      </c>
      <c r="G621" s="17">
        <v>12</v>
      </c>
      <c r="H621" s="17">
        <v>17160</v>
      </c>
    </row>
    <row r="622" spans="1:8" x14ac:dyDescent="0.2">
      <c r="A622" s="11" t="s">
        <v>23</v>
      </c>
      <c r="B622" s="11" t="s">
        <v>1733</v>
      </c>
      <c r="C622" s="11" t="s">
        <v>33</v>
      </c>
      <c r="D622" s="11" t="s">
        <v>25</v>
      </c>
      <c r="E622" s="20">
        <v>43086</v>
      </c>
      <c r="F622" s="35">
        <v>0.72569444444444442</v>
      </c>
      <c r="G622" s="17">
        <v>5</v>
      </c>
      <c r="H622" s="17">
        <v>2520</v>
      </c>
    </row>
    <row r="623" spans="1:8" x14ac:dyDescent="0.2">
      <c r="A623" s="11" t="s">
        <v>64</v>
      </c>
      <c r="B623" s="11" t="s">
        <v>1732</v>
      </c>
      <c r="C623" s="11" t="s">
        <v>33</v>
      </c>
      <c r="D623" s="11" t="s">
        <v>25</v>
      </c>
      <c r="E623" s="20">
        <v>43183</v>
      </c>
      <c r="F623" s="35">
        <v>0.40972222222222221</v>
      </c>
      <c r="G623" s="17">
        <v>15</v>
      </c>
      <c r="H623" s="17">
        <v>11235</v>
      </c>
    </row>
    <row r="624" spans="1:8" x14ac:dyDescent="0.2">
      <c r="A624" s="11" t="s">
        <v>89</v>
      </c>
      <c r="B624" s="4" t="s">
        <v>1734</v>
      </c>
      <c r="C624" s="11" t="s">
        <v>33</v>
      </c>
      <c r="D624" s="11" t="s">
        <v>41</v>
      </c>
      <c r="E624" s="20">
        <v>42855</v>
      </c>
      <c r="F624" s="35">
        <v>0.66319444444444442</v>
      </c>
      <c r="G624" s="17">
        <v>13</v>
      </c>
      <c r="H624" s="21">
        <v>6461</v>
      </c>
    </row>
    <row r="625" spans="1:8" x14ac:dyDescent="0.2">
      <c r="A625" s="11" t="s">
        <v>114</v>
      </c>
      <c r="B625" s="11" t="s">
        <v>1731</v>
      </c>
      <c r="C625" s="11" t="s">
        <v>24</v>
      </c>
      <c r="D625" s="11" t="s">
        <v>219</v>
      </c>
      <c r="E625" s="20">
        <v>43084</v>
      </c>
      <c r="F625" s="35">
        <v>0.5</v>
      </c>
      <c r="G625" s="17">
        <v>3</v>
      </c>
      <c r="H625" s="17">
        <v>1044</v>
      </c>
    </row>
    <row r="626" spans="1:8" x14ac:dyDescent="0.2">
      <c r="A626" s="11" t="s">
        <v>64</v>
      </c>
      <c r="B626" s="11" t="s">
        <v>1733</v>
      </c>
      <c r="C626" s="11" t="s">
        <v>65</v>
      </c>
      <c r="D626" s="11" t="s">
        <v>219</v>
      </c>
      <c r="E626" s="20">
        <v>43363</v>
      </c>
      <c r="F626" s="35">
        <v>0.60763888888888884</v>
      </c>
      <c r="G626" s="17">
        <v>3</v>
      </c>
      <c r="H626" s="17">
        <v>3441</v>
      </c>
    </row>
    <row r="627" spans="1:8" x14ac:dyDescent="0.2">
      <c r="A627" s="11" t="s">
        <v>75</v>
      </c>
      <c r="B627" s="11" t="s">
        <v>1732</v>
      </c>
      <c r="C627" s="11" t="s">
        <v>40</v>
      </c>
      <c r="D627" s="11" t="s">
        <v>219</v>
      </c>
      <c r="E627" s="20">
        <v>43084</v>
      </c>
      <c r="F627" s="35">
        <v>0.4861111111111111</v>
      </c>
      <c r="G627" s="17">
        <v>15</v>
      </c>
      <c r="H627" s="17">
        <v>14220</v>
      </c>
    </row>
    <row r="628" spans="1:8" x14ac:dyDescent="0.2">
      <c r="A628" s="11" t="s">
        <v>64</v>
      </c>
      <c r="B628" s="11" t="s">
        <v>1732</v>
      </c>
      <c r="C628" s="11" t="s">
        <v>40</v>
      </c>
      <c r="D628" s="11" t="s">
        <v>120</v>
      </c>
      <c r="E628" s="20">
        <v>43083</v>
      </c>
      <c r="F628" s="35">
        <v>0.42708333333333331</v>
      </c>
      <c r="G628" s="17">
        <v>8</v>
      </c>
      <c r="H628" s="17">
        <v>9960</v>
      </c>
    </row>
    <row r="629" spans="1:8" x14ac:dyDescent="0.2">
      <c r="A629" s="11" t="s">
        <v>23</v>
      </c>
      <c r="B629" s="11" t="s">
        <v>1732</v>
      </c>
      <c r="C629" s="11" t="s">
        <v>33</v>
      </c>
      <c r="D629" s="11" t="s">
        <v>25</v>
      </c>
      <c r="E629" s="20">
        <v>43083</v>
      </c>
      <c r="F629" s="35">
        <v>0.54861111111111105</v>
      </c>
      <c r="G629" s="17">
        <v>5</v>
      </c>
      <c r="H629" s="17">
        <v>3005</v>
      </c>
    </row>
    <row r="630" spans="1:8" x14ac:dyDescent="0.2">
      <c r="A630" s="11" t="s">
        <v>54</v>
      </c>
      <c r="B630" s="11" t="s">
        <v>1732</v>
      </c>
      <c r="C630" s="11" t="s">
        <v>24</v>
      </c>
      <c r="D630" s="11" t="s">
        <v>219</v>
      </c>
      <c r="E630" s="20">
        <v>43126</v>
      </c>
      <c r="F630" s="35">
        <v>0.42708333333333331</v>
      </c>
      <c r="G630" s="17">
        <v>6</v>
      </c>
      <c r="H630" s="17">
        <v>4296</v>
      </c>
    </row>
    <row r="631" spans="1:8" x14ac:dyDescent="0.2">
      <c r="A631" s="11" t="s">
        <v>78</v>
      </c>
      <c r="B631" s="11" t="s">
        <v>1733</v>
      </c>
      <c r="C631" s="11" t="s">
        <v>40</v>
      </c>
      <c r="D631" s="11" t="s">
        <v>41</v>
      </c>
      <c r="E631" s="20">
        <v>42945</v>
      </c>
      <c r="F631" s="35">
        <v>0.625</v>
      </c>
      <c r="G631" s="17">
        <v>13</v>
      </c>
      <c r="H631" s="17">
        <v>15171</v>
      </c>
    </row>
    <row r="632" spans="1:8" x14ac:dyDescent="0.2">
      <c r="A632" s="11" t="s">
        <v>64</v>
      </c>
      <c r="B632" s="11" t="s">
        <v>1735</v>
      </c>
      <c r="C632" s="11" t="s">
        <v>33</v>
      </c>
      <c r="D632" s="11" t="s">
        <v>34</v>
      </c>
      <c r="E632" s="20">
        <v>43246</v>
      </c>
      <c r="F632" s="35">
        <v>0.55555555555555558</v>
      </c>
      <c r="G632" s="17">
        <v>12</v>
      </c>
      <c r="H632" s="17">
        <v>4452</v>
      </c>
    </row>
    <row r="633" spans="1:8" x14ac:dyDescent="0.2">
      <c r="A633" s="11" t="s">
        <v>23</v>
      </c>
      <c r="B633" s="11" t="s">
        <v>1735</v>
      </c>
      <c r="C633" s="11" t="s">
        <v>24</v>
      </c>
      <c r="D633" s="11" t="s">
        <v>25</v>
      </c>
      <c r="E633" s="20">
        <v>42982</v>
      </c>
      <c r="F633" s="35">
        <v>0.64930555555555547</v>
      </c>
      <c r="G633" s="17">
        <v>5</v>
      </c>
      <c r="H633" s="17">
        <v>3020</v>
      </c>
    </row>
    <row r="634" spans="1:8" x14ac:dyDescent="0.2">
      <c r="A634" s="11" t="s">
        <v>45</v>
      </c>
      <c r="B634" s="11" t="s">
        <v>1733</v>
      </c>
      <c r="C634" s="11" t="s">
        <v>24</v>
      </c>
      <c r="D634" s="11" t="s">
        <v>120</v>
      </c>
      <c r="E634" s="20">
        <v>43244</v>
      </c>
      <c r="F634" s="35">
        <v>0.57986111111111105</v>
      </c>
      <c r="G634" s="17">
        <v>1</v>
      </c>
      <c r="H634" s="17">
        <v>1220</v>
      </c>
    </row>
    <row r="635" spans="1:8" x14ac:dyDescent="0.2">
      <c r="A635" s="11" t="s">
        <v>114</v>
      </c>
      <c r="B635" s="11" t="s">
        <v>1733</v>
      </c>
      <c r="C635" s="11" t="s">
        <v>24</v>
      </c>
      <c r="D635" s="11" t="s">
        <v>34</v>
      </c>
      <c r="E635" s="20">
        <v>43083</v>
      </c>
      <c r="F635" s="35">
        <v>0.63194444444444442</v>
      </c>
      <c r="G635" s="17">
        <v>12</v>
      </c>
      <c r="H635" s="17">
        <v>17328</v>
      </c>
    </row>
    <row r="636" spans="1:8" x14ac:dyDescent="0.2">
      <c r="A636" s="11" t="s">
        <v>54</v>
      </c>
      <c r="B636" s="11" t="s">
        <v>1732</v>
      </c>
      <c r="C636" s="11" t="s">
        <v>33</v>
      </c>
      <c r="D636" s="11" t="s">
        <v>219</v>
      </c>
      <c r="E636" s="20">
        <v>43301</v>
      </c>
      <c r="F636" s="35">
        <v>0.73263888888888884</v>
      </c>
      <c r="G636" s="17">
        <v>13</v>
      </c>
      <c r="H636" s="17">
        <v>15704</v>
      </c>
    </row>
    <row r="637" spans="1:8" x14ac:dyDescent="0.2">
      <c r="A637" s="11" t="s">
        <v>89</v>
      </c>
      <c r="B637" s="11" t="s">
        <v>1733</v>
      </c>
      <c r="C637" s="11" t="s">
        <v>33</v>
      </c>
      <c r="D637" s="11" t="s">
        <v>219</v>
      </c>
      <c r="E637" s="20">
        <v>43217</v>
      </c>
      <c r="F637" s="35">
        <v>0.54861111111111105</v>
      </c>
      <c r="G637" s="17">
        <v>1</v>
      </c>
      <c r="H637" s="17">
        <v>962</v>
      </c>
    </row>
    <row r="638" spans="1:8" x14ac:dyDescent="0.2">
      <c r="A638" s="11" t="s">
        <v>23</v>
      </c>
      <c r="B638" s="11" t="s">
        <v>1734</v>
      </c>
      <c r="C638" s="11" t="s">
        <v>40</v>
      </c>
      <c r="D638" s="11" t="s">
        <v>41</v>
      </c>
      <c r="E638" s="20">
        <v>43080</v>
      </c>
      <c r="F638" s="35">
        <v>0.52777777777777779</v>
      </c>
      <c r="G638" s="17">
        <v>4</v>
      </c>
      <c r="H638" s="17">
        <v>3052</v>
      </c>
    </row>
    <row r="639" spans="1:8" x14ac:dyDescent="0.2">
      <c r="A639" s="11" t="s">
        <v>64</v>
      </c>
      <c r="B639" s="11" t="s">
        <v>1735</v>
      </c>
      <c r="C639" s="11" t="s">
        <v>40</v>
      </c>
      <c r="D639" s="11" t="s">
        <v>41</v>
      </c>
      <c r="E639" s="20">
        <v>43010</v>
      </c>
      <c r="F639" s="35">
        <v>0.65972222222222221</v>
      </c>
      <c r="G639" s="17">
        <v>6</v>
      </c>
      <c r="H639" s="17">
        <v>2610</v>
      </c>
    </row>
    <row r="640" spans="1:8" x14ac:dyDescent="0.2">
      <c r="A640" s="11" t="s">
        <v>75</v>
      </c>
      <c r="B640" s="11" t="s">
        <v>1731</v>
      </c>
      <c r="C640" s="11" t="s">
        <v>24</v>
      </c>
      <c r="D640" s="11" t="s">
        <v>41</v>
      </c>
      <c r="E640" s="20">
        <v>43178</v>
      </c>
      <c r="F640" s="35">
        <v>0.39583333333333331</v>
      </c>
      <c r="G640" s="17">
        <v>3</v>
      </c>
      <c r="H640" s="17">
        <v>1827</v>
      </c>
    </row>
    <row r="641" spans="1:8" x14ac:dyDescent="0.2">
      <c r="A641" s="11" t="s">
        <v>54</v>
      </c>
      <c r="B641" s="11" t="s">
        <v>1735</v>
      </c>
      <c r="C641" s="11" t="s">
        <v>33</v>
      </c>
      <c r="D641" s="11" t="s">
        <v>120</v>
      </c>
      <c r="E641" s="20">
        <v>43219</v>
      </c>
      <c r="F641" s="35">
        <v>0.59722222222222221</v>
      </c>
      <c r="G641" s="17">
        <v>7</v>
      </c>
      <c r="H641" s="17">
        <v>5999</v>
      </c>
    </row>
    <row r="642" spans="1:8" x14ac:dyDescent="0.2">
      <c r="A642" s="11" t="s">
        <v>32</v>
      </c>
      <c r="B642" s="11" t="s">
        <v>1731</v>
      </c>
      <c r="C642" s="11" t="s">
        <v>40</v>
      </c>
      <c r="D642" s="11" t="s">
        <v>41</v>
      </c>
      <c r="E642" s="20">
        <v>43240</v>
      </c>
      <c r="F642" s="35">
        <v>0.58333333333333326</v>
      </c>
      <c r="G642" s="17">
        <v>9</v>
      </c>
      <c r="H642" s="17">
        <v>2997</v>
      </c>
    </row>
    <row r="643" spans="1:8" x14ac:dyDescent="0.2">
      <c r="A643" s="11" t="s">
        <v>45</v>
      </c>
      <c r="B643" s="11" t="s">
        <v>1732</v>
      </c>
      <c r="C643" s="11" t="s">
        <v>24</v>
      </c>
      <c r="D643" s="11" t="s">
        <v>219</v>
      </c>
      <c r="E643" s="20">
        <v>42912</v>
      </c>
      <c r="F643" s="35">
        <v>0.49305555555555552</v>
      </c>
      <c r="G643" s="17">
        <v>1</v>
      </c>
      <c r="H643" s="21">
        <v>1530</v>
      </c>
    </row>
    <row r="644" spans="1:8" x14ac:dyDescent="0.2">
      <c r="A644" s="11" t="s">
        <v>23</v>
      </c>
      <c r="B644" s="11" t="s">
        <v>1733</v>
      </c>
      <c r="C644" s="11" t="s">
        <v>24</v>
      </c>
      <c r="D644" s="11" t="s">
        <v>120</v>
      </c>
      <c r="E644" s="20">
        <v>43080</v>
      </c>
      <c r="F644" s="35">
        <v>0.45138888888888884</v>
      </c>
      <c r="G644" s="17">
        <v>9</v>
      </c>
      <c r="H644" s="17">
        <v>4788</v>
      </c>
    </row>
    <row r="645" spans="1:8" x14ac:dyDescent="0.2">
      <c r="A645" s="11" t="s">
        <v>54</v>
      </c>
      <c r="B645" s="11" t="s">
        <v>1731</v>
      </c>
      <c r="C645" s="11" t="s">
        <v>65</v>
      </c>
      <c r="D645" s="11" t="s">
        <v>25</v>
      </c>
      <c r="E645" s="20">
        <v>43157</v>
      </c>
      <c r="F645" s="35">
        <v>0.58680555555555547</v>
      </c>
      <c r="G645" s="17">
        <v>11</v>
      </c>
      <c r="H645" s="17">
        <v>5599</v>
      </c>
    </row>
    <row r="646" spans="1:8" x14ac:dyDescent="0.2">
      <c r="A646" s="11" t="s">
        <v>54</v>
      </c>
      <c r="B646" s="11" t="s">
        <v>1732</v>
      </c>
      <c r="C646" s="11" t="s">
        <v>33</v>
      </c>
      <c r="D646" s="11" t="s">
        <v>41</v>
      </c>
      <c r="E646" s="20">
        <v>42988</v>
      </c>
      <c r="F646" s="35">
        <v>0.4236111111111111</v>
      </c>
      <c r="G646" s="17">
        <v>3</v>
      </c>
      <c r="H646" s="17">
        <v>4161</v>
      </c>
    </row>
    <row r="647" spans="1:8" x14ac:dyDescent="0.2">
      <c r="A647" s="11" t="s">
        <v>64</v>
      </c>
      <c r="B647" s="11" t="s">
        <v>1734</v>
      </c>
      <c r="C647" s="11" t="s">
        <v>40</v>
      </c>
      <c r="D647" s="11" t="s">
        <v>120</v>
      </c>
      <c r="E647" s="20">
        <v>43079</v>
      </c>
      <c r="F647" s="35">
        <v>0.57638888888888884</v>
      </c>
      <c r="G647" s="17">
        <v>13</v>
      </c>
      <c r="H647" s="17">
        <v>11531</v>
      </c>
    </row>
    <row r="648" spans="1:8" x14ac:dyDescent="0.2">
      <c r="A648" s="11" t="s">
        <v>117</v>
      </c>
      <c r="B648" s="11" t="s">
        <v>1732</v>
      </c>
      <c r="C648" s="11" t="s">
        <v>24</v>
      </c>
      <c r="D648" s="11" t="s">
        <v>34</v>
      </c>
      <c r="E648" s="20">
        <v>42859</v>
      </c>
      <c r="F648" s="35">
        <v>0.53125</v>
      </c>
      <c r="G648" s="17">
        <v>13</v>
      </c>
      <c r="H648" s="17">
        <v>11102</v>
      </c>
    </row>
    <row r="649" spans="1:8" x14ac:dyDescent="0.2">
      <c r="A649" s="11" t="s">
        <v>45</v>
      </c>
      <c r="B649" s="11" t="s">
        <v>1732</v>
      </c>
      <c r="C649" s="11" t="s">
        <v>40</v>
      </c>
      <c r="D649" s="11" t="s">
        <v>34</v>
      </c>
      <c r="E649" s="20">
        <v>43078</v>
      </c>
      <c r="F649" s="35">
        <v>0.37847222222222221</v>
      </c>
      <c r="G649" s="17">
        <v>6</v>
      </c>
      <c r="H649" s="17">
        <v>11640</v>
      </c>
    </row>
    <row r="650" spans="1:8" x14ac:dyDescent="0.2">
      <c r="A650" s="11" t="s">
        <v>117</v>
      </c>
      <c r="B650" s="11" t="s">
        <v>1733</v>
      </c>
      <c r="C650" s="11" t="s">
        <v>65</v>
      </c>
      <c r="D650" s="11" t="s">
        <v>219</v>
      </c>
      <c r="E650" s="20">
        <v>43141</v>
      </c>
      <c r="F650" s="35">
        <v>0.52430555555555558</v>
      </c>
      <c r="G650" s="17">
        <v>12</v>
      </c>
      <c r="H650" s="17">
        <v>17388</v>
      </c>
    </row>
    <row r="651" spans="1:8" x14ac:dyDescent="0.2">
      <c r="A651" s="11" t="s">
        <v>45</v>
      </c>
      <c r="B651" s="11" t="s">
        <v>1735</v>
      </c>
      <c r="C651" s="11" t="s">
        <v>65</v>
      </c>
      <c r="D651" s="11" t="s">
        <v>34</v>
      </c>
      <c r="E651" s="20">
        <v>42993</v>
      </c>
      <c r="F651" s="35">
        <v>0.46527777777777773</v>
      </c>
      <c r="G651" s="17">
        <v>14</v>
      </c>
      <c r="H651" s="17">
        <v>4522</v>
      </c>
    </row>
    <row r="652" spans="1:8" x14ac:dyDescent="0.2">
      <c r="A652" s="11" t="s">
        <v>125</v>
      </c>
      <c r="B652" s="11" t="s">
        <v>1735</v>
      </c>
      <c r="C652" s="11" t="s">
        <v>24</v>
      </c>
      <c r="D652" s="11" t="s">
        <v>34</v>
      </c>
      <c r="E652" s="20">
        <v>43568</v>
      </c>
      <c r="F652" s="35">
        <v>0.43055555555555552</v>
      </c>
      <c r="G652" s="17">
        <v>18</v>
      </c>
      <c r="H652" s="17">
        <v>13464</v>
      </c>
    </row>
    <row r="653" spans="1:8" x14ac:dyDescent="0.2">
      <c r="A653" s="11" t="s">
        <v>45</v>
      </c>
      <c r="B653" s="11" t="s">
        <v>1735</v>
      </c>
      <c r="C653" s="11" t="s">
        <v>33</v>
      </c>
      <c r="D653" s="11" t="s">
        <v>25</v>
      </c>
      <c r="E653" s="20">
        <v>42898</v>
      </c>
      <c r="F653" s="35">
        <v>0.40972222222222221</v>
      </c>
      <c r="G653" s="17">
        <v>2</v>
      </c>
      <c r="H653" s="21">
        <v>1320</v>
      </c>
    </row>
    <row r="654" spans="1:8" x14ac:dyDescent="0.2">
      <c r="A654" s="11" t="s">
        <v>114</v>
      </c>
      <c r="B654" s="11" t="s">
        <v>1734</v>
      </c>
      <c r="C654" s="11" t="s">
        <v>40</v>
      </c>
      <c r="D654" s="11" t="s">
        <v>219</v>
      </c>
      <c r="E654" s="20">
        <v>42964</v>
      </c>
      <c r="F654" s="35">
        <v>0.37152777777777773</v>
      </c>
      <c r="G654" s="17">
        <v>8</v>
      </c>
      <c r="H654" s="17">
        <v>5976</v>
      </c>
    </row>
    <row r="655" spans="1:8" x14ac:dyDescent="0.2">
      <c r="A655" s="11" t="s">
        <v>32</v>
      </c>
      <c r="B655" s="11" t="s">
        <v>1731</v>
      </c>
      <c r="C655" s="11" t="s">
        <v>40</v>
      </c>
      <c r="D655" s="11" t="s">
        <v>120</v>
      </c>
      <c r="E655" s="20">
        <v>43199</v>
      </c>
      <c r="F655" s="35">
        <v>0.35416666666666663</v>
      </c>
      <c r="G655" s="17">
        <v>11</v>
      </c>
      <c r="H655" s="17">
        <v>4631</v>
      </c>
    </row>
    <row r="656" spans="1:8" x14ac:dyDescent="0.2">
      <c r="A656" s="11" t="s">
        <v>54</v>
      </c>
      <c r="B656" s="11" t="s">
        <v>1731</v>
      </c>
      <c r="C656" s="11" t="s">
        <v>33</v>
      </c>
      <c r="D656" s="11" t="s">
        <v>120</v>
      </c>
      <c r="E656" s="20">
        <v>43078</v>
      </c>
      <c r="F656" s="35">
        <v>0.52430555555555558</v>
      </c>
      <c r="G656" s="17">
        <v>1</v>
      </c>
      <c r="H656" s="17">
        <v>563</v>
      </c>
    </row>
    <row r="657" spans="1:8" x14ac:dyDescent="0.2">
      <c r="A657" s="11" t="s">
        <v>32</v>
      </c>
      <c r="B657" s="11" t="s">
        <v>1735</v>
      </c>
      <c r="C657" s="11" t="s">
        <v>33</v>
      </c>
      <c r="D657" s="11" t="s">
        <v>219</v>
      </c>
      <c r="E657" s="20">
        <v>43021</v>
      </c>
      <c r="F657" s="35">
        <v>0.73263888888888884</v>
      </c>
      <c r="G657" s="17">
        <v>8</v>
      </c>
      <c r="H657" s="17">
        <v>4080</v>
      </c>
    </row>
    <row r="658" spans="1:8" x14ac:dyDescent="0.2">
      <c r="A658" s="11" t="s">
        <v>32</v>
      </c>
      <c r="B658" s="11" t="s">
        <v>1731</v>
      </c>
      <c r="C658" s="11" t="s">
        <v>33</v>
      </c>
      <c r="D658" s="11" t="s">
        <v>34</v>
      </c>
      <c r="E658" s="20">
        <v>43359</v>
      </c>
      <c r="F658" s="35">
        <v>0.625</v>
      </c>
      <c r="G658" s="17">
        <v>17</v>
      </c>
      <c r="H658" s="17">
        <v>6528</v>
      </c>
    </row>
    <row r="659" spans="1:8" x14ac:dyDescent="0.2">
      <c r="A659" s="11" t="s">
        <v>78</v>
      </c>
      <c r="B659" s="11" t="s">
        <v>1734</v>
      </c>
      <c r="C659" s="11" t="s">
        <v>33</v>
      </c>
      <c r="D659" s="11" t="s">
        <v>34</v>
      </c>
      <c r="E659" s="20">
        <v>43503</v>
      </c>
      <c r="F659" s="35">
        <v>0.55555555555555558</v>
      </c>
      <c r="G659" s="17">
        <v>11</v>
      </c>
      <c r="H659" s="17">
        <v>8041</v>
      </c>
    </row>
    <row r="660" spans="1:8" x14ac:dyDescent="0.2">
      <c r="A660" s="11" t="s">
        <v>23</v>
      </c>
      <c r="B660" s="11" t="s">
        <v>1734</v>
      </c>
      <c r="C660" s="11" t="s">
        <v>24</v>
      </c>
      <c r="D660" s="11" t="s">
        <v>219</v>
      </c>
      <c r="E660" s="20">
        <v>43386</v>
      </c>
      <c r="F660" s="35">
        <v>0.70486111111111105</v>
      </c>
      <c r="G660" s="17">
        <v>8</v>
      </c>
      <c r="H660" s="17">
        <v>3872</v>
      </c>
    </row>
    <row r="661" spans="1:8" x14ac:dyDescent="0.2">
      <c r="A661" s="11" t="s">
        <v>32</v>
      </c>
      <c r="B661" s="11" t="s">
        <v>1731</v>
      </c>
      <c r="C661" s="11" t="s">
        <v>24</v>
      </c>
      <c r="D661" s="11" t="s">
        <v>219</v>
      </c>
      <c r="E661" s="20">
        <v>43077</v>
      </c>
      <c r="F661" s="35">
        <v>0.40625</v>
      </c>
      <c r="G661" s="17">
        <v>8</v>
      </c>
      <c r="H661" s="17">
        <v>2832</v>
      </c>
    </row>
    <row r="662" spans="1:8" x14ac:dyDescent="0.2">
      <c r="A662" s="11" t="s">
        <v>49</v>
      </c>
      <c r="B662" s="11" t="s">
        <v>1733</v>
      </c>
      <c r="C662" s="11" t="s">
        <v>33</v>
      </c>
      <c r="D662" s="11" t="s">
        <v>34</v>
      </c>
      <c r="E662" s="20">
        <v>42895</v>
      </c>
      <c r="F662" s="35">
        <v>0.49652777777777773</v>
      </c>
      <c r="G662" s="17">
        <v>15</v>
      </c>
      <c r="H662" s="17">
        <v>8325</v>
      </c>
    </row>
    <row r="663" spans="1:8" x14ac:dyDescent="0.2">
      <c r="A663" s="11" t="s">
        <v>117</v>
      </c>
      <c r="B663" s="11" t="s">
        <v>1732</v>
      </c>
      <c r="C663" s="11" t="s">
        <v>24</v>
      </c>
      <c r="D663" s="11" t="s">
        <v>219</v>
      </c>
      <c r="E663" s="20">
        <v>43539</v>
      </c>
      <c r="F663" s="35">
        <v>0.40277777777777773</v>
      </c>
      <c r="G663" s="17">
        <v>10</v>
      </c>
      <c r="H663" s="17">
        <v>7400</v>
      </c>
    </row>
    <row r="664" spans="1:8" x14ac:dyDescent="0.2">
      <c r="A664" s="11" t="s">
        <v>75</v>
      </c>
      <c r="B664" s="11" t="s">
        <v>1732</v>
      </c>
      <c r="C664" s="11" t="s">
        <v>40</v>
      </c>
      <c r="D664" s="11" t="s">
        <v>34</v>
      </c>
      <c r="E664" s="20">
        <v>43212</v>
      </c>
      <c r="F664" s="35">
        <v>0.61458333333333326</v>
      </c>
      <c r="G664" s="17">
        <v>12</v>
      </c>
      <c r="H664" s="17">
        <v>11508</v>
      </c>
    </row>
    <row r="665" spans="1:8" x14ac:dyDescent="0.2">
      <c r="A665" s="11" t="s">
        <v>23</v>
      </c>
      <c r="B665" s="11" t="s">
        <v>1734</v>
      </c>
      <c r="C665" s="11" t="s">
        <v>40</v>
      </c>
      <c r="D665" s="11" t="s">
        <v>219</v>
      </c>
      <c r="E665" s="20">
        <v>43241</v>
      </c>
      <c r="F665" s="35">
        <v>0.42013888888888884</v>
      </c>
      <c r="G665" s="17">
        <v>15</v>
      </c>
      <c r="H665" s="17">
        <v>8055</v>
      </c>
    </row>
    <row r="666" spans="1:8" x14ac:dyDescent="0.2">
      <c r="A666" s="11" t="s">
        <v>54</v>
      </c>
      <c r="B666" s="11" t="s">
        <v>1733</v>
      </c>
      <c r="C666" s="11" t="s">
        <v>65</v>
      </c>
      <c r="D666" s="11" t="s">
        <v>34</v>
      </c>
      <c r="E666" s="20">
        <v>42960</v>
      </c>
      <c r="F666" s="35">
        <v>0.47222222222222221</v>
      </c>
      <c r="G666" s="17">
        <v>10</v>
      </c>
      <c r="H666" s="17">
        <v>12750</v>
      </c>
    </row>
    <row r="667" spans="1:8" x14ac:dyDescent="0.2">
      <c r="A667" s="11" t="s">
        <v>45</v>
      </c>
      <c r="B667" s="11" t="s">
        <v>1733</v>
      </c>
      <c r="C667" s="11" t="s">
        <v>65</v>
      </c>
      <c r="D667" s="11" t="s">
        <v>34</v>
      </c>
      <c r="E667" s="20">
        <v>42931</v>
      </c>
      <c r="F667" s="35">
        <v>0.55555555555555558</v>
      </c>
      <c r="G667" s="17">
        <v>20</v>
      </c>
      <c r="H667" s="17">
        <v>16620</v>
      </c>
    </row>
    <row r="668" spans="1:8" x14ac:dyDescent="0.2">
      <c r="A668" s="11" t="s">
        <v>78</v>
      </c>
      <c r="B668" s="11" t="s">
        <v>1732</v>
      </c>
      <c r="C668" s="11" t="s">
        <v>33</v>
      </c>
      <c r="D668" s="11" t="s">
        <v>120</v>
      </c>
      <c r="E668" s="20">
        <v>43206</v>
      </c>
      <c r="F668" s="35">
        <v>0.55208333333333326</v>
      </c>
      <c r="G668" s="17">
        <v>8</v>
      </c>
      <c r="H668" s="17">
        <v>9776</v>
      </c>
    </row>
    <row r="669" spans="1:8" x14ac:dyDescent="0.2">
      <c r="A669" s="11" t="s">
        <v>45</v>
      </c>
      <c r="B669" s="11" t="s">
        <v>1732</v>
      </c>
      <c r="C669" s="11" t="s">
        <v>24</v>
      </c>
      <c r="D669" s="11" t="s">
        <v>219</v>
      </c>
      <c r="E669" s="20">
        <v>43491</v>
      </c>
      <c r="F669" s="35">
        <v>0.49652777777777773</v>
      </c>
      <c r="G669" s="17">
        <v>1</v>
      </c>
      <c r="H669" s="17">
        <v>630</v>
      </c>
    </row>
    <row r="670" spans="1:8" x14ac:dyDescent="0.2">
      <c r="A670" s="11" t="s">
        <v>23</v>
      </c>
      <c r="B670" s="11" t="s">
        <v>1734</v>
      </c>
      <c r="C670" s="11" t="s">
        <v>33</v>
      </c>
      <c r="D670" s="11" t="s">
        <v>41</v>
      </c>
      <c r="E670" s="20">
        <v>43554</v>
      </c>
      <c r="F670" s="35">
        <v>0.66319444444444442</v>
      </c>
      <c r="G670" s="17">
        <v>5</v>
      </c>
      <c r="H670" s="17">
        <v>3315</v>
      </c>
    </row>
    <row r="671" spans="1:8" x14ac:dyDescent="0.2">
      <c r="A671" s="11" t="s">
        <v>54</v>
      </c>
      <c r="B671" s="11" t="s">
        <v>1731</v>
      </c>
      <c r="C671" s="11" t="s">
        <v>40</v>
      </c>
      <c r="D671" s="11" t="s">
        <v>25</v>
      </c>
      <c r="E671" s="20">
        <v>43189</v>
      </c>
      <c r="F671" s="35">
        <v>0.67708333333333326</v>
      </c>
      <c r="G671" s="17">
        <v>15</v>
      </c>
      <c r="H671" s="17">
        <v>9435</v>
      </c>
    </row>
    <row r="672" spans="1:8" x14ac:dyDescent="0.2">
      <c r="A672" s="11" t="s">
        <v>23</v>
      </c>
      <c r="B672" s="11" t="s">
        <v>1732</v>
      </c>
      <c r="C672" s="11" t="s">
        <v>40</v>
      </c>
      <c r="D672" s="11" t="s">
        <v>25</v>
      </c>
      <c r="E672" s="20">
        <v>43287</v>
      </c>
      <c r="F672" s="35">
        <v>0.36805555555555552</v>
      </c>
      <c r="G672" s="17">
        <v>4</v>
      </c>
      <c r="H672" s="17">
        <v>2728</v>
      </c>
    </row>
    <row r="673" spans="1:8" x14ac:dyDescent="0.2">
      <c r="A673" s="11" t="s">
        <v>125</v>
      </c>
      <c r="B673" s="11" t="s">
        <v>1732</v>
      </c>
      <c r="C673" s="11" t="s">
        <v>24</v>
      </c>
      <c r="D673" s="11" t="s">
        <v>120</v>
      </c>
      <c r="E673" s="20">
        <v>43283</v>
      </c>
      <c r="F673" s="35">
        <v>0.75</v>
      </c>
      <c r="G673" s="17">
        <v>11</v>
      </c>
      <c r="H673" s="17">
        <v>5192</v>
      </c>
    </row>
    <row r="674" spans="1:8" x14ac:dyDescent="0.2">
      <c r="A674" s="11" t="s">
        <v>117</v>
      </c>
      <c r="B674" s="11" t="s">
        <v>1734</v>
      </c>
      <c r="C674" s="11" t="s">
        <v>24</v>
      </c>
      <c r="D674" s="11" t="s">
        <v>120</v>
      </c>
      <c r="E674" s="20">
        <v>43364</v>
      </c>
      <c r="F674" s="35">
        <v>0.375</v>
      </c>
      <c r="G674" s="17">
        <v>10</v>
      </c>
      <c r="H674" s="17">
        <v>5810</v>
      </c>
    </row>
    <row r="675" spans="1:8" x14ac:dyDescent="0.2">
      <c r="A675" s="11" t="s">
        <v>117</v>
      </c>
      <c r="B675" s="11" t="s">
        <v>1731</v>
      </c>
      <c r="C675" s="11" t="s">
        <v>65</v>
      </c>
      <c r="D675" s="11" t="s">
        <v>219</v>
      </c>
      <c r="E675" s="20">
        <v>43491</v>
      </c>
      <c r="F675" s="35">
        <v>0.43055555555555552</v>
      </c>
      <c r="G675" s="17">
        <v>14</v>
      </c>
      <c r="H675" s="17">
        <v>8680</v>
      </c>
    </row>
    <row r="676" spans="1:8" x14ac:dyDescent="0.2">
      <c r="A676" s="11" t="s">
        <v>54</v>
      </c>
      <c r="B676" s="11" t="s">
        <v>1732</v>
      </c>
      <c r="C676" s="11" t="s">
        <v>33</v>
      </c>
      <c r="D676" s="11" t="s">
        <v>25</v>
      </c>
      <c r="E676" s="20">
        <v>43269</v>
      </c>
      <c r="F676" s="35">
        <v>0.52083333333333326</v>
      </c>
      <c r="G676" s="17">
        <v>11</v>
      </c>
      <c r="H676" s="17">
        <v>11484</v>
      </c>
    </row>
    <row r="677" spans="1:8" x14ac:dyDescent="0.2">
      <c r="A677" s="11" t="s">
        <v>54</v>
      </c>
      <c r="B677" s="11" t="s">
        <v>1734</v>
      </c>
      <c r="C677" s="11" t="s">
        <v>33</v>
      </c>
      <c r="D677" s="11" t="s">
        <v>34</v>
      </c>
      <c r="E677" s="20">
        <v>43360</v>
      </c>
      <c r="F677" s="35">
        <v>0.4861111111111111</v>
      </c>
      <c r="G677" s="17">
        <v>8</v>
      </c>
      <c r="H677" s="17">
        <v>5640</v>
      </c>
    </row>
    <row r="678" spans="1:8" x14ac:dyDescent="0.2">
      <c r="A678" s="11" t="s">
        <v>89</v>
      </c>
      <c r="B678" s="11" t="s">
        <v>1734</v>
      </c>
      <c r="C678" s="11" t="s">
        <v>33</v>
      </c>
      <c r="D678" s="11" t="s">
        <v>120</v>
      </c>
      <c r="E678" s="20">
        <v>42917</v>
      </c>
      <c r="F678" s="35">
        <v>0.51736111111111105</v>
      </c>
      <c r="G678" s="17">
        <v>8</v>
      </c>
      <c r="H678" s="21">
        <v>5512</v>
      </c>
    </row>
    <row r="679" spans="1:8" x14ac:dyDescent="0.2">
      <c r="A679" s="11" t="s">
        <v>54</v>
      </c>
      <c r="B679" s="11" t="s">
        <v>1731</v>
      </c>
      <c r="C679" s="11" t="s">
        <v>24</v>
      </c>
      <c r="D679" s="11" t="s">
        <v>41</v>
      </c>
      <c r="E679" s="20">
        <v>43023</v>
      </c>
      <c r="F679" s="35">
        <v>0.70486111111111105</v>
      </c>
      <c r="G679" s="17">
        <v>7</v>
      </c>
      <c r="H679" s="17">
        <v>3241</v>
      </c>
    </row>
    <row r="680" spans="1:8" x14ac:dyDescent="0.2">
      <c r="A680" s="11" t="s">
        <v>49</v>
      </c>
      <c r="B680" s="11" t="s">
        <v>1731</v>
      </c>
      <c r="C680" s="11" t="s">
        <v>33</v>
      </c>
      <c r="D680" s="11" t="s">
        <v>41</v>
      </c>
      <c r="E680" s="20">
        <v>43021</v>
      </c>
      <c r="F680" s="35">
        <v>0.53472222222222221</v>
      </c>
      <c r="G680" s="17">
        <v>5</v>
      </c>
      <c r="H680" s="17">
        <v>2505</v>
      </c>
    </row>
    <row r="681" spans="1:8" x14ac:dyDescent="0.2">
      <c r="A681" s="11" t="s">
        <v>89</v>
      </c>
      <c r="B681" s="11" t="s">
        <v>1735</v>
      </c>
      <c r="C681" s="11" t="s">
        <v>40</v>
      </c>
      <c r="D681" s="11" t="s">
        <v>219</v>
      </c>
      <c r="E681" s="20">
        <v>43231</v>
      </c>
      <c r="F681" s="35">
        <v>0.52083333333333326</v>
      </c>
      <c r="G681" s="17">
        <v>8</v>
      </c>
      <c r="H681" s="17">
        <v>6576</v>
      </c>
    </row>
    <row r="682" spans="1:8" x14ac:dyDescent="0.2">
      <c r="A682" s="11" t="s">
        <v>54</v>
      </c>
      <c r="B682" s="11" t="s">
        <v>1735</v>
      </c>
      <c r="C682" s="11" t="s">
        <v>24</v>
      </c>
      <c r="D682" s="11" t="s">
        <v>219</v>
      </c>
      <c r="E682" s="20">
        <v>43539</v>
      </c>
      <c r="F682" s="35">
        <v>0.69097222222222221</v>
      </c>
      <c r="G682" s="17">
        <v>10</v>
      </c>
      <c r="H682" s="17">
        <v>3630</v>
      </c>
    </row>
    <row r="683" spans="1:8" x14ac:dyDescent="0.2">
      <c r="A683" s="11" t="s">
        <v>23</v>
      </c>
      <c r="B683" s="11" t="s">
        <v>1734</v>
      </c>
      <c r="C683" s="11" t="s">
        <v>65</v>
      </c>
      <c r="D683" s="11" t="s">
        <v>219</v>
      </c>
      <c r="E683" s="20">
        <v>43198</v>
      </c>
      <c r="F683" s="35">
        <v>0.60416666666666663</v>
      </c>
      <c r="G683" s="17">
        <v>14</v>
      </c>
      <c r="H683" s="17">
        <v>10486</v>
      </c>
    </row>
    <row r="684" spans="1:8" x14ac:dyDescent="0.2">
      <c r="A684" s="11" t="s">
        <v>125</v>
      </c>
      <c r="B684" s="11" t="s">
        <v>1731</v>
      </c>
      <c r="C684" s="11" t="s">
        <v>24</v>
      </c>
      <c r="D684" s="11" t="s">
        <v>219</v>
      </c>
      <c r="E684" s="20">
        <v>43332</v>
      </c>
      <c r="F684" s="35">
        <v>0.46527777777777773</v>
      </c>
      <c r="G684" s="17">
        <v>1</v>
      </c>
      <c r="H684" s="17">
        <v>425</v>
      </c>
    </row>
    <row r="685" spans="1:8" x14ac:dyDescent="0.2">
      <c r="A685" s="11" t="s">
        <v>89</v>
      </c>
      <c r="B685" s="11" t="s">
        <v>1734</v>
      </c>
      <c r="C685" s="11" t="s">
        <v>33</v>
      </c>
      <c r="D685" s="11" t="s">
        <v>41</v>
      </c>
      <c r="E685" s="20">
        <v>43076</v>
      </c>
      <c r="F685" s="35">
        <v>0.72569444444444442</v>
      </c>
      <c r="G685" s="17">
        <v>1</v>
      </c>
      <c r="H685" s="17">
        <v>894</v>
      </c>
    </row>
    <row r="686" spans="1:8" x14ac:dyDescent="0.2">
      <c r="A686" s="11" t="s">
        <v>23</v>
      </c>
      <c r="B686" s="11" t="s">
        <v>1732</v>
      </c>
      <c r="C686" s="11" t="s">
        <v>24</v>
      </c>
      <c r="D686" s="11" t="s">
        <v>120</v>
      </c>
      <c r="E686" s="20">
        <v>43076</v>
      </c>
      <c r="F686" s="35">
        <v>0.4375</v>
      </c>
      <c r="G686" s="17">
        <v>10</v>
      </c>
      <c r="H686" s="17">
        <v>12740</v>
      </c>
    </row>
    <row r="687" spans="1:8" x14ac:dyDescent="0.2">
      <c r="A687" s="11" t="s">
        <v>54</v>
      </c>
      <c r="B687" s="11" t="s">
        <v>1735</v>
      </c>
      <c r="C687" s="11" t="s">
        <v>65</v>
      </c>
      <c r="D687" s="11" t="s">
        <v>34</v>
      </c>
      <c r="E687" s="20">
        <v>42882</v>
      </c>
      <c r="F687" s="35">
        <v>0.59375</v>
      </c>
      <c r="G687" s="17">
        <v>12</v>
      </c>
      <c r="H687" s="17">
        <v>4704</v>
      </c>
    </row>
    <row r="688" spans="1:8" x14ac:dyDescent="0.2">
      <c r="A688" s="11" t="s">
        <v>117</v>
      </c>
      <c r="B688" s="11" t="s">
        <v>1732</v>
      </c>
      <c r="C688" s="11" t="s">
        <v>65</v>
      </c>
      <c r="D688" s="11" t="s">
        <v>41</v>
      </c>
      <c r="E688" s="20">
        <v>43076</v>
      </c>
      <c r="F688" s="35">
        <v>0.52083333333333326</v>
      </c>
      <c r="G688" s="17">
        <v>3</v>
      </c>
      <c r="H688" s="17">
        <v>3030</v>
      </c>
    </row>
    <row r="689" spans="1:8" x14ac:dyDescent="0.2">
      <c r="A689" s="11" t="s">
        <v>23</v>
      </c>
      <c r="B689" s="11" t="s">
        <v>1734</v>
      </c>
      <c r="C689" s="11" t="s">
        <v>40</v>
      </c>
      <c r="D689" s="11" t="s">
        <v>41</v>
      </c>
      <c r="E689" s="20">
        <v>42978</v>
      </c>
      <c r="F689" s="35">
        <v>0.74652777777777779</v>
      </c>
      <c r="G689" s="17">
        <v>9</v>
      </c>
      <c r="H689" s="17">
        <v>5274</v>
      </c>
    </row>
    <row r="690" spans="1:8" x14ac:dyDescent="0.2">
      <c r="A690" s="11" t="s">
        <v>78</v>
      </c>
      <c r="B690" s="11" t="s">
        <v>1735</v>
      </c>
      <c r="C690" s="11" t="s">
        <v>40</v>
      </c>
      <c r="D690" s="11" t="s">
        <v>41</v>
      </c>
      <c r="E690" s="20">
        <v>43496</v>
      </c>
      <c r="F690" s="35">
        <v>0.54861111111111105</v>
      </c>
      <c r="G690" s="17">
        <v>4</v>
      </c>
      <c r="H690" s="17">
        <v>2564</v>
      </c>
    </row>
    <row r="691" spans="1:8" x14ac:dyDescent="0.2">
      <c r="A691" s="11" t="s">
        <v>75</v>
      </c>
      <c r="B691" s="11" t="s">
        <v>1731</v>
      </c>
      <c r="C691" s="11" t="s">
        <v>24</v>
      </c>
      <c r="D691" s="11" t="s">
        <v>120</v>
      </c>
      <c r="E691" s="20">
        <v>43076</v>
      </c>
      <c r="F691" s="35">
        <v>0.48958333333333331</v>
      </c>
      <c r="G691" s="17">
        <v>2</v>
      </c>
      <c r="H691" s="17">
        <v>986</v>
      </c>
    </row>
    <row r="692" spans="1:8" x14ac:dyDescent="0.2">
      <c r="A692" s="11" t="s">
        <v>78</v>
      </c>
      <c r="B692" s="11" t="s">
        <v>1735</v>
      </c>
      <c r="C692" s="11" t="s">
        <v>40</v>
      </c>
      <c r="D692" s="11" t="s">
        <v>120</v>
      </c>
      <c r="E692" s="20">
        <v>43073</v>
      </c>
      <c r="F692" s="35">
        <v>0.67013888888888884</v>
      </c>
      <c r="G692" s="17">
        <v>15</v>
      </c>
      <c r="H692" s="17">
        <v>8505</v>
      </c>
    </row>
    <row r="693" spans="1:8" x14ac:dyDescent="0.2">
      <c r="A693" s="11" t="s">
        <v>114</v>
      </c>
      <c r="B693" s="11" t="s">
        <v>1734</v>
      </c>
      <c r="C693" s="11" t="s">
        <v>24</v>
      </c>
      <c r="D693" s="11" t="s">
        <v>41</v>
      </c>
      <c r="E693" s="20">
        <v>43238</v>
      </c>
      <c r="F693" s="35">
        <v>0.61805555555555547</v>
      </c>
      <c r="G693" s="17">
        <v>2</v>
      </c>
      <c r="H693" s="17">
        <v>940</v>
      </c>
    </row>
    <row r="694" spans="1:8" x14ac:dyDescent="0.2">
      <c r="A694" s="11" t="s">
        <v>78</v>
      </c>
      <c r="B694" s="11" t="s">
        <v>1733</v>
      </c>
      <c r="C694" s="11" t="s">
        <v>65</v>
      </c>
      <c r="D694" s="11" t="s">
        <v>25</v>
      </c>
      <c r="E694" s="20">
        <v>43318</v>
      </c>
      <c r="F694" s="35">
        <v>0.33680555555555552</v>
      </c>
      <c r="G694" s="17">
        <v>7</v>
      </c>
      <c r="H694" s="17">
        <v>9835</v>
      </c>
    </row>
    <row r="695" spans="1:8" x14ac:dyDescent="0.2">
      <c r="A695" s="11" t="s">
        <v>49</v>
      </c>
      <c r="B695" s="11" t="s">
        <v>1735</v>
      </c>
      <c r="C695" s="11" t="s">
        <v>33</v>
      </c>
      <c r="D695" s="11" t="s">
        <v>120</v>
      </c>
      <c r="E695" s="20">
        <v>43528</v>
      </c>
      <c r="F695" s="35">
        <v>0.58333333333333326</v>
      </c>
      <c r="G695" s="17">
        <v>13</v>
      </c>
      <c r="H695" s="17">
        <v>9516</v>
      </c>
    </row>
    <row r="696" spans="1:8" x14ac:dyDescent="0.2">
      <c r="A696" s="11" t="s">
        <v>64</v>
      </c>
      <c r="B696" s="11" t="s">
        <v>1732</v>
      </c>
      <c r="C696" s="11" t="s">
        <v>65</v>
      </c>
      <c r="D696" s="11" t="s">
        <v>25</v>
      </c>
      <c r="E696" s="20">
        <v>43150</v>
      </c>
      <c r="F696" s="35">
        <v>0.70486111111111105</v>
      </c>
      <c r="G696" s="17">
        <v>2</v>
      </c>
      <c r="H696" s="17">
        <v>1660</v>
      </c>
    </row>
    <row r="697" spans="1:8" x14ac:dyDescent="0.2">
      <c r="A697" s="11" t="s">
        <v>64</v>
      </c>
      <c r="B697" s="11" t="s">
        <v>1733</v>
      </c>
      <c r="C697" s="11" t="s">
        <v>33</v>
      </c>
      <c r="D697" s="11" t="s">
        <v>219</v>
      </c>
      <c r="E697" s="20">
        <v>43234</v>
      </c>
      <c r="F697" s="35">
        <v>0.37152777777777773</v>
      </c>
      <c r="G697" s="17">
        <v>10</v>
      </c>
      <c r="H697" s="17">
        <v>6320</v>
      </c>
    </row>
    <row r="698" spans="1:8" x14ac:dyDescent="0.2">
      <c r="A698" s="11" t="s">
        <v>23</v>
      </c>
      <c r="B698" s="11" t="s">
        <v>1731</v>
      </c>
      <c r="C698" s="11" t="s">
        <v>33</v>
      </c>
      <c r="D698" s="11" t="s">
        <v>25</v>
      </c>
      <c r="E698" s="20">
        <v>42916</v>
      </c>
      <c r="F698" s="35">
        <v>0.42013888888888884</v>
      </c>
      <c r="G698" s="17">
        <v>15</v>
      </c>
      <c r="H698" s="21">
        <v>4815</v>
      </c>
    </row>
    <row r="699" spans="1:8" x14ac:dyDescent="0.2">
      <c r="A699" s="11" t="s">
        <v>23</v>
      </c>
      <c r="B699" s="11" t="s">
        <v>1734</v>
      </c>
      <c r="C699" s="11" t="s">
        <v>65</v>
      </c>
      <c r="D699" s="11" t="s">
        <v>219</v>
      </c>
      <c r="E699" s="20">
        <v>43323</v>
      </c>
      <c r="F699" s="35">
        <v>0.47222222222222221</v>
      </c>
      <c r="G699" s="17">
        <v>5</v>
      </c>
      <c r="H699" s="17">
        <v>3400</v>
      </c>
    </row>
    <row r="700" spans="1:8" x14ac:dyDescent="0.2">
      <c r="A700" s="11" t="s">
        <v>54</v>
      </c>
      <c r="B700" s="11" t="s">
        <v>1734</v>
      </c>
      <c r="C700" s="11" t="s">
        <v>24</v>
      </c>
      <c r="D700" s="11" t="s">
        <v>25</v>
      </c>
      <c r="E700" s="20">
        <v>42937</v>
      </c>
      <c r="F700" s="35">
        <v>0.63194444444444442</v>
      </c>
      <c r="G700" s="17">
        <v>7</v>
      </c>
      <c r="H700" s="17">
        <v>5866</v>
      </c>
    </row>
    <row r="701" spans="1:8" x14ac:dyDescent="0.2">
      <c r="A701" s="11" t="s">
        <v>45</v>
      </c>
      <c r="B701" s="11" t="s">
        <v>1733</v>
      </c>
      <c r="C701" s="11" t="s">
        <v>65</v>
      </c>
      <c r="D701" s="11" t="s">
        <v>219</v>
      </c>
      <c r="E701" s="20">
        <v>43386</v>
      </c>
      <c r="F701" s="35">
        <v>0.5</v>
      </c>
      <c r="G701" s="17">
        <v>3</v>
      </c>
      <c r="H701" s="17">
        <v>1614</v>
      </c>
    </row>
    <row r="702" spans="1:8" x14ac:dyDescent="0.2">
      <c r="A702" s="11" t="s">
        <v>78</v>
      </c>
      <c r="B702" s="11" t="s">
        <v>1735</v>
      </c>
      <c r="C702" s="11" t="s">
        <v>33</v>
      </c>
      <c r="D702" s="11" t="s">
        <v>34</v>
      </c>
      <c r="E702" s="20">
        <v>43373</v>
      </c>
      <c r="F702" s="35">
        <v>0.60069444444444442</v>
      </c>
      <c r="G702" s="17">
        <v>8</v>
      </c>
      <c r="H702" s="17">
        <v>7120</v>
      </c>
    </row>
    <row r="703" spans="1:8" x14ac:dyDescent="0.2">
      <c r="A703" s="11" t="s">
        <v>114</v>
      </c>
      <c r="B703" s="11" t="s">
        <v>1732</v>
      </c>
      <c r="C703" s="11" t="s">
        <v>33</v>
      </c>
      <c r="D703" s="11" t="s">
        <v>41</v>
      </c>
      <c r="E703" s="20">
        <v>43206</v>
      </c>
      <c r="F703" s="35">
        <v>0.74305555555555547</v>
      </c>
      <c r="G703" s="17">
        <v>3</v>
      </c>
      <c r="H703" s="17">
        <v>1953</v>
      </c>
    </row>
    <row r="704" spans="1:8" x14ac:dyDescent="0.2">
      <c r="A704" s="11" t="s">
        <v>89</v>
      </c>
      <c r="B704" s="11" t="s">
        <v>1731</v>
      </c>
      <c r="C704" s="11" t="s">
        <v>33</v>
      </c>
      <c r="D704" s="11" t="s">
        <v>25</v>
      </c>
      <c r="E704" s="20">
        <v>43153</v>
      </c>
      <c r="F704" s="35">
        <v>0.38888888888888884</v>
      </c>
      <c r="G704" s="17">
        <v>2</v>
      </c>
      <c r="H704" s="17">
        <v>674</v>
      </c>
    </row>
    <row r="705" spans="1:8" x14ac:dyDescent="0.2">
      <c r="A705" s="11" t="s">
        <v>75</v>
      </c>
      <c r="B705" s="11" t="s">
        <v>1731</v>
      </c>
      <c r="C705" s="11" t="s">
        <v>40</v>
      </c>
      <c r="D705" s="11" t="s">
        <v>34</v>
      </c>
      <c r="E705" s="20">
        <v>42888</v>
      </c>
      <c r="F705" s="35">
        <v>0.75</v>
      </c>
      <c r="G705" s="17">
        <v>13</v>
      </c>
      <c r="H705" s="17">
        <v>4589</v>
      </c>
    </row>
    <row r="706" spans="1:8" x14ac:dyDescent="0.2">
      <c r="A706" s="11" t="s">
        <v>75</v>
      </c>
      <c r="B706" s="11" t="s">
        <v>1733</v>
      </c>
      <c r="C706" s="11" t="s">
        <v>24</v>
      </c>
      <c r="D706" s="11" t="s">
        <v>120</v>
      </c>
      <c r="E706" s="20">
        <v>43490</v>
      </c>
      <c r="F706" s="35">
        <v>0.40972222222222221</v>
      </c>
      <c r="G706" s="17">
        <v>15</v>
      </c>
      <c r="H706" s="17">
        <v>20790</v>
      </c>
    </row>
    <row r="707" spans="1:8" x14ac:dyDescent="0.2">
      <c r="A707" s="11" t="s">
        <v>114</v>
      </c>
      <c r="B707" s="11" t="s">
        <v>1733</v>
      </c>
      <c r="C707" s="11" t="s">
        <v>40</v>
      </c>
      <c r="D707" s="11" t="s">
        <v>25</v>
      </c>
      <c r="E707" s="20">
        <v>43330</v>
      </c>
      <c r="F707" s="35">
        <v>0.71180555555555547</v>
      </c>
      <c r="G707" s="17">
        <v>6</v>
      </c>
      <c r="H707" s="17">
        <v>7272</v>
      </c>
    </row>
    <row r="708" spans="1:8" x14ac:dyDescent="0.2">
      <c r="A708" s="11" t="s">
        <v>75</v>
      </c>
      <c r="B708" s="11" t="s">
        <v>1731</v>
      </c>
      <c r="C708" s="11" t="s">
        <v>33</v>
      </c>
      <c r="D708" s="11" t="s">
        <v>34</v>
      </c>
      <c r="E708" s="20">
        <v>43244</v>
      </c>
      <c r="F708" s="35">
        <v>0.63888888888888884</v>
      </c>
      <c r="G708" s="17">
        <v>13</v>
      </c>
      <c r="H708" s="17">
        <v>5785</v>
      </c>
    </row>
    <row r="709" spans="1:8" x14ac:dyDescent="0.2">
      <c r="A709" s="11" t="s">
        <v>117</v>
      </c>
      <c r="B709" s="11" t="s">
        <v>1734</v>
      </c>
      <c r="C709" s="11" t="s">
        <v>40</v>
      </c>
      <c r="D709" s="11" t="s">
        <v>120</v>
      </c>
      <c r="E709" s="20">
        <v>43073</v>
      </c>
      <c r="F709" s="35">
        <v>0.36805555555555552</v>
      </c>
      <c r="G709" s="17">
        <v>9</v>
      </c>
      <c r="H709" s="17">
        <v>3744</v>
      </c>
    </row>
    <row r="710" spans="1:8" x14ac:dyDescent="0.2">
      <c r="A710" s="11" t="s">
        <v>78</v>
      </c>
      <c r="B710" s="11" t="s">
        <v>1731</v>
      </c>
      <c r="C710" s="11" t="s">
        <v>65</v>
      </c>
      <c r="D710" s="11" t="s">
        <v>34</v>
      </c>
      <c r="E710" s="20">
        <v>43491</v>
      </c>
      <c r="F710" s="35">
        <v>0.375</v>
      </c>
      <c r="G710" s="17">
        <v>6</v>
      </c>
      <c r="H710" s="17">
        <v>1842</v>
      </c>
    </row>
    <row r="711" spans="1:8" x14ac:dyDescent="0.2">
      <c r="A711" s="11" t="s">
        <v>54</v>
      </c>
      <c r="B711" s="11" t="s">
        <v>1732</v>
      </c>
      <c r="C711" s="11" t="s">
        <v>40</v>
      </c>
      <c r="D711" s="11" t="s">
        <v>34</v>
      </c>
      <c r="E711" s="20">
        <v>43071</v>
      </c>
      <c r="F711" s="35">
        <v>0.5</v>
      </c>
      <c r="G711" s="17">
        <v>20</v>
      </c>
      <c r="H711" s="17">
        <v>39780</v>
      </c>
    </row>
    <row r="712" spans="1:8" x14ac:dyDescent="0.2">
      <c r="A712" s="11" t="s">
        <v>23</v>
      </c>
      <c r="B712" s="11" t="s">
        <v>1733</v>
      </c>
      <c r="C712" s="11" t="s">
        <v>40</v>
      </c>
      <c r="D712" s="11" t="s">
        <v>120</v>
      </c>
      <c r="E712" s="20">
        <v>43070</v>
      </c>
      <c r="F712" s="35">
        <v>0.61111111111111105</v>
      </c>
      <c r="G712" s="17">
        <v>3</v>
      </c>
      <c r="H712" s="17">
        <v>2202</v>
      </c>
    </row>
    <row r="713" spans="1:8" x14ac:dyDescent="0.2">
      <c r="A713" s="11" t="s">
        <v>45</v>
      </c>
      <c r="B713" s="11" t="s">
        <v>1732</v>
      </c>
      <c r="C713" s="11" t="s">
        <v>33</v>
      </c>
      <c r="D713" s="11" t="s">
        <v>25</v>
      </c>
      <c r="E713" s="20">
        <v>42856</v>
      </c>
      <c r="F713" s="35">
        <v>0.48958333333333331</v>
      </c>
      <c r="G713" s="17">
        <v>6</v>
      </c>
      <c r="H713" s="21">
        <v>4692</v>
      </c>
    </row>
    <row r="714" spans="1:8" x14ac:dyDescent="0.2">
      <c r="A714" s="11" t="s">
        <v>32</v>
      </c>
      <c r="B714" s="11" t="s">
        <v>1733</v>
      </c>
      <c r="C714" s="11" t="s">
        <v>40</v>
      </c>
      <c r="D714" s="11" t="s">
        <v>25</v>
      </c>
      <c r="E714" s="20">
        <v>43392</v>
      </c>
      <c r="F714" s="35">
        <v>0.73611111111111105</v>
      </c>
      <c r="G714" s="17">
        <v>8</v>
      </c>
      <c r="H714" s="17">
        <v>7800</v>
      </c>
    </row>
    <row r="715" spans="1:8" x14ac:dyDescent="0.2">
      <c r="A715" s="11" t="s">
        <v>32</v>
      </c>
      <c r="B715" s="11" t="s">
        <v>1732</v>
      </c>
      <c r="C715" s="11" t="s">
        <v>65</v>
      </c>
      <c r="D715" s="11" t="s">
        <v>41</v>
      </c>
      <c r="E715" s="20">
        <v>42972</v>
      </c>
      <c r="F715" s="35">
        <v>0.46527777777777773</v>
      </c>
      <c r="G715" s="17">
        <v>2</v>
      </c>
      <c r="H715" s="17">
        <v>2064</v>
      </c>
    </row>
    <row r="716" spans="1:8" x14ac:dyDescent="0.2">
      <c r="A716" s="11" t="s">
        <v>32</v>
      </c>
      <c r="B716" s="11" t="s">
        <v>1731</v>
      </c>
      <c r="C716" s="11" t="s">
        <v>40</v>
      </c>
      <c r="D716" s="11" t="s">
        <v>25</v>
      </c>
      <c r="E716" s="20">
        <v>43069</v>
      </c>
      <c r="F716" s="35">
        <v>0.43402777777777773</v>
      </c>
      <c r="G716" s="17">
        <v>13</v>
      </c>
      <c r="H716" s="17">
        <v>8476</v>
      </c>
    </row>
    <row r="717" spans="1:8" x14ac:dyDescent="0.2">
      <c r="A717" s="11" t="s">
        <v>117</v>
      </c>
      <c r="B717" s="11" t="s">
        <v>1734</v>
      </c>
      <c r="C717" s="11" t="s">
        <v>40</v>
      </c>
      <c r="D717" s="11" t="s">
        <v>25</v>
      </c>
      <c r="E717" s="20">
        <v>43261</v>
      </c>
      <c r="F717" s="35">
        <v>0.69444444444444442</v>
      </c>
      <c r="G717" s="17">
        <v>4</v>
      </c>
      <c r="H717" s="17">
        <v>2092</v>
      </c>
    </row>
    <row r="718" spans="1:8" x14ac:dyDescent="0.2">
      <c r="A718" s="11" t="s">
        <v>32</v>
      </c>
      <c r="B718" s="11" t="s">
        <v>1734</v>
      </c>
      <c r="C718" s="11" t="s">
        <v>65</v>
      </c>
      <c r="D718" s="11" t="s">
        <v>34</v>
      </c>
      <c r="E718" s="20">
        <v>43302</v>
      </c>
      <c r="F718" s="35">
        <v>0.58333333333333326</v>
      </c>
      <c r="G718" s="17">
        <v>12</v>
      </c>
      <c r="H718" s="17">
        <v>6888</v>
      </c>
    </row>
    <row r="719" spans="1:8" x14ac:dyDescent="0.2">
      <c r="A719" s="11" t="s">
        <v>64</v>
      </c>
      <c r="B719" s="11" t="s">
        <v>1731</v>
      </c>
      <c r="C719" s="11" t="s">
        <v>65</v>
      </c>
      <c r="D719" s="11" t="s">
        <v>41</v>
      </c>
      <c r="E719" s="20">
        <v>43139</v>
      </c>
      <c r="F719" s="35">
        <v>0.34027777777777773</v>
      </c>
      <c r="G719" s="17">
        <v>7</v>
      </c>
      <c r="H719" s="17">
        <v>3248</v>
      </c>
    </row>
    <row r="720" spans="1:8" x14ac:dyDescent="0.2">
      <c r="A720" s="11" t="s">
        <v>64</v>
      </c>
      <c r="B720" s="11" t="s">
        <v>1734</v>
      </c>
      <c r="C720" s="11" t="s">
        <v>24</v>
      </c>
      <c r="D720" s="11" t="s">
        <v>219</v>
      </c>
      <c r="E720" s="20">
        <v>43017</v>
      </c>
      <c r="F720" s="35">
        <v>0.71180555555555547</v>
      </c>
      <c r="G720" s="17">
        <v>6</v>
      </c>
      <c r="H720" s="17">
        <v>4002</v>
      </c>
    </row>
    <row r="721" spans="1:8" x14ac:dyDescent="0.2">
      <c r="A721" s="11" t="s">
        <v>125</v>
      </c>
      <c r="B721" s="11" t="s">
        <v>1731</v>
      </c>
      <c r="C721" s="11" t="s">
        <v>24</v>
      </c>
      <c r="D721" s="11" t="s">
        <v>41</v>
      </c>
      <c r="E721" s="20">
        <v>43203</v>
      </c>
      <c r="F721" s="35">
        <v>0.4861111111111111</v>
      </c>
      <c r="G721" s="17">
        <v>9</v>
      </c>
      <c r="H721" s="17">
        <v>5085</v>
      </c>
    </row>
    <row r="722" spans="1:8" x14ac:dyDescent="0.2">
      <c r="A722" s="11" t="s">
        <v>23</v>
      </c>
      <c r="B722" s="11" t="s">
        <v>1731</v>
      </c>
      <c r="C722" s="11" t="s">
        <v>24</v>
      </c>
      <c r="D722" s="11" t="s">
        <v>25</v>
      </c>
      <c r="E722" s="20">
        <v>43218</v>
      </c>
      <c r="F722" s="35">
        <v>0.47222222222222221</v>
      </c>
      <c r="G722" s="17">
        <v>4</v>
      </c>
      <c r="H722" s="17">
        <v>2348</v>
      </c>
    </row>
    <row r="723" spans="1:8" x14ac:dyDescent="0.2">
      <c r="A723" s="11" t="s">
        <v>114</v>
      </c>
      <c r="B723" s="11" t="s">
        <v>1732</v>
      </c>
      <c r="C723" s="11" t="s">
        <v>33</v>
      </c>
      <c r="D723" s="11" t="s">
        <v>120</v>
      </c>
      <c r="E723" s="20">
        <v>43548</v>
      </c>
      <c r="F723" s="35">
        <v>0.65972222222222221</v>
      </c>
      <c r="G723" s="17">
        <v>13</v>
      </c>
      <c r="H723" s="17">
        <v>15717</v>
      </c>
    </row>
    <row r="724" spans="1:8" x14ac:dyDescent="0.2">
      <c r="A724" s="11" t="s">
        <v>64</v>
      </c>
      <c r="B724" s="11" t="s">
        <v>1732</v>
      </c>
      <c r="C724" s="11" t="s">
        <v>33</v>
      </c>
      <c r="D724" s="11" t="s">
        <v>41</v>
      </c>
      <c r="E724" s="20">
        <v>43219</v>
      </c>
      <c r="F724" s="35">
        <v>0.50347222222222221</v>
      </c>
      <c r="G724" s="17">
        <v>11</v>
      </c>
      <c r="H724" s="17">
        <v>16522</v>
      </c>
    </row>
    <row r="725" spans="1:8" x14ac:dyDescent="0.2">
      <c r="A725" s="11" t="s">
        <v>64</v>
      </c>
      <c r="B725" s="11" t="s">
        <v>1735</v>
      </c>
      <c r="C725" s="11" t="s">
        <v>33</v>
      </c>
      <c r="D725" s="11" t="s">
        <v>34</v>
      </c>
      <c r="E725" s="20">
        <v>43007</v>
      </c>
      <c r="F725" s="35">
        <v>0.57986111111111105</v>
      </c>
      <c r="G725" s="17">
        <v>13</v>
      </c>
      <c r="H725" s="17">
        <v>6994</v>
      </c>
    </row>
    <row r="726" spans="1:8" x14ac:dyDescent="0.2">
      <c r="A726" s="11" t="s">
        <v>75</v>
      </c>
      <c r="B726" s="11" t="s">
        <v>1732</v>
      </c>
      <c r="C726" s="11" t="s">
        <v>33</v>
      </c>
      <c r="D726" s="11" t="s">
        <v>41</v>
      </c>
      <c r="E726" s="20">
        <v>43066</v>
      </c>
      <c r="F726" s="35">
        <v>0.60069444444444442</v>
      </c>
      <c r="G726" s="17">
        <v>14</v>
      </c>
      <c r="H726" s="17">
        <v>13244</v>
      </c>
    </row>
    <row r="727" spans="1:8" x14ac:dyDescent="0.2">
      <c r="A727" s="11" t="s">
        <v>32</v>
      </c>
      <c r="B727" s="11" t="s">
        <v>1733</v>
      </c>
      <c r="C727" s="11" t="s">
        <v>24</v>
      </c>
      <c r="D727" s="11" t="s">
        <v>25</v>
      </c>
      <c r="E727" s="20">
        <v>43288</v>
      </c>
      <c r="F727" s="35">
        <v>0.62152777777777779</v>
      </c>
      <c r="G727" s="17">
        <v>9</v>
      </c>
      <c r="H727" s="17">
        <v>10422</v>
      </c>
    </row>
    <row r="728" spans="1:8" x14ac:dyDescent="0.2">
      <c r="A728" s="11" t="s">
        <v>75</v>
      </c>
      <c r="B728" s="11" t="s">
        <v>1732</v>
      </c>
      <c r="C728" s="11" t="s">
        <v>24</v>
      </c>
      <c r="D728" s="11" t="s">
        <v>219</v>
      </c>
      <c r="E728" s="20">
        <v>43066</v>
      </c>
      <c r="F728" s="35">
        <v>0.72569444444444442</v>
      </c>
      <c r="G728" s="17">
        <v>2</v>
      </c>
      <c r="H728" s="17">
        <v>1644</v>
      </c>
    </row>
    <row r="729" spans="1:8" x14ac:dyDescent="0.2">
      <c r="A729" s="11" t="s">
        <v>54</v>
      </c>
      <c r="B729" s="11" t="s">
        <v>1734</v>
      </c>
      <c r="C729" s="11" t="s">
        <v>65</v>
      </c>
      <c r="D729" s="11" t="s">
        <v>41</v>
      </c>
      <c r="E729" s="20">
        <v>43064</v>
      </c>
      <c r="F729" s="35">
        <v>0.62847222222222221</v>
      </c>
      <c r="G729" s="17">
        <v>8</v>
      </c>
      <c r="H729" s="17">
        <v>6520</v>
      </c>
    </row>
    <row r="730" spans="1:8" x14ac:dyDescent="0.2">
      <c r="A730" s="11" t="s">
        <v>32</v>
      </c>
      <c r="B730" s="11" t="s">
        <v>1735</v>
      </c>
      <c r="C730" s="11" t="s">
        <v>65</v>
      </c>
      <c r="D730" s="11" t="s">
        <v>25</v>
      </c>
      <c r="E730" s="20">
        <v>43227</v>
      </c>
      <c r="F730" s="35">
        <v>0.55555555555555558</v>
      </c>
      <c r="G730" s="17">
        <v>12</v>
      </c>
      <c r="H730" s="17">
        <v>6984</v>
      </c>
    </row>
    <row r="731" spans="1:8" x14ac:dyDescent="0.2">
      <c r="A731" s="11" t="s">
        <v>49</v>
      </c>
      <c r="B731" s="11" t="s">
        <v>1735</v>
      </c>
      <c r="C731" s="11" t="s">
        <v>24</v>
      </c>
      <c r="D731" s="11" t="s">
        <v>34</v>
      </c>
      <c r="E731" s="20">
        <v>42898</v>
      </c>
      <c r="F731" s="35">
        <v>0.50694444444444442</v>
      </c>
      <c r="G731" s="17">
        <v>18</v>
      </c>
      <c r="H731" s="17">
        <v>15858</v>
      </c>
    </row>
    <row r="732" spans="1:8" x14ac:dyDescent="0.2">
      <c r="A732" s="11" t="s">
        <v>32</v>
      </c>
      <c r="B732" s="11" t="s">
        <v>1732</v>
      </c>
      <c r="C732" s="11" t="s">
        <v>24</v>
      </c>
      <c r="D732" s="11" t="s">
        <v>25</v>
      </c>
      <c r="E732" s="20">
        <v>43161</v>
      </c>
      <c r="F732" s="35">
        <v>0.53819444444444442</v>
      </c>
      <c r="G732" s="17">
        <v>2</v>
      </c>
      <c r="H732" s="17">
        <v>3698</v>
      </c>
    </row>
    <row r="733" spans="1:8" x14ac:dyDescent="0.2">
      <c r="A733" s="11" t="s">
        <v>64</v>
      </c>
      <c r="B733" s="11" t="s">
        <v>1734</v>
      </c>
      <c r="C733" s="11" t="s">
        <v>65</v>
      </c>
      <c r="D733" s="11" t="s">
        <v>219</v>
      </c>
      <c r="E733" s="20">
        <v>43021</v>
      </c>
      <c r="F733" s="35">
        <v>0.58333333333333326</v>
      </c>
      <c r="G733" s="17">
        <v>9</v>
      </c>
      <c r="H733" s="17">
        <v>3690</v>
      </c>
    </row>
    <row r="734" spans="1:8" x14ac:dyDescent="0.2">
      <c r="A734" s="11" t="s">
        <v>64</v>
      </c>
      <c r="B734" s="11" t="s">
        <v>1734</v>
      </c>
      <c r="C734" s="11" t="s">
        <v>24</v>
      </c>
      <c r="D734" s="11" t="s">
        <v>25</v>
      </c>
      <c r="E734" s="20">
        <v>43064</v>
      </c>
      <c r="F734" s="35">
        <v>0.50347222222222221</v>
      </c>
      <c r="G734" s="17">
        <v>5</v>
      </c>
      <c r="H734" s="17">
        <v>3110</v>
      </c>
    </row>
    <row r="735" spans="1:8" x14ac:dyDescent="0.2">
      <c r="A735" s="11" t="s">
        <v>64</v>
      </c>
      <c r="B735" s="11" t="s">
        <v>1732</v>
      </c>
      <c r="C735" s="11" t="s">
        <v>33</v>
      </c>
      <c r="D735" s="11" t="s">
        <v>25</v>
      </c>
      <c r="E735" s="20">
        <v>43332</v>
      </c>
      <c r="F735" s="35">
        <v>0.41319444444444442</v>
      </c>
      <c r="G735" s="17">
        <v>4</v>
      </c>
      <c r="H735" s="17">
        <v>5520</v>
      </c>
    </row>
    <row r="736" spans="1:8" x14ac:dyDescent="0.2">
      <c r="A736" s="11" t="s">
        <v>125</v>
      </c>
      <c r="B736" s="11" t="s">
        <v>1734</v>
      </c>
      <c r="C736" s="11" t="s">
        <v>65</v>
      </c>
      <c r="D736" s="11" t="s">
        <v>120</v>
      </c>
      <c r="E736" s="20">
        <v>43248</v>
      </c>
      <c r="F736" s="35">
        <v>0.48958333333333331</v>
      </c>
      <c r="G736" s="17">
        <v>6</v>
      </c>
      <c r="H736" s="17">
        <v>4992</v>
      </c>
    </row>
    <row r="737" spans="1:8" x14ac:dyDescent="0.2">
      <c r="A737" s="11" t="s">
        <v>23</v>
      </c>
      <c r="B737" s="11" t="s">
        <v>1734</v>
      </c>
      <c r="C737" s="11" t="s">
        <v>24</v>
      </c>
      <c r="D737" s="11" t="s">
        <v>41</v>
      </c>
      <c r="E737" s="20">
        <v>43538</v>
      </c>
      <c r="F737" s="35">
        <v>0.72222222222222221</v>
      </c>
      <c r="G737" s="17">
        <v>10</v>
      </c>
      <c r="H737" s="17">
        <v>8420</v>
      </c>
    </row>
    <row r="738" spans="1:8" x14ac:dyDescent="0.2">
      <c r="A738" s="11" t="s">
        <v>78</v>
      </c>
      <c r="B738" s="11" t="s">
        <v>1732</v>
      </c>
      <c r="C738" s="11" t="s">
        <v>33</v>
      </c>
      <c r="D738" s="11" t="s">
        <v>25</v>
      </c>
      <c r="E738" s="20">
        <v>42950</v>
      </c>
      <c r="F738" s="35">
        <v>0.54166666666666663</v>
      </c>
      <c r="G738" s="17">
        <v>4</v>
      </c>
      <c r="H738" s="17">
        <v>3640</v>
      </c>
    </row>
    <row r="739" spans="1:8" x14ac:dyDescent="0.2">
      <c r="A739" s="11" t="s">
        <v>32</v>
      </c>
      <c r="B739" s="11" t="s">
        <v>1735</v>
      </c>
      <c r="C739" s="11" t="s">
        <v>40</v>
      </c>
      <c r="D739" s="11" t="s">
        <v>34</v>
      </c>
      <c r="E739" s="20">
        <v>42882</v>
      </c>
      <c r="F739" s="35">
        <v>0.42708333333333331</v>
      </c>
      <c r="G739" s="17">
        <v>11</v>
      </c>
      <c r="H739" s="17">
        <v>8811</v>
      </c>
    </row>
    <row r="740" spans="1:8" x14ac:dyDescent="0.2">
      <c r="A740" s="11" t="s">
        <v>45</v>
      </c>
      <c r="B740" s="11" t="s">
        <v>1731</v>
      </c>
      <c r="C740" s="11" t="s">
        <v>24</v>
      </c>
      <c r="D740" s="11" t="s">
        <v>120</v>
      </c>
      <c r="E740" s="20">
        <v>43540</v>
      </c>
      <c r="F740" s="35">
        <v>0.72916666666666663</v>
      </c>
      <c r="G740" s="17">
        <v>1</v>
      </c>
      <c r="H740" s="17">
        <v>558</v>
      </c>
    </row>
    <row r="741" spans="1:8" x14ac:dyDescent="0.2">
      <c r="A741" s="11" t="s">
        <v>75</v>
      </c>
      <c r="B741" s="11" t="s">
        <v>1731</v>
      </c>
      <c r="C741" s="11" t="s">
        <v>40</v>
      </c>
      <c r="D741" s="11" t="s">
        <v>120</v>
      </c>
      <c r="E741" s="20">
        <v>43178</v>
      </c>
      <c r="F741" s="35">
        <v>0.625</v>
      </c>
      <c r="G741" s="17">
        <v>14</v>
      </c>
      <c r="H741" s="17">
        <v>6146</v>
      </c>
    </row>
    <row r="742" spans="1:8" x14ac:dyDescent="0.2">
      <c r="A742" s="11" t="s">
        <v>49</v>
      </c>
      <c r="B742" s="11" t="s">
        <v>1731</v>
      </c>
      <c r="C742" s="11" t="s">
        <v>33</v>
      </c>
      <c r="D742" s="11" t="s">
        <v>34</v>
      </c>
      <c r="E742" s="20">
        <v>43311</v>
      </c>
      <c r="F742" s="35">
        <v>0.60069444444444442</v>
      </c>
      <c r="G742" s="17">
        <v>8</v>
      </c>
      <c r="H742" s="17">
        <v>4928</v>
      </c>
    </row>
    <row r="743" spans="1:8" x14ac:dyDescent="0.2">
      <c r="A743" s="11" t="s">
        <v>89</v>
      </c>
      <c r="B743" s="11" t="s">
        <v>1735</v>
      </c>
      <c r="C743" s="11" t="s">
        <v>65</v>
      </c>
      <c r="D743" s="11" t="s">
        <v>120</v>
      </c>
      <c r="E743" s="20">
        <v>43143</v>
      </c>
      <c r="F743" s="35">
        <v>0.44791666666666663</v>
      </c>
      <c r="G743" s="17">
        <v>5</v>
      </c>
      <c r="H743" s="17">
        <v>2265</v>
      </c>
    </row>
    <row r="744" spans="1:8" x14ac:dyDescent="0.2">
      <c r="A744" s="11" t="s">
        <v>125</v>
      </c>
      <c r="B744" s="11" t="s">
        <v>1731</v>
      </c>
      <c r="C744" s="11" t="s">
        <v>24</v>
      </c>
      <c r="D744" s="11" t="s">
        <v>219</v>
      </c>
      <c r="E744" s="20">
        <v>43063</v>
      </c>
      <c r="F744" s="35">
        <v>0.68402777777777779</v>
      </c>
      <c r="G744" s="17">
        <v>15</v>
      </c>
      <c r="H744" s="17">
        <v>7230</v>
      </c>
    </row>
    <row r="745" spans="1:8" x14ac:dyDescent="0.2">
      <c r="A745" s="11" t="s">
        <v>64</v>
      </c>
      <c r="B745" s="11" t="s">
        <v>1733</v>
      </c>
      <c r="C745" s="11" t="s">
        <v>40</v>
      </c>
      <c r="D745" s="11" t="s">
        <v>219</v>
      </c>
      <c r="E745" s="20">
        <v>43168</v>
      </c>
      <c r="F745" s="35">
        <v>0.50694444444444442</v>
      </c>
      <c r="G745" s="17">
        <v>10</v>
      </c>
      <c r="H745" s="17">
        <v>9360</v>
      </c>
    </row>
    <row r="746" spans="1:8" x14ac:dyDescent="0.2">
      <c r="A746" s="11" t="s">
        <v>64</v>
      </c>
      <c r="B746" s="11" t="s">
        <v>1732</v>
      </c>
      <c r="C746" s="11" t="s">
        <v>24</v>
      </c>
      <c r="D746" s="11" t="s">
        <v>219</v>
      </c>
      <c r="E746" s="20">
        <v>43496</v>
      </c>
      <c r="F746" s="35">
        <v>0.66319444444444442</v>
      </c>
      <c r="G746" s="17">
        <v>1</v>
      </c>
      <c r="H746" s="17">
        <v>1939</v>
      </c>
    </row>
    <row r="747" spans="1:8" x14ac:dyDescent="0.2">
      <c r="A747" s="11" t="s">
        <v>45</v>
      </c>
      <c r="B747" s="11" t="s">
        <v>1735</v>
      </c>
      <c r="C747" s="11" t="s">
        <v>65</v>
      </c>
      <c r="D747" s="11" t="s">
        <v>34</v>
      </c>
      <c r="E747" s="20">
        <v>42882</v>
      </c>
      <c r="F747" s="35">
        <v>0.61458333333333326</v>
      </c>
      <c r="G747" s="17">
        <v>15</v>
      </c>
      <c r="H747" s="17">
        <v>7770</v>
      </c>
    </row>
    <row r="748" spans="1:8" x14ac:dyDescent="0.2">
      <c r="A748" s="11" t="s">
        <v>78</v>
      </c>
      <c r="B748" s="11" t="s">
        <v>1733</v>
      </c>
      <c r="C748" s="11" t="s">
        <v>40</v>
      </c>
      <c r="D748" s="11" t="s">
        <v>219</v>
      </c>
      <c r="E748" s="20">
        <v>43009</v>
      </c>
      <c r="F748" s="35">
        <v>0.36458333333333331</v>
      </c>
      <c r="G748" s="17">
        <v>9</v>
      </c>
      <c r="H748" s="17">
        <v>12501</v>
      </c>
    </row>
    <row r="749" spans="1:8" x14ac:dyDescent="0.2">
      <c r="A749" s="11" t="s">
        <v>54</v>
      </c>
      <c r="B749" s="11" t="s">
        <v>1732</v>
      </c>
      <c r="C749" s="11" t="s">
        <v>40</v>
      </c>
      <c r="D749" s="11" t="s">
        <v>120</v>
      </c>
      <c r="E749" s="20">
        <v>43063</v>
      </c>
      <c r="F749" s="35">
        <v>0.49305555555555552</v>
      </c>
      <c r="G749" s="17">
        <v>4</v>
      </c>
      <c r="H749" s="17">
        <v>4672</v>
      </c>
    </row>
    <row r="750" spans="1:8" x14ac:dyDescent="0.2">
      <c r="A750" s="11" t="s">
        <v>54</v>
      </c>
      <c r="B750" s="11" t="s">
        <v>1732</v>
      </c>
      <c r="C750" s="11" t="s">
        <v>33</v>
      </c>
      <c r="D750" s="11" t="s">
        <v>34</v>
      </c>
      <c r="E750" s="20">
        <v>43063</v>
      </c>
      <c r="F750" s="35">
        <v>0.56944444444444442</v>
      </c>
      <c r="G750" s="17">
        <v>7</v>
      </c>
      <c r="H750" s="17">
        <v>12467</v>
      </c>
    </row>
    <row r="751" spans="1:8" x14ac:dyDescent="0.2">
      <c r="A751" s="11" t="s">
        <v>64</v>
      </c>
      <c r="B751" s="11" t="s">
        <v>1733</v>
      </c>
      <c r="C751" s="11" t="s">
        <v>24</v>
      </c>
      <c r="D751" s="11" t="s">
        <v>120</v>
      </c>
      <c r="E751" s="20">
        <v>43008</v>
      </c>
      <c r="F751" s="35">
        <v>0.3576388888888889</v>
      </c>
      <c r="G751" s="17">
        <v>14</v>
      </c>
      <c r="H751" s="17">
        <v>16086</v>
      </c>
    </row>
    <row r="752" spans="1:8" x14ac:dyDescent="0.2">
      <c r="A752" s="11" t="s">
        <v>78</v>
      </c>
      <c r="B752" s="11" t="s">
        <v>1735</v>
      </c>
      <c r="C752" s="11" t="s">
        <v>40</v>
      </c>
      <c r="D752" s="11" t="s">
        <v>34</v>
      </c>
      <c r="E752" s="20">
        <v>43062</v>
      </c>
      <c r="F752" s="35">
        <v>0.34722222222222221</v>
      </c>
      <c r="G752" s="17">
        <v>15</v>
      </c>
      <c r="H752" s="17">
        <v>12285</v>
      </c>
    </row>
    <row r="753" spans="1:8" x14ac:dyDescent="0.2">
      <c r="A753" s="11" t="s">
        <v>64</v>
      </c>
      <c r="B753" s="11" t="s">
        <v>1731</v>
      </c>
      <c r="C753" s="11" t="s">
        <v>33</v>
      </c>
      <c r="D753" s="11" t="s">
        <v>34</v>
      </c>
      <c r="E753" s="20">
        <v>43062</v>
      </c>
      <c r="F753" s="35">
        <v>0.35069444444444442</v>
      </c>
      <c r="G753" s="17">
        <v>20</v>
      </c>
      <c r="H753" s="17">
        <v>8580</v>
      </c>
    </row>
    <row r="754" spans="1:8" x14ac:dyDescent="0.2">
      <c r="A754" s="11" t="s">
        <v>125</v>
      </c>
      <c r="B754" s="11" t="s">
        <v>1732</v>
      </c>
      <c r="C754" s="11" t="s">
        <v>33</v>
      </c>
      <c r="D754" s="11" t="s">
        <v>120</v>
      </c>
      <c r="E754" s="20">
        <v>43177</v>
      </c>
      <c r="F754" s="35">
        <v>0.74305555555555547</v>
      </c>
      <c r="G754" s="17">
        <v>9</v>
      </c>
      <c r="H754" s="17">
        <v>17010</v>
      </c>
    </row>
    <row r="755" spans="1:8" x14ac:dyDescent="0.2">
      <c r="A755" s="11" t="s">
        <v>32</v>
      </c>
      <c r="B755" s="11" t="s">
        <v>1733</v>
      </c>
      <c r="C755" s="11" t="s">
        <v>33</v>
      </c>
      <c r="D755" s="11" t="s">
        <v>25</v>
      </c>
      <c r="E755" s="20">
        <v>43134</v>
      </c>
      <c r="F755" s="35">
        <v>0.41666666666666663</v>
      </c>
      <c r="G755" s="17">
        <v>1</v>
      </c>
      <c r="H755" s="17">
        <v>986</v>
      </c>
    </row>
    <row r="756" spans="1:8" x14ac:dyDescent="0.2">
      <c r="A756" s="11" t="s">
        <v>78</v>
      </c>
      <c r="B756" s="11" t="s">
        <v>1735</v>
      </c>
      <c r="C756" s="11" t="s">
        <v>33</v>
      </c>
      <c r="D756" s="11" t="s">
        <v>41</v>
      </c>
      <c r="E756" s="20">
        <v>43059</v>
      </c>
      <c r="F756" s="35">
        <v>0.4375</v>
      </c>
      <c r="G756" s="17">
        <v>10</v>
      </c>
      <c r="H756" s="17">
        <v>8540</v>
      </c>
    </row>
    <row r="757" spans="1:8" x14ac:dyDescent="0.2">
      <c r="A757" s="11" t="s">
        <v>89</v>
      </c>
      <c r="B757" s="11" t="s">
        <v>1735</v>
      </c>
      <c r="C757" s="11" t="s">
        <v>40</v>
      </c>
      <c r="D757" s="11" t="s">
        <v>219</v>
      </c>
      <c r="E757" s="20">
        <v>43171</v>
      </c>
      <c r="F757" s="35">
        <v>0.49305555555555552</v>
      </c>
      <c r="G757" s="17">
        <v>15</v>
      </c>
      <c r="H757" s="17">
        <v>7695</v>
      </c>
    </row>
    <row r="758" spans="1:8" x14ac:dyDescent="0.2">
      <c r="A758" s="11" t="s">
        <v>64</v>
      </c>
      <c r="B758" s="11" t="s">
        <v>1733</v>
      </c>
      <c r="C758" s="11" t="s">
        <v>40</v>
      </c>
      <c r="D758" s="11" t="s">
        <v>41</v>
      </c>
      <c r="E758" s="20">
        <v>43143</v>
      </c>
      <c r="F758" s="35">
        <v>0.55902777777777779</v>
      </c>
      <c r="G758" s="17">
        <v>12</v>
      </c>
      <c r="H758" s="17">
        <v>15144</v>
      </c>
    </row>
    <row r="759" spans="1:8" x14ac:dyDescent="0.2">
      <c r="A759" s="11" t="s">
        <v>64</v>
      </c>
      <c r="B759" s="11" t="s">
        <v>1732</v>
      </c>
      <c r="C759" s="11" t="s">
        <v>24</v>
      </c>
      <c r="D759" s="11" t="s">
        <v>41</v>
      </c>
      <c r="E759" s="20">
        <v>42958</v>
      </c>
      <c r="F759" s="35">
        <v>0.50694444444444442</v>
      </c>
      <c r="G759" s="17">
        <v>2</v>
      </c>
      <c r="H759" s="17">
        <v>3694</v>
      </c>
    </row>
    <row r="760" spans="1:8" x14ac:dyDescent="0.2">
      <c r="A760" s="11" t="s">
        <v>64</v>
      </c>
      <c r="B760" s="11" t="s">
        <v>1732</v>
      </c>
      <c r="C760" s="11" t="s">
        <v>40</v>
      </c>
      <c r="D760" s="11" t="s">
        <v>34</v>
      </c>
      <c r="E760" s="20">
        <v>43058</v>
      </c>
      <c r="F760" s="35">
        <v>0.49652777777777773</v>
      </c>
      <c r="G760" s="17">
        <v>11</v>
      </c>
      <c r="H760" s="17">
        <v>12144</v>
      </c>
    </row>
    <row r="761" spans="1:8" x14ac:dyDescent="0.2">
      <c r="A761" s="11" t="s">
        <v>23</v>
      </c>
      <c r="B761" s="11" t="s">
        <v>1735</v>
      </c>
      <c r="C761" s="11" t="s">
        <v>24</v>
      </c>
      <c r="D761" s="11" t="s">
        <v>25</v>
      </c>
      <c r="E761" s="20">
        <v>43146</v>
      </c>
      <c r="F761" s="35">
        <v>0.47569444444444442</v>
      </c>
      <c r="G761" s="17">
        <v>2</v>
      </c>
      <c r="H761" s="17">
        <v>1474</v>
      </c>
    </row>
    <row r="762" spans="1:8" x14ac:dyDescent="0.2">
      <c r="A762" s="11" t="s">
        <v>78</v>
      </c>
      <c r="B762" s="11" t="s">
        <v>1733</v>
      </c>
      <c r="C762" s="11" t="s">
        <v>65</v>
      </c>
      <c r="D762" s="11" t="s">
        <v>120</v>
      </c>
      <c r="E762" s="20">
        <v>43244</v>
      </c>
      <c r="F762" s="35">
        <v>0.3576388888888889</v>
      </c>
      <c r="G762" s="17">
        <v>8</v>
      </c>
      <c r="H762" s="17">
        <v>6424</v>
      </c>
    </row>
    <row r="763" spans="1:8" x14ac:dyDescent="0.2">
      <c r="A763" s="11" t="s">
        <v>114</v>
      </c>
      <c r="B763" s="11" t="s">
        <v>1734</v>
      </c>
      <c r="C763" s="11" t="s">
        <v>24</v>
      </c>
      <c r="D763" s="11" t="s">
        <v>34</v>
      </c>
      <c r="E763" s="20">
        <v>43346</v>
      </c>
      <c r="F763" s="35">
        <v>0.37152777777777773</v>
      </c>
      <c r="G763" s="17">
        <v>14</v>
      </c>
      <c r="H763" s="17">
        <v>10808</v>
      </c>
    </row>
    <row r="764" spans="1:8" x14ac:dyDescent="0.2">
      <c r="A764" s="11" t="s">
        <v>64</v>
      </c>
      <c r="B764" s="11" t="s">
        <v>1732</v>
      </c>
      <c r="C764" s="11" t="s">
        <v>40</v>
      </c>
      <c r="D764" s="11" t="s">
        <v>34</v>
      </c>
      <c r="E764" s="20">
        <v>42985</v>
      </c>
      <c r="F764" s="35">
        <v>0.57291666666666663</v>
      </c>
      <c r="G764" s="17">
        <v>15</v>
      </c>
      <c r="H764" s="17">
        <v>16830</v>
      </c>
    </row>
    <row r="765" spans="1:8" x14ac:dyDescent="0.2">
      <c r="A765" s="11" t="s">
        <v>64</v>
      </c>
      <c r="B765" s="11" t="s">
        <v>1733</v>
      </c>
      <c r="C765" s="11" t="s">
        <v>65</v>
      </c>
      <c r="D765" s="11" t="s">
        <v>25</v>
      </c>
      <c r="E765" s="20">
        <v>42856</v>
      </c>
      <c r="F765" s="35">
        <v>0.73611111111111105</v>
      </c>
      <c r="G765" s="17">
        <v>10</v>
      </c>
      <c r="H765" s="21">
        <v>6290</v>
      </c>
    </row>
    <row r="766" spans="1:8" x14ac:dyDescent="0.2">
      <c r="A766" s="11" t="s">
        <v>114</v>
      </c>
      <c r="B766" s="11" t="s">
        <v>1733</v>
      </c>
      <c r="C766" s="11" t="s">
        <v>65</v>
      </c>
      <c r="D766" s="11" t="s">
        <v>41</v>
      </c>
      <c r="E766" s="20">
        <v>43192</v>
      </c>
      <c r="F766" s="35">
        <v>0.52777777777777779</v>
      </c>
      <c r="G766" s="17">
        <v>6</v>
      </c>
      <c r="H766" s="17">
        <v>3012</v>
      </c>
    </row>
    <row r="767" spans="1:8" x14ac:dyDescent="0.2">
      <c r="A767" s="11" t="s">
        <v>45</v>
      </c>
      <c r="B767" s="11" t="s">
        <v>1732</v>
      </c>
      <c r="C767" s="11" t="s">
        <v>40</v>
      </c>
      <c r="D767" s="11" t="s">
        <v>219</v>
      </c>
      <c r="E767" s="20">
        <v>42931</v>
      </c>
      <c r="F767" s="35">
        <v>0.38541666666666663</v>
      </c>
      <c r="G767" s="17">
        <v>6</v>
      </c>
      <c r="H767" s="17">
        <v>5616</v>
      </c>
    </row>
    <row r="768" spans="1:8" x14ac:dyDescent="0.2">
      <c r="A768" s="11" t="s">
        <v>64</v>
      </c>
      <c r="B768" s="11" t="s">
        <v>1731</v>
      </c>
      <c r="C768" s="11" t="s">
        <v>40</v>
      </c>
      <c r="D768" s="11" t="s">
        <v>34</v>
      </c>
      <c r="E768" s="20">
        <v>42888</v>
      </c>
      <c r="F768" s="35">
        <v>0.55555555555555558</v>
      </c>
      <c r="G768" s="17">
        <v>8</v>
      </c>
      <c r="H768" s="17">
        <v>5280</v>
      </c>
    </row>
    <row r="769" spans="1:8" x14ac:dyDescent="0.2">
      <c r="A769" s="11" t="s">
        <v>23</v>
      </c>
      <c r="B769" s="11" t="s">
        <v>1734</v>
      </c>
      <c r="C769" s="11" t="s">
        <v>24</v>
      </c>
      <c r="D769" s="11" t="s">
        <v>34</v>
      </c>
      <c r="E769" s="20">
        <v>43183</v>
      </c>
      <c r="F769" s="35">
        <v>0.49652777777777773</v>
      </c>
      <c r="G769" s="17">
        <v>12</v>
      </c>
      <c r="H769" s="17">
        <v>7968</v>
      </c>
    </row>
    <row r="770" spans="1:8" x14ac:dyDescent="0.2">
      <c r="A770" s="11" t="s">
        <v>49</v>
      </c>
      <c r="B770" s="11" t="s">
        <v>1732</v>
      </c>
      <c r="C770" s="11" t="s">
        <v>40</v>
      </c>
      <c r="D770" s="11" t="s">
        <v>41</v>
      </c>
      <c r="E770" s="20">
        <v>43308</v>
      </c>
      <c r="F770" s="35">
        <v>0.55208333333333326</v>
      </c>
      <c r="G770" s="17">
        <v>4</v>
      </c>
      <c r="H770" s="17">
        <v>2420</v>
      </c>
    </row>
    <row r="771" spans="1:8" x14ac:dyDescent="0.2">
      <c r="A771" s="11" t="s">
        <v>23</v>
      </c>
      <c r="B771" s="11" t="s">
        <v>1732</v>
      </c>
      <c r="C771" s="11" t="s">
        <v>33</v>
      </c>
      <c r="D771" s="11" t="s">
        <v>41</v>
      </c>
      <c r="E771" s="20">
        <v>43553</v>
      </c>
      <c r="F771" s="35">
        <v>0.5</v>
      </c>
      <c r="G771" s="17">
        <v>7</v>
      </c>
      <c r="H771" s="17">
        <v>10493</v>
      </c>
    </row>
    <row r="772" spans="1:8" x14ac:dyDescent="0.2">
      <c r="A772" s="11" t="s">
        <v>45</v>
      </c>
      <c r="B772" s="11" t="s">
        <v>1732</v>
      </c>
      <c r="C772" s="11" t="s">
        <v>40</v>
      </c>
      <c r="D772" s="11" t="s">
        <v>34</v>
      </c>
      <c r="E772" s="20">
        <v>43549</v>
      </c>
      <c r="F772" s="35">
        <v>0.40277777777777773</v>
      </c>
      <c r="G772" s="17">
        <v>13</v>
      </c>
      <c r="H772" s="17">
        <v>5278</v>
      </c>
    </row>
    <row r="773" spans="1:8" x14ac:dyDescent="0.2">
      <c r="A773" s="11" t="s">
        <v>64</v>
      </c>
      <c r="B773" s="11" t="s">
        <v>1732</v>
      </c>
      <c r="C773" s="11" t="s">
        <v>33</v>
      </c>
      <c r="D773" s="11" t="s">
        <v>25</v>
      </c>
      <c r="E773" s="20">
        <v>43015</v>
      </c>
      <c r="F773" s="35">
        <v>0.65625</v>
      </c>
      <c r="G773" s="17">
        <v>14</v>
      </c>
      <c r="H773" s="17">
        <v>17192</v>
      </c>
    </row>
    <row r="774" spans="1:8" x14ac:dyDescent="0.2">
      <c r="A774" s="11" t="s">
        <v>78</v>
      </c>
      <c r="B774" s="11" t="s">
        <v>1732</v>
      </c>
      <c r="C774" s="11" t="s">
        <v>40</v>
      </c>
      <c r="D774" s="11" t="s">
        <v>219</v>
      </c>
      <c r="E774" s="20">
        <v>43287</v>
      </c>
      <c r="F774" s="35">
        <v>0.61805555555555547</v>
      </c>
      <c r="G774" s="17">
        <v>8</v>
      </c>
      <c r="H774" s="17">
        <v>14984</v>
      </c>
    </row>
    <row r="775" spans="1:8" x14ac:dyDescent="0.2">
      <c r="A775" s="11" t="s">
        <v>78</v>
      </c>
      <c r="B775" s="11" t="s">
        <v>1733</v>
      </c>
      <c r="C775" s="11" t="s">
        <v>33</v>
      </c>
      <c r="D775" s="11" t="s">
        <v>25</v>
      </c>
      <c r="E775" s="20">
        <v>43057</v>
      </c>
      <c r="F775" s="35">
        <v>0.35069444444444442</v>
      </c>
      <c r="G775" s="17">
        <v>10</v>
      </c>
      <c r="H775" s="17">
        <v>12130</v>
      </c>
    </row>
    <row r="776" spans="1:8" x14ac:dyDescent="0.2">
      <c r="A776" s="11" t="s">
        <v>54</v>
      </c>
      <c r="B776" s="11" t="s">
        <v>1733</v>
      </c>
      <c r="C776" s="11" t="s">
        <v>33</v>
      </c>
      <c r="D776" s="11" t="s">
        <v>34</v>
      </c>
      <c r="E776" s="20">
        <v>43227</v>
      </c>
      <c r="F776" s="35">
        <v>0.34375</v>
      </c>
      <c r="G776" s="17">
        <v>8</v>
      </c>
      <c r="H776" s="17">
        <v>9600</v>
      </c>
    </row>
    <row r="777" spans="1:8" x14ac:dyDescent="0.2">
      <c r="A777" s="11" t="s">
        <v>114</v>
      </c>
      <c r="B777" s="11" t="s">
        <v>1732</v>
      </c>
      <c r="C777" s="11" t="s">
        <v>33</v>
      </c>
      <c r="D777" s="11" t="s">
        <v>34</v>
      </c>
      <c r="E777" s="20">
        <v>43057</v>
      </c>
      <c r="F777" s="35">
        <v>0.70833333333333326</v>
      </c>
      <c r="G777" s="17">
        <v>12</v>
      </c>
      <c r="H777" s="17">
        <v>18876</v>
      </c>
    </row>
    <row r="778" spans="1:8" x14ac:dyDescent="0.2">
      <c r="A778" s="11" t="s">
        <v>125</v>
      </c>
      <c r="B778" s="11" t="s">
        <v>1731</v>
      </c>
      <c r="C778" s="11" t="s">
        <v>65</v>
      </c>
      <c r="D778" s="11" t="s">
        <v>120</v>
      </c>
      <c r="E778" s="20">
        <v>43056</v>
      </c>
      <c r="F778" s="35">
        <v>0.47916666666666663</v>
      </c>
      <c r="G778" s="17">
        <v>8</v>
      </c>
      <c r="H778" s="17">
        <v>5552</v>
      </c>
    </row>
    <row r="779" spans="1:8" x14ac:dyDescent="0.2">
      <c r="A779" s="11" t="s">
        <v>49</v>
      </c>
      <c r="B779" s="11" t="s">
        <v>1732</v>
      </c>
      <c r="C779" s="11" t="s">
        <v>40</v>
      </c>
      <c r="D779" s="11" t="s">
        <v>41</v>
      </c>
      <c r="E779" s="20">
        <v>43217</v>
      </c>
      <c r="F779" s="35">
        <v>0.64583333333333326</v>
      </c>
      <c r="G779" s="17">
        <v>2</v>
      </c>
      <c r="H779" s="17">
        <v>3768</v>
      </c>
    </row>
    <row r="780" spans="1:8" x14ac:dyDescent="0.2">
      <c r="A780" s="11" t="s">
        <v>49</v>
      </c>
      <c r="B780" s="11" t="s">
        <v>1731</v>
      </c>
      <c r="C780" s="11" t="s">
        <v>33</v>
      </c>
      <c r="D780" s="11" t="s">
        <v>34</v>
      </c>
      <c r="E780" s="20">
        <v>43056</v>
      </c>
      <c r="F780" s="35">
        <v>0.52083333333333326</v>
      </c>
      <c r="G780" s="17">
        <v>12</v>
      </c>
      <c r="H780" s="17">
        <v>4104</v>
      </c>
    </row>
    <row r="781" spans="1:8" x14ac:dyDescent="0.2">
      <c r="A781" s="11" t="s">
        <v>32</v>
      </c>
      <c r="B781" s="11" t="s">
        <v>1732</v>
      </c>
      <c r="C781" s="11" t="s">
        <v>24</v>
      </c>
      <c r="D781" s="11" t="s">
        <v>41</v>
      </c>
      <c r="E781" s="20">
        <v>43262</v>
      </c>
      <c r="F781" s="35">
        <v>0.72569444444444442</v>
      </c>
      <c r="G781" s="17">
        <v>6</v>
      </c>
      <c r="H781" s="17">
        <v>2736</v>
      </c>
    </row>
    <row r="782" spans="1:8" x14ac:dyDescent="0.2">
      <c r="A782" s="11" t="s">
        <v>23</v>
      </c>
      <c r="B782" s="11" t="s">
        <v>1734</v>
      </c>
      <c r="C782" s="11" t="s">
        <v>24</v>
      </c>
      <c r="D782" s="11" t="s">
        <v>219</v>
      </c>
      <c r="E782" s="20">
        <v>43154</v>
      </c>
      <c r="F782" s="35">
        <v>0.55902777777777779</v>
      </c>
      <c r="G782" s="17">
        <v>7</v>
      </c>
      <c r="H782" s="17">
        <v>3388</v>
      </c>
    </row>
    <row r="783" spans="1:8" x14ac:dyDescent="0.2">
      <c r="A783" s="11" t="s">
        <v>64</v>
      </c>
      <c r="B783" s="11" t="s">
        <v>1731</v>
      </c>
      <c r="C783" s="11" t="s">
        <v>24</v>
      </c>
      <c r="D783" s="11" t="s">
        <v>34</v>
      </c>
      <c r="E783" s="20">
        <v>43164</v>
      </c>
      <c r="F783" s="35">
        <v>0.4375</v>
      </c>
      <c r="G783" s="17">
        <v>15</v>
      </c>
      <c r="H783" s="17">
        <v>8610</v>
      </c>
    </row>
    <row r="784" spans="1:8" x14ac:dyDescent="0.2">
      <c r="A784" s="11" t="s">
        <v>54</v>
      </c>
      <c r="B784" s="11" t="s">
        <v>1734</v>
      </c>
      <c r="C784" s="11" t="s">
        <v>33</v>
      </c>
      <c r="D784" s="11" t="s">
        <v>219</v>
      </c>
      <c r="E784" s="20">
        <v>43055</v>
      </c>
      <c r="F784" s="35">
        <v>0.57638888888888884</v>
      </c>
      <c r="G784" s="17">
        <v>9</v>
      </c>
      <c r="H784" s="17">
        <v>5391</v>
      </c>
    </row>
    <row r="785" spans="1:8" x14ac:dyDescent="0.2">
      <c r="A785" s="11" t="s">
        <v>54</v>
      </c>
      <c r="B785" s="11" t="s">
        <v>1731</v>
      </c>
      <c r="C785" s="11" t="s">
        <v>65</v>
      </c>
      <c r="D785" s="11" t="s">
        <v>219</v>
      </c>
      <c r="E785" s="20">
        <v>42959</v>
      </c>
      <c r="F785" s="35">
        <v>0.375</v>
      </c>
      <c r="G785" s="17">
        <v>12</v>
      </c>
      <c r="H785" s="17">
        <v>3912</v>
      </c>
    </row>
    <row r="786" spans="1:8" x14ac:dyDescent="0.2">
      <c r="A786" s="11" t="s">
        <v>75</v>
      </c>
      <c r="B786" s="11" t="s">
        <v>1732</v>
      </c>
      <c r="C786" s="11" t="s">
        <v>33</v>
      </c>
      <c r="D786" s="11" t="s">
        <v>41</v>
      </c>
      <c r="E786" s="20">
        <v>43055</v>
      </c>
      <c r="F786" s="35">
        <v>0.33680555555555552</v>
      </c>
      <c r="G786" s="17">
        <v>3</v>
      </c>
      <c r="H786" s="17">
        <v>4566</v>
      </c>
    </row>
    <row r="787" spans="1:8" x14ac:dyDescent="0.2">
      <c r="A787" s="11" t="s">
        <v>45</v>
      </c>
      <c r="B787" s="11" t="s">
        <v>1735</v>
      </c>
      <c r="C787" s="11" t="s">
        <v>65</v>
      </c>
      <c r="D787" s="11" t="s">
        <v>120</v>
      </c>
      <c r="E787" s="20">
        <v>43343</v>
      </c>
      <c r="F787" s="35">
        <v>0.4548611111111111</v>
      </c>
      <c r="G787" s="17">
        <v>12</v>
      </c>
      <c r="H787" s="17">
        <v>8424</v>
      </c>
    </row>
    <row r="788" spans="1:8" x14ac:dyDescent="0.2">
      <c r="A788" s="11" t="s">
        <v>64</v>
      </c>
      <c r="B788" s="11" t="s">
        <v>1732</v>
      </c>
      <c r="C788" s="11" t="s">
        <v>65</v>
      </c>
      <c r="D788" s="11" t="s">
        <v>219</v>
      </c>
      <c r="E788" s="20">
        <v>43360</v>
      </c>
      <c r="F788" s="35">
        <v>0.72222222222222221</v>
      </c>
      <c r="G788" s="17">
        <v>9</v>
      </c>
      <c r="H788" s="17">
        <v>4293</v>
      </c>
    </row>
    <row r="789" spans="1:8" x14ac:dyDescent="0.2">
      <c r="A789" s="11" t="s">
        <v>125</v>
      </c>
      <c r="B789" s="11" t="s">
        <v>1734</v>
      </c>
      <c r="C789" s="11" t="s">
        <v>33</v>
      </c>
      <c r="D789" s="11" t="s">
        <v>25</v>
      </c>
      <c r="E789" s="20">
        <v>43052</v>
      </c>
      <c r="F789" s="35">
        <v>0.55555555555555558</v>
      </c>
      <c r="G789" s="17">
        <v>2</v>
      </c>
      <c r="H789" s="17">
        <v>1242</v>
      </c>
    </row>
    <row r="790" spans="1:8" x14ac:dyDescent="0.2">
      <c r="A790" s="11" t="s">
        <v>64</v>
      </c>
      <c r="B790" s="11" t="s">
        <v>1735</v>
      </c>
      <c r="C790" s="11" t="s">
        <v>33</v>
      </c>
      <c r="D790" s="11" t="s">
        <v>34</v>
      </c>
      <c r="E790" s="20">
        <v>42852</v>
      </c>
      <c r="F790" s="35">
        <v>0.4375</v>
      </c>
      <c r="G790" s="17">
        <v>9</v>
      </c>
      <c r="H790" s="17">
        <v>5301</v>
      </c>
    </row>
    <row r="791" spans="1:8" x14ac:dyDescent="0.2">
      <c r="A791" s="11" t="s">
        <v>23</v>
      </c>
      <c r="B791" s="11" t="s">
        <v>1734</v>
      </c>
      <c r="C791" s="11" t="s">
        <v>33</v>
      </c>
      <c r="D791" s="11" t="s">
        <v>34</v>
      </c>
      <c r="E791" s="20">
        <v>43374</v>
      </c>
      <c r="F791" s="35">
        <v>0.54166666666666663</v>
      </c>
      <c r="G791" s="17">
        <v>11</v>
      </c>
      <c r="H791" s="17">
        <v>4466</v>
      </c>
    </row>
    <row r="792" spans="1:8" x14ac:dyDescent="0.2">
      <c r="A792" s="11" t="s">
        <v>75</v>
      </c>
      <c r="B792" s="11" t="s">
        <v>1732</v>
      </c>
      <c r="C792" s="11" t="s">
        <v>65</v>
      </c>
      <c r="D792" s="11" t="s">
        <v>34</v>
      </c>
      <c r="E792" s="20">
        <v>43560</v>
      </c>
      <c r="F792" s="35">
        <v>0.55902777777777779</v>
      </c>
      <c r="G792" s="17">
        <v>11</v>
      </c>
      <c r="H792" s="17">
        <v>21373</v>
      </c>
    </row>
    <row r="793" spans="1:8" x14ac:dyDescent="0.2">
      <c r="A793" s="11" t="s">
        <v>45</v>
      </c>
      <c r="B793" s="11" t="s">
        <v>1735</v>
      </c>
      <c r="C793" s="11" t="s">
        <v>33</v>
      </c>
      <c r="D793" s="11" t="s">
        <v>34</v>
      </c>
      <c r="E793" s="20">
        <v>43052</v>
      </c>
      <c r="F793" s="35">
        <v>0.55208333333333326</v>
      </c>
      <c r="G793" s="17">
        <v>12</v>
      </c>
      <c r="H793" s="17">
        <v>6132</v>
      </c>
    </row>
    <row r="794" spans="1:8" x14ac:dyDescent="0.2">
      <c r="A794" s="11" t="s">
        <v>54</v>
      </c>
      <c r="B794" s="11" t="s">
        <v>1733</v>
      </c>
      <c r="C794" s="11" t="s">
        <v>40</v>
      </c>
      <c r="D794" s="11" t="s">
        <v>34</v>
      </c>
      <c r="E794" s="20">
        <v>42888</v>
      </c>
      <c r="F794" s="35">
        <v>0.5625</v>
      </c>
      <c r="G794" s="17">
        <v>8</v>
      </c>
      <c r="H794" s="17">
        <v>5360</v>
      </c>
    </row>
    <row r="795" spans="1:8" x14ac:dyDescent="0.2">
      <c r="A795" s="11" t="s">
        <v>64</v>
      </c>
      <c r="B795" s="11" t="s">
        <v>1731</v>
      </c>
      <c r="C795" s="11" t="s">
        <v>24</v>
      </c>
      <c r="D795" s="11" t="s">
        <v>219</v>
      </c>
      <c r="E795" s="20">
        <v>43345</v>
      </c>
      <c r="F795" s="35">
        <v>0.60416666666666663</v>
      </c>
      <c r="G795" s="17">
        <v>2</v>
      </c>
      <c r="H795" s="17">
        <v>1398</v>
      </c>
    </row>
    <row r="796" spans="1:8" x14ac:dyDescent="0.2">
      <c r="A796" s="11" t="s">
        <v>78</v>
      </c>
      <c r="B796" s="11" t="s">
        <v>1733</v>
      </c>
      <c r="C796" s="11" t="s">
        <v>65</v>
      </c>
      <c r="D796" s="11" t="s">
        <v>41</v>
      </c>
      <c r="E796" s="20">
        <v>43052</v>
      </c>
      <c r="F796" s="35">
        <v>0.35069444444444442</v>
      </c>
      <c r="G796" s="17">
        <v>9</v>
      </c>
      <c r="H796" s="17">
        <v>6678</v>
      </c>
    </row>
    <row r="797" spans="1:8" x14ac:dyDescent="0.2">
      <c r="A797" s="11" t="s">
        <v>78</v>
      </c>
      <c r="B797" s="11" t="s">
        <v>1734</v>
      </c>
      <c r="C797" s="11" t="s">
        <v>24</v>
      </c>
      <c r="D797" s="11" t="s">
        <v>41</v>
      </c>
      <c r="E797" s="20">
        <v>43192</v>
      </c>
      <c r="F797" s="35">
        <v>0.71527777777777779</v>
      </c>
      <c r="G797" s="17">
        <v>7</v>
      </c>
      <c r="H797" s="17">
        <v>5362</v>
      </c>
    </row>
    <row r="798" spans="1:8" x14ac:dyDescent="0.2">
      <c r="A798" s="11" t="s">
        <v>45</v>
      </c>
      <c r="B798" s="11" t="s">
        <v>1732</v>
      </c>
      <c r="C798" s="11" t="s">
        <v>33</v>
      </c>
      <c r="D798" s="11" t="s">
        <v>41</v>
      </c>
      <c r="E798" s="20">
        <v>43051</v>
      </c>
      <c r="F798" s="35">
        <v>0.33680555555555552</v>
      </c>
      <c r="G798" s="17">
        <v>14</v>
      </c>
      <c r="H798" s="17">
        <v>26194</v>
      </c>
    </row>
    <row r="799" spans="1:8" x14ac:dyDescent="0.2">
      <c r="A799" s="11" t="s">
        <v>64</v>
      </c>
      <c r="B799" s="11" t="s">
        <v>1735</v>
      </c>
      <c r="C799" s="11" t="s">
        <v>24</v>
      </c>
      <c r="D799" s="11" t="s">
        <v>120</v>
      </c>
      <c r="E799" s="20">
        <v>43050</v>
      </c>
      <c r="F799" s="35">
        <v>0.73958333333333326</v>
      </c>
      <c r="G799" s="17">
        <v>9</v>
      </c>
      <c r="H799" s="17">
        <v>4959</v>
      </c>
    </row>
    <row r="800" spans="1:8" x14ac:dyDescent="0.2">
      <c r="A800" s="11" t="s">
        <v>45</v>
      </c>
      <c r="B800" s="11" t="s">
        <v>1734</v>
      </c>
      <c r="C800" s="11" t="s">
        <v>40</v>
      </c>
      <c r="D800" s="11" t="s">
        <v>34</v>
      </c>
      <c r="E800" s="20">
        <v>43357</v>
      </c>
      <c r="F800" s="35">
        <v>0.51388888888888884</v>
      </c>
      <c r="G800" s="17">
        <v>20</v>
      </c>
      <c r="H800" s="17">
        <v>16960</v>
      </c>
    </row>
    <row r="801" spans="1:8" x14ac:dyDescent="0.2">
      <c r="A801" s="11" t="s">
        <v>117</v>
      </c>
      <c r="B801" s="11" t="s">
        <v>1732</v>
      </c>
      <c r="C801" s="11" t="s">
        <v>33</v>
      </c>
      <c r="D801" s="11" t="s">
        <v>219</v>
      </c>
      <c r="E801" s="20">
        <v>43050</v>
      </c>
      <c r="F801" s="35">
        <v>0.52083333333333326</v>
      </c>
      <c r="G801" s="17">
        <v>7</v>
      </c>
      <c r="H801" s="17">
        <v>13265</v>
      </c>
    </row>
    <row r="802" spans="1:8" x14ac:dyDescent="0.2">
      <c r="A802" s="11" t="s">
        <v>117</v>
      </c>
      <c r="B802" s="11" t="s">
        <v>1732</v>
      </c>
      <c r="C802" s="11" t="s">
        <v>40</v>
      </c>
      <c r="D802" s="11" t="s">
        <v>34</v>
      </c>
      <c r="E802" s="20">
        <v>43239</v>
      </c>
      <c r="F802" s="35">
        <v>0.50694444444444442</v>
      </c>
      <c r="G802" s="17">
        <v>17</v>
      </c>
      <c r="H802" s="17">
        <v>6987</v>
      </c>
    </row>
    <row r="803" spans="1:8" x14ac:dyDescent="0.2">
      <c r="A803" s="11" t="s">
        <v>75</v>
      </c>
      <c r="B803" s="11" t="s">
        <v>1732</v>
      </c>
      <c r="C803" s="11" t="s">
        <v>24</v>
      </c>
      <c r="D803" s="11" t="s">
        <v>34</v>
      </c>
      <c r="E803" s="20">
        <v>42874</v>
      </c>
      <c r="F803" s="35">
        <v>0.48958333333333331</v>
      </c>
      <c r="G803" s="17">
        <v>8</v>
      </c>
      <c r="H803" s="17">
        <v>8128</v>
      </c>
    </row>
    <row r="804" spans="1:8" x14ac:dyDescent="0.2">
      <c r="A804" s="11" t="s">
        <v>54</v>
      </c>
      <c r="B804" s="11" t="s">
        <v>1734</v>
      </c>
      <c r="C804" s="11" t="s">
        <v>65</v>
      </c>
      <c r="D804" s="11" t="s">
        <v>34</v>
      </c>
      <c r="E804" s="20">
        <v>43386</v>
      </c>
      <c r="F804" s="35">
        <v>0.57638888888888884</v>
      </c>
      <c r="G804" s="17">
        <v>16</v>
      </c>
      <c r="H804" s="17">
        <v>14208</v>
      </c>
    </row>
    <row r="805" spans="1:8" x14ac:dyDescent="0.2">
      <c r="A805" s="11" t="s">
        <v>89</v>
      </c>
      <c r="B805" s="11" t="s">
        <v>1732</v>
      </c>
      <c r="C805" s="11" t="s">
        <v>40</v>
      </c>
      <c r="D805" s="11" t="s">
        <v>25</v>
      </c>
      <c r="E805" s="20">
        <v>43391</v>
      </c>
      <c r="F805" s="35">
        <v>0.72222222222222221</v>
      </c>
      <c r="G805" s="17">
        <v>15</v>
      </c>
      <c r="H805" s="17">
        <v>25515</v>
      </c>
    </row>
    <row r="806" spans="1:8" x14ac:dyDescent="0.2">
      <c r="A806" s="11" t="s">
        <v>32</v>
      </c>
      <c r="B806" s="11" t="s">
        <v>1734</v>
      </c>
      <c r="C806" s="11" t="s">
        <v>24</v>
      </c>
      <c r="D806" s="11" t="s">
        <v>219</v>
      </c>
      <c r="E806" s="20">
        <v>43331</v>
      </c>
      <c r="F806" s="35">
        <v>0.55555555555555558</v>
      </c>
      <c r="G806" s="17">
        <v>9</v>
      </c>
      <c r="H806" s="17">
        <v>5940</v>
      </c>
    </row>
    <row r="807" spans="1:8" x14ac:dyDescent="0.2">
      <c r="A807" s="11" t="s">
        <v>78</v>
      </c>
      <c r="B807" s="11" t="s">
        <v>1731</v>
      </c>
      <c r="C807" s="11" t="s">
        <v>24</v>
      </c>
      <c r="D807" s="11" t="s">
        <v>41</v>
      </c>
      <c r="E807" s="20">
        <v>43556</v>
      </c>
      <c r="F807" s="35">
        <v>0.72569444444444442</v>
      </c>
      <c r="G807" s="17">
        <v>12</v>
      </c>
      <c r="H807" s="17">
        <v>8304</v>
      </c>
    </row>
    <row r="808" spans="1:8" x14ac:dyDescent="0.2">
      <c r="A808" s="11" t="s">
        <v>23</v>
      </c>
      <c r="B808" s="11" t="s">
        <v>1731</v>
      </c>
      <c r="C808" s="11" t="s">
        <v>24</v>
      </c>
      <c r="D808" s="11" t="s">
        <v>34</v>
      </c>
      <c r="E808" s="20">
        <v>43218</v>
      </c>
      <c r="F808" s="35">
        <v>0.37152777777777773</v>
      </c>
      <c r="G808" s="17">
        <v>20</v>
      </c>
      <c r="H808" s="17">
        <v>6920</v>
      </c>
    </row>
    <row r="809" spans="1:8" x14ac:dyDescent="0.2">
      <c r="A809" s="11" t="s">
        <v>89</v>
      </c>
      <c r="B809" s="11" t="s">
        <v>1731</v>
      </c>
      <c r="C809" s="11" t="s">
        <v>65</v>
      </c>
      <c r="D809" s="11" t="s">
        <v>34</v>
      </c>
      <c r="E809" s="20">
        <v>43050</v>
      </c>
      <c r="F809" s="35">
        <v>0.60763888888888884</v>
      </c>
      <c r="G809" s="17">
        <v>7</v>
      </c>
      <c r="H809" s="17">
        <v>2856</v>
      </c>
    </row>
    <row r="810" spans="1:8" x14ac:dyDescent="0.2">
      <c r="A810" s="11" t="s">
        <v>64</v>
      </c>
      <c r="B810" s="11" t="s">
        <v>1734</v>
      </c>
      <c r="C810" s="11" t="s">
        <v>33</v>
      </c>
      <c r="D810" s="11" t="s">
        <v>120</v>
      </c>
      <c r="E810" s="20">
        <v>43049</v>
      </c>
      <c r="F810" s="35">
        <v>0.71875</v>
      </c>
      <c r="G810" s="17">
        <v>15</v>
      </c>
      <c r="H810" s="17">
        <v>6615</v>
      </c>
    </row>
    <row r="811" spans="1:8" x14ac:dyDescent="0.2">
      <c r="A811" s="11" t="s">
        <v>49</v>
      </c>
      <c r="B811" s="11" t="s">
        <v>1734</v>
      </c>
      <c r="C811" s="11" t="s">
        <v>33</v>
      </c>
      <c r="D811" s="11" t="s">
        <v>34</v>
      </c>
      <c r="E811" s="20">
        <v>43283</v>
      </c>
      <c r="F811" s="35">
        <v>0.74652777777777779</v>
      </c>
      <c r="G811" s="17">
        <v>8</v>
      </c>
      <c r="H811" s="17">
        <v>4128</v>
      </c>
    </row>
    <row r="812" spans="1:8" x14ac:dyDescent="0.2">
      <c r="A812" s="11" t="s">
        <v>49</v>
      </c>
      <c r="B812" s="11" t="s">
        <v>1733</v>
      </c>
      <c r="C812" s="11" t="s">
        <v>65</v>
      </c>
      <c r="D812" s="11" t="s">
        <v>34</v>
      </c>
      <c r="E812" s="20">
        <v>42895</v>
      </c>
      <c r="F812" s="35">
        <v>0.67013888888888884</v>
      </c>
      <c r="G812" s="17">
        <v>20</v>
      </c>
      <c r="H812" s="17">
        <v>26840</v>
      </c>
    </row>
    <row r="813" spans="1:8" x14ac:dyDescent="0.2">
      <c r="A813" s="11" t="s">
        <v>64</v>
      </c>
      <c r="B813" s="11" t="s">
        <v>1733</v>
      </c>
      <c r="C813" s="11" t="s">
        <v>33</v>
      </c>
      <c r="D813" s="11" t="s">
        <v>219</v>
      </c>
      <c r="E813" s="20">
        <v>43378</v>
      </c>
      <c r="F813" s="35">
        <v>0.54513888888888884</v>
      </c>
      <c r="G813" s="17">
        <v>11</v>
      </c>
      <c r="H813" s="17">
        <v>10835</v>
      </c>
    </row>
    <row r="814" spans="1:8" x14ac:dyDescent="0.2">
      <c r="A814" s="11" t="s">
        <v>75</v>
      </c>
      <c r="B814" s="11" t="s">
        <v>1735</v>
      </c>
      <c r="C814" s="11" t="s">
        <v>40</v>
      </c>
      <c r="D814" s="11" t="s">
        <v>219</v>
      </c>
      <c r="E814" s="20">
        <v>42922</v>
      </c>
      <c r="F814" s="35">
        <v>0.63888888888888884</v>
      </c>
      <c r="G814" s="17">
        <v>11</v>
      </c>
      <c r="H814" s="21">
        <v>7953</v>
      </c>
    </row>
    <row r="815" spans="1:8" x14ac:dyDescent="0.2">
      <c r="A815" s="11" t="s">
        <v>89</v>
      </c>
      <c r="B815" s="11" t="s">
        <v>1735</v>
      </c>
      <c r="C815" s="11" t="s">
        <v>33</v>
      </c>
      <c r="D815" s="11" t="s">
        <v>120</v>
      </c>
      <c r="E815" s="20">
        <v>43049</v>
      </c>
      <c r="F815" s="35">
        <v>0.65625</v>
      </c>
      <c r="G815" s="17">
        <v>13</v>
      </c>
      <c r="H815" s="17">
        <v>11648</v>
      </c>
    </row>
    <row r="816" spans="1:8" x14ac:dyDescent="0.2">
      <c r="A816" s="11" t="s">
        <v>64</v>
      </c>
      <c r="B816" s="11" t="s">
        <v>1734</v>
      </c>
      <c r="C816" s="11" t="s">
        <v>65</v>
      </c>
      <c r="D816" s="11" t="s">
        <v>120</v>
      </c>
      <c r="E816" s="20">
        <v>42925</v>
      </c>
      <c r="F816" s="35">
        <v>0.55555555555555558</v>
      </c>
      <c r="G816" s="17">
        <v>9</v>
      </c>
      <c r="H816" s="17">
        <v>4662</v>
      </c>
    </row>
    <row r="817" spans="1:8" x14ac:dyDescent="0.2">
      <c r="A817" s="11" t="s">
        <v>23</v>
      </c>
      <c r="B817" s="11" t="s">
        <v>1734</v>
      </c>
      <c r="C817" s="11" t="s">
        <v>33</v>
      </c>
      <c r="D817" s="11" t="s">
        <v>41</v>
      </c>
      <c r="E817" s="20">
        <v>43049</v>
      </c>
      <c r="F817" s="35">
        <v>0.35069444444444442</v>
      </c>
      <c r="G817" s="17">
        <v>2</v>
      </c>
      <c r="H817" s="17">
        <v>972</v>
      </c>
    </row>
    <row r="818" spans="1:8" x14ac:dyDescent="0.2">
      <c r="A818" s="11" t="s">
        <v>89</v>
      </c>
      <c r="B818" s="11" t="s">
        <v>1735</v>
      </c>
      <c r="C818" s="11" t="s">
        <v>33</v>
      </c>
      <c r="D818" s="11" t="s">
        <v>34</v>
      </c>
      <c r="E818" s="20">
        <v>43245</v>
      </c>
      <c r="F818" s="35">
        <v>0.59027777777777779</v>
      </c>
      <c r="G818" s="17">
        <v>13</v>
      </c>
      <c r="H818" s="17">
        <v>8125</v>
      </c>
    </row>
    <row r="819" spans="1:8" x14ac:dyDescent="0.2">
      <c r="A819" s="11" t="s">
        <v>45</v>
      </c>
      <c r="B819" s="11" t="s">
        <v>1732</v>
      </c>
      <c r="C819" s="11" t="s">
        <v>33</v>
      </c>
      <c r="D819" s="11" t="s">
        <v>219</v>
      </c>
      <c r="E819" s="20">
        <v>42944</v>
      </c>
      <c r="F819" s="35">
        <v>0.49652777777777773</v>
      </c>
      <c r="G819" s="17">
        <v>6</v>
      </c>
      <c r="H819" s="17">
        <v>4878</v>
      </c>
    </row>
    <row r="820" spans="1:8" x14ac:dyDescent="0.2">
      <c r="A820" s="11" t="s">
        <v>75</v>
      </c>
      <c r="B820" s="11" t="s">
        <v>1732</v>
      </c>
      <c r="C820" s="11" t="s">
        <v>33</v>
      </c>
      <c r="D820" s="11" t="s">
        <v>25</v>
      </c>
      <c r="E820" s="20">
        <v>42903</v>
      </c>
      <c r="F820" s="35">
        <v>0.4548611111111111</v>
      </c>
      <c r="G820" s="17">
        <v>14</v>
      </c>
      <c r="H820" s="21">
        <v>23814</v>
      </c>
    </row>
    <row r="821" spans="1:8" x14ac:dyDescent="0.2">
      <c r="A821" s="11" t="s">
        <v>23</v>
      </c>
      <c r="B821" s="11" t="s">
        <v>1733</v>
      </c>
      <c r="C821" s="11" t="s">
        <v>40</v>
      </c>
      <c r="D821" s="11" t="s">
        <v>25</v>
      </c>
      <c r="E821" s="20">
        <v>43209</v>
      </c>
      <c r="F821" s="35">
        <v>0.49305555555555552</v>
      </c>
      <c r="G821" s="17">
        <v>1</v>
      </c>
      <c r="H821" s="17">
        <v>885</v>
      </c>
    </row>
    <row r="822" spans="1:8" x14ac:dyDescent="0.2">
      <c r="A822" s="11" t="s">
        <v>54</v>
      </c>
      <c r="B822" s="11" t="s">
        <v>1733</v>
      </c>
      <c r="C822" s="11" t="s">
        <v>40</v>
      </c>
      <c r="D822" s="11" t="s">
        <v>25</v>
      </c>
      <c r="E822" s="20">
        <v>43049</v>
      </c>
      <c r="F822" s="35">
        <v>0.71875</v>
      </c>
      <c r="G822" s="17">
        <v>13</v>
      </c>
      <c r="H822" s="17">
        <v>15015</v>
      </c>
    </row>
    <row r="823" spans="1:8" x14ac:dyDescent="0.2">
      <c r="A823" s="11" t="s">
        <v>78</v>
      </c>
      <c r="B823" s="11" t="s">
        <v>1735</v>
      </c>
      <c r="C823" s="11" t="s">
        <v>24</v>
      </c>
      <c r="D823" s="11" t="s">
        <v>25</v>
      </c>
      <c r="E823" s="20">
        <v>43045</v>
      </c>
      <c r="F823" s="35">
        <v>0.69791666666666663</v>
      </c>
      <c r="G823" s="17">
        <v>13</v>
      </c>
      <c r="H823" s="17">
        <v>5915</v>
      </c>
    </row>
    <row r="824" spans="1:8" x14ac:dyDescent="0.2">
      <c r="A824" s="11" t="s">
        <v>117</v>
      </c>
      <c r="B824" s="11" t="s">
        <v>1734</v>
      </c>
      <c r="C824" s="11" t="s">
        <v>24</v>
      </c>
      <c r="D824" s="11" t="s">
        <v>41</v>
      </c>
      <c r="E824" s="20">
        <v>43045</v>
      </c>
      <c r="F824" s="35">
        <v>0.60763888888888884</v>
      </c>
      <c r="G824" s="17">
        <v>14</v>
      </c>
      <c r="H824" s="17">
        <v>9408</v>
      </c>
    </row>
    <row r="825" spans="1:8" x14ac:dyDescent="0.2">
      <c r="A825" s="11" t="s">
        <v>45</v>
      </c>
      <c r="B825" s="11" t="s">
        <v>1732</v>
      </c>
      <c r="C825" s="11" t="s">
        <v>65</v>
      </c>
      <c r="D825" s="11" t="s">
        <v>120</v>
      </c>
      <c r="E825" s="20">
        <v>43227</v>
      </c>
      <c r="F825" s="35">
        <v>0.66666666666666663</v>
      </c>
      <c r="G825" s="17">
        <v>10</v>
      </c>
      <c r="H825" s="17">
        <v>5020</v>
      </c>
    </row>
    <row r="826" spans="1:8" x14ac:dyDescent="0.2">
      <c r="A826" s="11" t="s">
        <v>32</v>
      </c>
      <c r="B826" s="11" t="s">
        <v>1732</v>
      </c>
      <c r="C826" s="11" t="s">
        <v>65</v>
      </c>
      <c r="D826" s="11" t="s">
        <v>219</v>
      </c>
      <c r="E826" s="20">
        <v>43149</v>
      </c>
      <c r="F826" s="35">
        <v>0.5625</v>
      </c>
      <c r="G826" s="17">
        <v>15</v>
      </c>
      <c r="H826" s="17">
        <v>20160</v>
      </c>
    </row>
    <row r="827" spans="1:8" x14ac:dyDescent="0.2">
      <c r="A827" s="11" t="s">
        <v>78</v>
      </c>
      <c r="B827" s="11" t="s">
        <v>1733</v>
      </c>
      <c r="C827" s="11" t="s">
        <v>24</v>
      </c>
      <c r="D827" s="11" t="s">
        <v>219</v>
      </c>
      <c r="E827" s="20">
        <v>43357</v>
      </c>
      <c r="F827" s="35">
        <v>0.57986111111111105</v>
      </c>
      <c r="G827" s="17">
        <v>2</v>
      </c>
      <c r="H827" s="17">
        <v>1152</v>
      </c>
    </row>
    <row r="828" spans="1:8" x14ac:dyDescent="0.2">
      <c r="A828" s="11" t="s">
        <v>75</v>
      </c>
      <c r="B828" s="11" t="s">
        <v>1735</v>
      </c>
      <c r="C828" s="11" t="s">
        <v>65</v>
      </c>
      <c r="D828" s="11" t="s">
        <v>120</v>
      </c>
      <c r="E828" s="20">
        <v>43045</v>
      </c>
      <c r="F828" s="35">
        <v>0.41319444444444442</v>
      </c>
      <c r="G828" s="17">
        <v>2</v>
      </c>
      <c r="H828" s="17">
        <v>974</v>
      </c>
    </row>
    <row r="829" spans="1:8" x14ac:dyDescent="0.2">
      <c r="A829" s="11" t="s">
        <v>32</v>
      </c>
      <c r="B829" s="11" t="s">
        <v>1732</v>
      </c>
      <c r="C829" s="11" t="s">
        <v>65</v>
      </c>
      <c r="D829" s="11" t="s">
        <v>120</v>
      </c>
      <c r="E829" s="20">
        <v>43394</v>
      </c>
      <c r="F829" s="35">
        <v>0.54513888888888884</v>
      </c>
      <c r="G829" s="17">
        <v>13</v>
      </c>
      <c r="H829" s="17">
        <v>5681</v>
      </c>
    </row>
    <row r="830" spans="1:8" x14ac:dyDescent="0.2">
      <c r="A830" s="11" t="s">
        <v>78</v>
      </c>
      <c r="B830" s="11" t="s">
        <v>1735</v>
      </c>
      <c r="C830" s="11" t="s">
        <v>33</v>
      </c>
      <c r="D830" s="11" t="s">
        <v>34</v>
      </c>
      <c r="E830" s="20">
        <v>43566</v>
      </c>
      <c r="F830" s="35">
        <v>0.51388888888888884</v>
      </c>
      <c r="G830" s="17">
        <v>12</v>
      </c>
      <c r="H830" s="17">
        <v>8880</v>
      </c>
    </row>
    <row r="831" spans="1:8" x14ac:dyDescent="0.2">
      <c r="A831" s="11" t="s">
        <v>54</v>
      </c>
      <c r="B831" s="11" t="s">
        <v>1735</v>
      </c>
      <c r="C831" s="11" t="s">
        <v>40</v>
      </c>
      <c r="D831" s="11" t="s">
        <v>219</v>
      </c>
      <c r="E831" s="20">
        <v>43246</v>
      </c>
      <c r="F831" s="35">
        <v>0.64930555555555547</v>
      </c>
      <c r="G831" s="17">
        <v>9</v>
      </c>
      <c r="H831" s="17">
        <v>6165</v>
      </c>
    </row>
    <row r="832" spans="1:8" x14ac:dyDescent="0.2">
      <c r="A832" s="11" t="s">
        <v>114</v>
      </c>
      <c r="B832" s="11" t="s">
        <v>1735</v>
      </c>
      <c r="C832" s="11" t="s">
        <v>40</v>
      </c>
      <c r="D832" s="11" t="s">
        <v>219</v>
      </c>
      <c r="E832" s="20">
        <v>43336</v>
      </c>
      <c r="F832" s="35">
        <v>0.41666666666666663</v>
      </c>
      <c r="G832" s="17">
        <v>9</v>
      </c>
      <c r="H832" s="17">
        <v>6939</v>
      </c>
    </row>
    <row r="833" spans="1:8" x14ac:dyDescent="0.2">
      <c r="A833" s="11" t="s">
        <v>114</v>
      </c>
      <c r="B833" s="11" t="s">
        <v>1732</v>
      </c>
      <c r="C833" s="11" t="s">
        <v>65</v>
      </c>
      <c r="D833" s="11" t="s">
        <v>41</v>
      </c>
      <c r="E833" s="20">
        <v>43219</v>
      </c>
      <c r="F833" s="35">
        <v>0.50347222222222221</v>
      </c>
      <c r="G833" s="17">
        <v>1</v>
      </c>
      <c r="H833" s="17">
        <v>1272</v>
      </c>
    </row>
    <row r="834" spans="1:8" x14ac:dyDescent="0.2">
      <c r="A834" s="11" t="s">
        <v>89</v>
      </c>
      <c r="B834" s="11" t="s">
        <v>1731</v>
      </c>
      <c r="C834" s="11" t="s">
        <v>24</v>
      </c>
      <c r="D834" s="11" t="s">
        <v>219</v>
      </c>
      <c r="E834" s="20">
        <v>43560</v>
      </c>
      <c r="F834" s="35">
        <v>0.34722222222222221</v>
      </c>
      <c r="G834" s="17">
        <v>5</v>
      </c>
      <c r="H834" s="17">
        <v>3300</v>
      </c>
    </row>
    <row r="835" spans="1:8" x14ac:dyDescent="0.2">
      <c r="A835" s="11" t="s">
        <v>54</v>
      </c>
      <c r="B835" s="11" t="s">
        <v>1732</v>
      </c>
      <c r="C835" s="11" t="s">
        <v>24</v>
      </c>
      <c r="D835" s="11" t="s">
        <v>120</v>
      </c>
      <c r="E835" s="20">
        <v>43022</v>
      </c>
      <c r="F835" s="35">
        <v>0.46875</v>
      </c>
      <c r="G835" s="17">
        <v>6</v>
      </c>
      <c r="H835" s="17">
        <v>8262</v>
      </c>
    </row>
    <row r="836" spans="1:8" x14ac:dyDescent="0.2">
      <c r="A836" s="11" t="s">
        <v>89</v>
      </c>
      <c r="B836" s="11" t="s">
        <v>1735</v>
      </c>
      <c r="C836" s="11" t="s">
        <v>24</v>
      </c>
      <c r="D836" s="11" t="s">
        <v>34</v>
      </c>
      <c r="E836" s="20">
        <v>43262</v>
      </c>
      <c r="F836" s="35">
        <v>0.55208333333333326</v>
      </c>
      <c r="G836" s="17">
        <v>19</v>
      </c>
      <c r="H836" s="17">
        <v>6536</v>
      </c>
    </row>
    <row r="837" spans="1:8" x14ac:dyDescent="0.2">
      <c r="A837" s="11" t="s">
        <v>114</v>
      </c>
      <c r="B837" s="11" t="s">
        <v>1732</v>
      </c>
      <c r="C837" s="11" t="s">
        <v>40</v>
      </c>
      <c r="D837" s="11" t="s">
        <v>41</v>
      </c>
      <c r="E837" s="20">
        <v>42876</v>
      </c>
      <c r="F837" s="35">
        <v>0.66319444444444442</v>
      </c>
      <c r="G837" s="17">
        <v>4</v>
      </c>
      <c r="H837" s="21">
        <v>3388</v>
      </c>
    </row>
    <row r="838" spans="1:8" x14ac:dyDescent="0.2">
      <c r="A838" s="11" t="s">
        <v>32</v>
      </c>
      <c r="B838" s="11" t="s">
        <v>1734</v>
      </c>
      <c r="C838" s="11" t="s">
        <v>65</v>
      </c>
      <c r="D838" s="11" t="s">
        <v>34</v>
      </c>
      <c r="E838" s="20">
        <v>43533</v>
      </c>
      <c r="F838" s="35">
        <v>0.43402777777777773</v>
      </c>
      <c r="G838" s="17">
        <v>19</v>
      </c>
      <c r="H838" s="17">
        <v>15409</v>
      </c>
    </row>
    <row r="839" spans="1:8" x14ac:dyDescent="0.2">
      <c r="A839" s="11" t="s">
        <v>117</v>
      </c>
      <c r="B839" s="11" t="s">
        <v>1731</v>
      </c>
      <c r="C839" s="11" t="s">
        <v>40</v>
      </c>
      <c r="D839" s="11" t="s">
        <v>120</v>
      </c>
      <c r="E839" s="20">
        <v>43388</v>
      </c>
      <c r="F839" s="35">
        <v>0.60416666666666663</v>
      </c>
      <c r="G839" s="17">
        <v>3</v>
      </c>
      <c r="H839" s="17">
        <v>1977</v>
      </c>
    </row>
    <row r="840" spans="1:8" x14ac:dyDescent="0.2">
      <c r="A840" s="11" t="s">
        <v>23</v>
      </c>
      <c r="B840" s="11" t="s">
        <v>1734</v>
      </c>
      <c r="C840" s="11" t="s">
        <v>33</v>
      </c>
      <c r="D840" s="11" t="s">
        <v>34</v>
      </c>
      <c r="E840" s="20">
        <v>43393</v>
      </c>
      <c r="F840" s="35">
        <v>0.55208333333333326</v>
      </c>
      <c r="G840" s="17">
        <v>10</v>
      </c>
      <c r="H840" s="17">
        <v>6120</v>
      </c>
    </row>
    <row r="841" spans="1:8" x14ac:dyDescent="0.2">
      <c r="A841" s="11" t="s">
        <v>64</v>
      </c>
      <c r="B841" s="11" t="s">
        <v>1733</v>
      </c>
      <c r="C841" s="11" t="s">
        <v>24</v>
      </c>
      <c r="D841" s="11" t="s">
        <v>34</v>
      </c>
      <c r="E841" s="20">
        <v>43044</v>
      </c>
      <c r="F841" s="35">
        <v>0.36805555555555552</v>
      </c>
      <c r="G841" s="17">
        <v>8</v>
      </c>
      <c r="H841" s="17">
        <v>7704</v>
      </c>
    </row>
    <row r="842" spans="1:8" x14ac:dyDescent="0.2">
      <c r="A842" s="11" t="s">
        <v>75</v>
      </c>
      <c r="B842" s="11" t="s">
        <v>1732</v>
      </c>
      <c r="C842" s="11" t="s">
        <v>24</v>
      </c>
      <c r="D842" s="11" t="s">
        <v>34</v>
      </c>
      <c r="E842" s="20">
        <v>42908</v>
      </c>
      <c r="F842" s="35">
        <v>0.4236111111111111</v>
      </c>
      <c r="G842" s="17">
        <v>20</v>
      </c>
      <c r="H842" s="17">
        <v>38040</v>
      </c>
    </row>
    <row r="843" spans="1:8" x14ac:dyDescent="0.2">
      <c r="A843" s="11" t="s">
        <v>78</v>
      </c>
      <c r="B843" s="11" t="s">
        <v>1735</v>
      </c>
      <c r="C843" s="11" t="s">
        <v>33</v>
      </c>
      <c r="D843" s="11" t="s">
        <v>219</v>
      </c>
      <c r="E843" s="20">
        <v>43043</v>
      </c>
      <c r="F843" s="35">
        <v>0.43402777777777773</v>
      </c>
      <c r="G843" s="17">
        <v>2</v>
      </c>
      <c r="H843" s="17">
        <v>1286</v>
      </c>
    </row>
    <row r="844" spans="1:8" x14ac:dyDescent="0.2">
      <c r="A844" s="11" t="s">
        <v>45</v>
      </c>
      <c r="B844" s="11" t="s">
        <v>1731</v>
      </c>
      <c r="C844" s="11" t="s">
        <v>40</v>
      </c>
      <c r="D844" s="11" t="s">
        <v>120</v>
      </c>
      <c r="E844" s="20">
        <v>43237</v>
      </c>
      <c r="F844" s="35">
        <v>0.58680555555555547</v>
      </c>
      <c r="G844" s="17">
        <v>11</v>
      </c>
      <c r="H844" s="17">
        <v>4664</v>
      </c>
    </row>
    <row r="845" spans="1:8" x14ac:dyDescent="0.2">
      <c r="A845" s="11" t="s">
        <v>32</v>
      </c>
      <c r="B845" s="11" t="s">
        <v>1731</v>
      </c>
      <c r="C845" s="11" t="s">
        <v>65</v>
      </c>
      <c r="D845" s="11" t="s">
        <v>41</v>
      </c>
      <c r="E845" s="20">
        <v>43560</v>
      </c>
      <c r="F845" s="35">
        <v>0.72916666666666663</v>
      </c>
      <c r="G845" s="17">
        <v>4</v>
      </c>
      <c r="H845" s="17">
        <v>2436</v>
      </c>
    </row>
    <row r="846" spans="1:8" x14ac:dyDescent="0.2">
      <c r="A846" s="11" t="s">
        <v>54</v>
      </c>
      <c r="B846" s="11" t="s">
        <v>1731</v>
      </c>
      <c r="C846" s="11" t="s">
        <v>65</v>
      </c>
      <c r="D846" s="11" t="s">
        <v>120</v>
      </c>
      <c r="E846" s="20">
        <v>43560</v>
      </c>
      <c r="F846" s="35">
        <v>0.53472222222222221</v>
      </c>
      <c r="G846" s="17">
        <v>7</v>
      </c>
      <c r="H846" s="17">
        <v>3346</v>
      </c>
    </row>
    <row r="847" spans="1:8" x14ac:dyDescent="0.2">
      <c r="A847" s="11" t="s">
        <v>32</v>
      </c>
      <c r="B847" s="11" t="s">
        <v>1733</v>
      </c>
      <c r="C847" s="11" t="s">
        <v>65</v>
      </c>
      <c r="D847" s="11" t="s">
        <v>34</v>
      </c>
      <c r="E847" s="20">
        <v>43161</v>
      </c>
      <c r="F847" s="35">
        <v>0.48263888888888884</v>
      </c>
      <c r="G847" s="17">
        <v>10</v>
      </c>
      <c r="H847" s="17">
        <v>14400</v>
      </c>
    </row>
    <row r="848" spans="1:8" x14ac:dyDescent="0.2">
      <c r="A848" s="11" t="s">
        <v>117</v>
      </c>
      <c r="B848" s="11" t="s">
        <v>1733</v>
      </c>
      <c r="C848" s="11" t="s">
        <v>33</v>
      </c>
      <c r="D848" s="11" t="s">
        <v>41</v>
      </c>
      <c r="E848" s="20">
        <v>43042</v>
      </c>
      <c r="F848" s="35">
        <v>0.52430555555555558</v>
      </c>
      <c r="G848" s="17">
        <v>2</v>
      </c>
      <c r="H848" s="17">
        <v>1446</v>
      </c>
    </row>
    <row r="849" spans="1:8" x14ac:dyDescent="0.2">
      <c r="A849" s="11" t="s">
        <v>117</v>
      </c>
      <c r="B849" s="11" t="s">
        <v>1735</v>
      </c>
      <c r="C849" s="11" t="s">
        <v>40</v>
      </c>
      <c r="D849" s="11" t="s">
        <v>41</v>
      </c>
      <c r="E849" s="20">
        <v>43042</v>
      </c>
      <c r="F849" s="35">
        <v>0.57291666666666663</v>
      </c>
      <c r="G849" s="17">
        <v>6</v>
      </c>
      <c r="H849" s="17">
        <v>2334</v>
      </c>
    </row>
    <row r="850" spans="1:8" x14ac:dyDescent="0.2">
      <c r="A850" s="11" t="s">
        <v>45</v>
      </c>
      <c r="B850" s="11" t="s">
        <v>1732</v>
      </c>
      <c r="C850" s="11" t="s">
        <v>65</v>
      </c>
      <c r="D850" s="11" t="s">
        <v>25</v>
      </c>
      <c r="E850" s="20">
        <v>43042</v>
      </c>
      <c r="F850" s="35">
        <v>0.6875</v>
      </c>
      <c r="G850" s="17">
        <v>13</v>
      </c>
      <c r="H850" s="17">
        <v>13910</v>
      </c>
    </row>
    <row r="851" spans="1:8" x14ac:dyDescent="0.2">
      <c r="A851" s="11" t="s">
        <v>49</v>
      </c>
      <c r="B851" s="11" t="s">
        <v>1731</v>
      </c>
      <c r="C851" s="11" t="s">
        <v>24</v>
      </c>
      <c r="D851" s="11" t="s">
        <v>25</v>
      </c>
      <c r="E851" s="20">
        <v>43126</v>
      </c>
      <c r="F851" s="35">
        <v>0.34722222222222221</v>
      </c>
      <c r="G851" s="17">
        <v>4</v>
      </c>
      <c r="H851" s="17">
        <v>2108</v>
      </c>
    </row>
    <row r="852" spans="1:8" x14ac:dyDescent="0.2">
      <c r="A852" s="11" t="s">
        <v>114</v>
      </c>
      <c r="B852" s="11" t="s">
        <v>1731</v>
      </c>
      <c r="C852" s="11" t="s">
        <v>65</v>
      </c>
      <c r="D852" s="11" t="s">
        <v>41</v>
      </c>
      <c r="E852" s="20">
        <v>42912</v>
      </c>
      <c r="F852" s="35">
        <v>0.51041666666666663</v>
      </c>
      <c r="G852" s="17">
        <v>11</v>
      </c>
      <c r="H852" s="21">
        <v>3795</v>
      </c>
    </row>
    <row r="853" spans="1:8" x14ac:dyDescent="0.2">
      <c r="A853" s="11" t="s">
        <v>45</v>
      </c>
      <c r="B853" s="11" t="s">
        <v>1733</v>
      </c>
      <c r="C853" s="11" t="s">
        <v>40</v>
      </c>
      <c r="D853" s="11" t="s">
        <v>219</v>
      </c>
      <c r="E853" s="20">
        <v>43190</v>
      </c>
      <c r="F853" s="35">
        <v>0.57986111111111105</v>
      </c>
      <c r="G853" s="17">
        <v>7</v>
      </c>
      <c r="H853" s="17">
        <v>6132</v>
      </c>
    </row>
    <row r="854" spans="1:8" x14ac:dyDescent="0.2">
      <c r="A854" s="11" t="s">
        <v>45</v>
      </c>
      <c r="B854" s="11" t="s">
        <v>1732</v>
      </c>
      <c r="C854" s="11" t="s">
        <v>65</v>
      </c>
      <c r="D854" s="11" t="s">
        <v>41</v>
      </c>
      <c r="E854" s="20">
        <v>43303</v>
      </c>
      <c r="F854" s="35">
        <v>0.625</v>
      </c>
      <c r="G854" s="17">
        <v>6</v>
      </c>
      <c r="H854" s="17">
        <v>7836</v>
      </c>
    </row>
    <row r="855" spans="1:8" x14ac:dyDescent="0.2">
      <c r="A855" s="11" t="s">
        <v>64</v>
      </c>
      <c r="B855" s="11" t="s">
        <v>1735</v>
      </c>
      <c r="C855" s="11" t="s">
        <v>40</v>
      </c>
      <c r="D855" s="11" t="s">
        <v>34</v>
      </c>
      <c r="E855" s="20">
        <v>43556</v>
      </c>
      <c r="F855" s="35">
        <v>0.49305555555555552</v>
      </c>
      <c r="G855" s="17">
        <v>11</v>
      </c>
      <c r="H855" s="17">
        <v>4972</v>
      </c>
    </row>
    <row r="856" spans="1:8" x14ac:dyDescent="0.2">
      <c r="A856" s="11" t="s">
        <v>32</v>
      </c>
      <c r="B856" s="11" t="s">
        <v>1735</v>
      </c>
      <c r="C856" s="11" t="s">
        <v>24</v>
      </c>
      <c r="D856" s="11" t="s">
        <v>219</v>
      </c>
      <c r="E856" s="20">
        <v>43283</v>
      </c>
      <c r="F856" s="35">
        <v>0.46527777777777773</v>
      </c>
      <c r="G856" s="17">
        <v>4</v>
      </c>
      <c r="H856" s="17">
        <v>1932</v>
      </c>
    </row>
    <row r="857" spans="1:8" x14ac:dyDescent="0.2">
      <c r="A857" s="11" t="s">
        <v>49</v>
      </c>
      <c r="B857" s="11" t="s">
        <v>1731</v>
      </c>
      <c r="C857" s="11" t="s">
        <v>40</v>
      </c>
      <c r="D857" s="11" t="s">
        <v>219</v>
      </c>
      <c r="E857" s="20">
        <v>42951</v>
      </c>
      <c r="F857" s="35">
        <v>0.49652777777777773</v>
      </c>
      <c r="G857" s="17">
        <v>12</v>
      </c>
      <c r="H857" s="17">
        <v>3672</v>
      </c>
    </row>
    <row r="858" spans="1:8" x14ac:dyDescent="0.2">
      <c r="A858" s="11" t="s">
        <v>32</v>
      </c>
      <c r="B858" s="11" t="s">
        <v>1733</v>
      </c>
      <c r="C858" s="11" t="s">
        <v>40</v>
      </c>
      <c r="D858" s="11" t="s">
        <v>34</v>
      </c>
      <c r="E858" s="20">
        <v>42888</v>
      </c>
      <c r="F858" s="35">
        <v>0.48263888888888884</v>
      </c>
      <c r="G858" s="17">
        <v>14</v>
      </c>
      <c r="H858" s="17">
        <v>10402</v>
      </c>
    </row>
    <row r="859" spans="1:8" x14ac:dyDescent="0.2">
      <c r="A859" s="11" t="s">
        <v>32</v>
      </c>
      <c r="B859" s="11" t="s">
        <v>1735</v>
      </c>
      <c r="C859" s="11" t="s">
        <v>24</v>
      </c>
      <c r="D859" s="11" t="s">
        <v>219</v>
      </c>
      <c r="E859" s="20">
        <v>43266</v>
      </c>
      <c r="F859" s="35">
        <v>0.49652777777777773</v>
      </c>
      <c r="G859" s="17">
        <v>3</v>
      </c>
      <c r="H859" s="17">
        <v>1560</v>
      </c>
    </row>
    <row r="860" spans="1:8" x14ac:dyDescent="0.2">
      <c r="A860" s="11" t="s">
        <v>32</v>
      </c>
      <c r="B860" s="11" t="s">
        <v>1734</v>
      </c>
      <c r="C860" s="11" t="s">
        <v>33</v>
      </c>
      <c r="D860" s="11" t="s">
        <v>34</v>
      </c>
      <c r="E860" s="20">
        <v>43038</v>
      </c>
      <c r="F860" s="35">
        <v>0.68402777777777779</v>
      </c>
      <c r="G860" s="17">
        <v>14</v>
      </c>
      <c r="H860" s="17">
        <v>8862</v>
      </c>
    </row>
    <row r="861" spans="1:8" x14ac:dyDescent="0.2">
      <c r="A861" s="11" t="s">
        <v>32</v>
      </c>
      <c r="B861" s="11" t="s">
        <v>1735</v>
      </c>
      <c r="C861" s="11" t="s">
        <v>40</v>
      </c>
      <c r="D861" s="11" t="s">
        <v>120</v>
      </c>
      <c r="E861" s="20">
        <v>42917</v>
      </c>
      <c r="F861" s="35">
        <v>0.51736111111111105</v>
      </c>
      <c r="G861" s="17">
        <v>9</v>
      </c>
      <c r="H861" s="21">
        <v>5742</v>
      </c>
    </row>
    <row r="862" spans="1:8" x14ac:dyDescent="0.2">
      <c r="A862" s="11" t="s">
        <v>78</v>
      </c>
      <c r="B862" s="11" t="s">
        <v>1734</v>
      </c>
      <c r="C862" s="11" t="s">
        <v>65</v>
      </c>
      <c r="D862" s="11" t="s">
        <v>120</v>
      </c>
      <c r="E862" s="20">
        <v>43038</v>
      </c>
      <c r="F862" s="35">
        <v>0.73263888888888884</v>
      </c>
      <c r="G862" s="17">
        <v>3</v>
      </c>
      <c r="H862" s="17">
        <v>2649</v>
      </c>
    </row>
    <row r="863" spans="1:8" x14ac:dyDescent="0.2">
      <c r="A863" s="11" t="s">
        <v>45</v>
      </c>
      <c r="B863" s="11" t="s">
        <v>1735</v>
      </c>
      <c r="C863" s="11" t="s">
        <v>65</v>
      </c>
      <c r="D863" s="11" t="s">
        <v>120</v>
      </c>
      <c r="E863" s="20">
        <v>43525</v>
      </c>
      <c r="F863" s="35">
        <v>0.52083333333333326</v>
      </c>
      <c r="G863" s="17">
        <v>10</v>
      </c>
      <c r="H863" s="17">
        <v>4450</v>
      </c>
    </row>
    <row r="864" spans="1:8" x14ac:dyDescent="0.2">
      <c r="A864" s="11" t="s">
        <v>23</v>
      </c>
      <c r="B864" s="11" t="s">
        <v>1732</v>
      </c>
      <c r="C864" s="11" t="s">
        <v>33</v>
      </c>
      <c r="D864" s="11" t="s">
        <v>120</v>
      </c>
      <c r="E864" s="20">
        <v>43038</v>
      </c>
      <c r="F864" s="35">
        <v>0.54861111111111105</v>
      </c>
      <c r="G864" s="17">
        <v>14</v>
      </c>
      <c r="H864" s="17">
        <v>21434</v>
      </c>
    </row>
    <row r="865" spans="1:8" x14ac:dyDescent="0.2">
      <c r="A865" s="11" t="s">
        <v>49</v>
      </c>
      <c r="B865" s="11" t="s">
        <v>1731</v>
      </c>
      <c r="C865" s="11" t="s">
        <v>40</v>
      </c>
      <c r="D865" s="11" t="s">
        <v>25</v>
      </c>
      <c r="E865" s="20">
        <v>43211</v>
      </c>
      <c r="F865" s="35">
        <v>0.74652777777777779</v>
      </c>
      <c r="G865" s="17">
        <v>4</v>
      </c>
      <c r="H865" s="17">
        <v>2564</v>
      </c>
    </row>
    <row r="866" spans="1:8" x14ac:dyDescent="0.2">
      <c r="A866" s="11" t="s">
        <v>23</v>
      </c>
      <c r="B866" s="11" t="s">
        <v>1734</v>
      </c>
      <c r="C866" s="11" t="s">
        <v>33</v>
      </c>
      <c r="D866" s="11" t="s">
        <v>219</v>
      </c>
      <c r="E866" s="20">
        <v>42973</v>
      </c>
      <c r="F866" s="35">
        <v>0.50694444444444442</v>
      </c>
      <c r="G866" s="17">
        <v>6</v>
      </c>
      <c r="H866" s="17">
        <v>4134</v>
      </c>
    </row>
    <row r="867" spans="1:8" x14ac:dyDescent="0.2">
      <c r="A867" s="11" t="s">
        <v>114</v>
      </c>
      <c r="B867" s="11" t="s">
        <v>1732</v>
      </c>
      <c r="C867" s="11" t="s">
        <v>24</v>
      </c>
      <c r="D867" s="11" t="s">
        <v>34</v>
      </c>
      <c r="E867" s="20">
        <v>43206</v>
      </c>
      <c r="F867" s="35">
        <v>0.74652777777777779</v>
      </c>
      <c r="G867" s="17">
        <v>16</v>
      </c>
      <c r="H867" s="17">
        <v>19232</v>
      </c>
    </row>
    <row r="868" spans="1:8" x14ac:dyDescent="0.2">
      <c r="A868" s="11" t="s">
        <v>54</v>
      </c>
      <c r="B868" s="11" t="s">
        <v>1735</v>
      </c>
      <c r="C868" s="11" t="s">
        <v>24</v>
      </c>
      <c r="D868" s="11" t="s">
        <v>34</v>
      </c>
      <c r="E868" s="20">
        <v>43038</v>
      </c>
      <c r="F868" s="35">
        <v>0.67013888888888884</v>
      </c>
      <c r="G868" s="17">
        <v>9</v>
      </c>
      <c r="H868" s="17">
        <v>4455</v>
      </c>
    </row>
    <row r="869" spans="1:8" x14ac:dyDescent="0.2">
      <c r="A869" s="11" t="s">
        <v>23</v>
      </c>
      <c r="B869" s="11" t="s">
        <v>1731</v>
      </c>
      <c r="C869" s="11" t="s">
        <v>24</v>
      </c>
      <c r="D869" s="11" t="s">
        <v>219</v>
      </c>
      <c r="E869" s="20">
        <v>43037</v>
      </c>
      <c r="F869" s="35">
        <v>0.375</v>
      </c>
      <c r="G869" s="17">
        <v>14</v>
      </c>
      <c r="H869" s="17">
        <v>5208</v>
      </c>
    </row>
    <row r="870" spans="1:8" x14ac:dyDescent="0.2">
      <c r="A870" s="11" t="s">
        <v>89</v>
      </c>
      <c r="B870" s="11" t="s">
        <v>1731</v>
      </c>
      <c r="C870" s="11" t="s">
        <v>33</v>
      </c>
      <c r="D870" s="11" t="s">
        <v>219</v>
      </c>
      <c r="E870" s="20">
        <v>43307</v>
      </c>
      <c r="F870" s="35">
        <v>0.46527777777777773</v>
      </c>
      <c r="G870" s="17">
        <v>9</v>
      </c>
      <c r="H870" s="17">
        <v>5445</v>
      </c>
    </row>
    <row r="871" spans="1:8" x14ac:dyDescent="0.2">
      <c r="A871" s="11" t="s">
        <v>125</v>
      </c>
      <c r="B871" s="11" t="s">
        <v>1732</v>
      </c>
      <c r="C871" s="11" t="s">
        <v>65</v>
      </c>
      <c r="D871" s="11" t="s">
        <v>25</v>
      </c>
      <c r="E871" s="20">
        <v>43269</v>
      </c>
      <c r="F871" s="35">
        <v>0.66666666666666663</v>
      </c>
      <c r="G871" s="17">
        <v>11</v>
      </c>
      <c r="H871" s="17">
        <v>9515</v>
      </c>
    </row>
    <row r="872" spans="1:8" x14ac:dyDescent="0.2">
      <c r="A872" s="11" t="s">
        <v>54</v>
      </c>
      <c r="B872" s="11" t="s">
        <v>1731</v>
      </c>
      <c r="C872" s="11" t="s">
        <v>65</v>
      </c>
      <c r="D872" s="11" t="s">
        <v>120</v>
      </c>
      <c r="E872" s="20">
        <v>43520</v>
      </c>
      <c r="F872" s="35">
        <v>0.5625</v>
      </c>
      <c r="G872" s="17">
        <v>7</v>
      </c>
      <c r="H872" s="17">
        <v>2737</v>
      </c>
    </row>
    <row r="873" spans="1:8" x14ac:dyDescent="0.2">
      <c r="A873" s="11" t="s">
        <v>125</v>
      </c>
      <c r="B873" s="11" t="s">
        <v>1735</v>
      </c>
      <c r="C873" s="11" t="s">
        <v>24</v>
      </c>
      <c r="D873" s="11" t="s">
        <v>219</v>
      </c>
      <c r="E873" s="20">
        <v>42937</v>
      </c>
      <c r="F873" s="35">
        <v>0.50694444444444442</v>
      </c>
      <c r="G873" s="17">
        <v>9</v>
      </c>
      <c r="H873" s="17">
        <v>3006</v>
      </c>
    </row>
    <row r="874" spans="1:8" x14ac:dyDescent="0.2">
      <c r="A874" s="11" t="s">
        <v>75</v>
      </c>
      <c r="B874" s="11" t="s">
        <v>1734</v>
      </c>
      <c r="C874" s="11" t="s">
        <v>40</v>
      </c>
      <c r="D874" s="11" t="s">
        <v>34</v>
      </c>
      <c r="E874" s="20">
        <v>43035</v>
      </c>
      <c r="F874" s="35">
        <v>0.49305555555555552</v>
      </c>
      <c r="G874" s="17">
        <v>15</v>
      </c>
      <c r="H874" s="17">
        <v>8910</v>
      </c>
    </row>
    <row r="875" spans="1:8" x14ac:dyDescent="0.2">
      <c r="A875" s="11" t="s">
        <v>125</v>
      </c>
      <c r="B875" s="11" t="s">
        <v>1733</v>
      </c>
      <c r="C875" s="11" t="s">
        <v>24</v>
      </c>
      <c r="D875" s="11" t="s">
        <v>25</v>
      </c>
      <c r="E875" s="20">
        <v>43035</v>
      </c>
      <c r="F875" s="35">
        <v>0.64930555555555547</v>
      </c>
      <c r="G875" s="17">
        <v>12</v>
      </c>
      <c r="H875" s="17">
        <v>14340</v>
      </c>
    </row>
    <row r="876" spans="1:8" x14ac:dyDescent="0.2">
      <c r="A876" s="11" t="s">
        <v>54</v>
      </c>
      <c r="B876" s="11" t="s">
        <v>1733</v>
      </c>
      <c r="C876" s="11" t="s">
        <v>24</v>
      </c>
      <c r="D876" s="11" t="s">
        <v>120</v>
      </c>
      <c r="E876" s="20">
        <v>43003</v>
      </c>
      <c r="F876" s="35">
        <v>0.43402777777777773</v>
      </c>
      <c r="G876" s="17">
        <v>6</v>
      </c>
      <c r="H876" s="17">
        <v>8562</v>
      </c>
    </row>
    <row r="877" spans="1:8" x14ac:dyDescent="0.2">
      <c r="A877" s="11" t="s">
        <v>78</v>
      </c>
      <c r="B877" s="11" t="s">
        <v>1731</v>
      </c>
      <c r="C877" s="11" t="s">
        <v>24</v>
      </c>
      <c r="D877" s="11" t="s">
        <v>120</v>
      </c>
      <c r="E877" s="20">
        <v>43031</v>
      </c>
      <c r="F877" s="35">
        <v>0.65972222222222221</v>
      </c>
      <c r="G877" s="17">
        <v>7</v>
      </c>
      <c r="H877" s="17">
        <v>2716</v>
      </c>
    </row>
    <row r="878" spans="1:8" x14ac:dyDescent="0.2">
      <c r="A878" s="11" t="s">
        <v>114</v>
      </c>
      <c r="B878" s="11" t="s">
        <v>1733</v>
      </c>
      <c r="C878" s="11" t="s">
        <v>33</v>
      </c>
      <c r="D878" s="11" t="s">
        <v>41</v>
      </c>
      <c r="E878" s="20">
        <v>43168</v>
      </c>
      <c r="F878" s="35">
        <v>0.69791666666666663</v>
      </c>
      <c r="G878" s="17">
        <v>8</v>
      </c>
      <c r="H878" s="17">
        <v>11528</v>
      </c>
    </row>
    <row r="879" spans="1:8" x14ac:dyDescent="0.2">
      <c r="A879" s="11" t="s">
        <v>32</v>
      </c>
      <c r="B879" s="11" t="s">
        <v>1731</v>
      </c>
      <c r="C879" s="11" t="s">
        <v>33</v>
      </c>
      <c r="D879" s="11" t="s">
        <v>34</v>
      </c>
      <c r="E879" s="20">
        <v>43220</v>
      </c>
      <c r="F879" s="35">
        <v>0.66319444444444442</v>
      </c>
      <c r="G879" s="17">
        <v>16</v>
      </c>
      <c r="H879" s="17">
        <v>5296</v>
      </c>
    </row>
    <row r="880" spans="1:8" x14ac:dyDescent="0.2">
      <c r="A880" s="11" t="s">
        <v>64</v>
      </c>
      <c r="B880" s="11" t="s">
        <v>1734</v>
      </c>
      <c r="C880" s="11" t="s">
        <v>40</v>
      </c>
      <c r="D880" s="11" t="s">
        <v>120</v>
      </c>
      <c r="E880" s="20">
        <v>43031</v>
      </c>
      <c r="F880" s="35">
        <v>0.52777777777777779</v>
      </c>
      <c r="G880" s="17">
        <v>2</v>
      </c>
      <c r="H880" s="17">
        <v>978</v>
      </c>
    </row>
    <row r="881" spans="1:8" x14ac:dyDescent="0.2">
      <c r="A881" s="11" t="s">
        <v>125</v>
      </c>
      <c r="B881" s="11" t="s">
        <v>1733</v>
      </c>
      <c r="C881" s="11" t="s">
        <v>65</v>
      </c>
      <c r="D881" s="11" t="s">
        <v>120</v>
      </c>
      <c r="E881" s="20">
        <v>43533</v>
      </c>
      <c r="F881" s="35">
        <v>0.41319444444444442</v>
      </c>
      <c r="G881" s="17">
        <v>12</v>
      </c>
      <c r="H881" s="17">
        <v>13140</v>
      </c>
    </row>
    <row r="882" spans="1:8" x14ac:dyDescent="0.2">
      <c r="A882" s="11" t="s">
        <v>78</v>
      </c>
      <c r="B882" s="11" t="s">
        <v>1733</v>
      </c>
      <c r="C882" s="11" t="s">
        <v>65</v>
      </c>
      <c r="D882" s="11" t="s">
        <v>41</v>
      </c>
      <c r="E882" s="20">
        <v>43031</v>
      </c>
      <c r="F882" s="35">
        <v>0.58333333333333326</v>
      </c>
      <c r="G882" s="17">
        <v>6</v>
      </c>
      <c r="H882" s="17">
        <v>7968</v>
      </c>
    </row>
    <row r="883" spans="1:8" x14ac:dyDescent="0.2">
      <c r="A883" s="11" t="s">
        <v>49</v>
      </c>
      <c r="B883" s="11" t="s">
        <v>1735</v>
      </c>
      <c r="C883" s="11" t="s">
        <v>40</v>
      </c>
      <c r="D883" s="11" t="s">
        <v>25</v>
      </c>
      <c r="E883" s="20">
        <v>43388</v>
      </c>
      <c r="F883" s="35">
        <v>0.47222222222222221</v>
      </c>
      <c r="G883" s="17">
        <v>5</v>
      </c>
      <c r="H883" s="17">
        <v>2925</v>
      </c>
    </row>
    <row r="884" spans="1:8" x14ac:dyDescent="0.2">
      <c r="A884" s="11" t="s">
        <v>49</v>
      </c>
      <c r="B884" s="11" t="s">
        <v>1731</v>
      </c>
      <c r="C884" s="11" t="s">
        <v>24</v>
      </c>
      <c r="D884" s="11" t="s">
        <v>25</v>
      </c>
      <c r="E884" s="20">
        <v>43549</v>
      </c>
      <c r="F884" s="35">
        <v>0.63888888888888884</v>
      </c>
      <c r="G884" s="17">
        <v>15</v>
      </c>
      <c r="H884" s="17">
        <v>4665</v>
      </c>
    </row>
    <row r="885" spans="1:8" x14ac:dyDescent="0.2">
      <c r="A885" s="11" t="s">
        <v>32</v>
      </c>
      <c r="B885" s="11" t="s">
        <v>1735</v>
      </c>
      <c r="C885" s="11" t="s">
        <v>40</v>
      </c>
      <c r="D885" s="11" t="s">
        <v>41</v>
      </c>
      <c r="E885" s="20">
        <v>43339</v>
      </c>
      <c r="F885" s="35">
        <v>0.65625</v>
      </c>
      <c r="G885" s="17">
        <v>10</v>
      </c>
      <c r="H885" s="17">
        <v>8130</v>
      </c>
    </row>
    <row r="886" spans="1:8" x14ac:dyDescent="0.2">
      <c r="A886" s="11" t="s">
        <v>49</v>
      </c>
      <c r="B886" s="11" t="s">
        <v>1735</v>
      </c>
      <c r="C886" s="11" t="s">
        <v>65</v>
      </c>
      <c r="D886" s="11" t="s">
        <v>25</v>
      </c>
      <c r="E886" s="20">
        <v>43031</v>
      </c>
      <c r="F886" s="35">
        <v>0.62847222222222221</v>
      </c>
      <c r="G886" s="17">
        <v>13</v>
      </c>
      <c r="H886" s="17">
        <v>8086</v>
      </c>
    </row>
    <row r="887" spans="1:8" x14ac:dyDescent="0.2">
      <c r="A887" s="11" t="s">
        <v>23</v>
      </c>
      <c r="B887" s="11" t="s">
        <v>1735</v>
      </c>
      <c r="C887" s="11" t="s">
        <v>65</v>
      </c>
      <c r="D887" s="11" t="s">
        <v>120</v>
      </c>
      <c r="E887" s="20">
        <v>43357</v>
      </c>
      <c r="F887" s="35">
        <v>0.55902777777777779</v>
      </c>
      <c r="G887" s="17">
        <v>5</v>
      </c>
      <c r="H887" s="17">
        <v>3690</v>
      </c>
    </row>
    <row r="888" spans="1:8" x14ac:dyDescent="0.2">
      <c r="A888" s="11" t="s">
        <v>23</v>
      </c>
      <c r="B888" s="11" t="s">
        <v>1734</v>
      </c>
      <c r="C888" s="11" t="s">
        <v>65</v>
      </c>
      <c r="D888" s="11" t="s">
        <v>41</v>
      </c>
      <c r="E888" s="20">
        <v>43030</v>
      </c>
      <c r="F888" s="35">
        <v>0.58680555555555547</v>
      </c>
      <c r="G888" s="17">
        <v>11</v>
      </c>
      <c r="H888" s="17">
        <v>6314</v>
      </c>
    </row>
    <row r="889" spans="1:8" x14ac:dyDescent="0.2">
      <c r="A889" s="11" t="s">
        <v>64</v>
      </c>
      <c r="B889" s="11" t="s">
        <v>1734</v>
      </c>
      <c r="C889" s="11" t="s">
        <v>24</v>
      </c>
      <c r="D889" s="11" t="s">
        <v>34</v>
      </c>
      <c r="E889" s="20">
        <v>43297</v>
      </c>
      <c r="F889" s="35">
        <v>0.71180555555555547</v>
      </c>
      <c r="G889" s="17">
        <v>7</v>
      </c>
      <c r="H889" s="17">
        <v>3255</v>
      </c>
    </row>
    <row r="890" spans="1:8" x14ac:dyDescent="0.2">
      <c r="A890" s="11" t="s">
        <v>49</v>
      </c>
      <c r="B890" s="11" t="s">
        <v>1731</v>
      </c>
      <c r="C890" s="11" t="s">
        <v>65</v>
      </c>
      <c r="D890" s="11" t="s">
        <v>34</v>
      </c>
      <c r="E890" s="20">
        <v>43367</v>
      </c>
      <c r="F890" s="35">
        <v>0.6875</v>
      </c>
      <c r="G890" s="17">
        <v>6</v>
      </c>
      <c r="H890" s="17">
        <v>3150</v>
      </c>
    </row>
    <row r="891" spans="1:8" x14ac:dyDescent="0.2">
      <c r="A891" s="11" t="s">
        <v>23</v>
      </c>
      <c r="B891" s="11" t="s">
        <v>1733</v>
      </c>
      <c r="C891" s="11" t="s">
        <v>40</v>
      </c>
      <c r="D891" s="11" t="s">
        <v>34</v>
      </c>
      <c r="E891" s="20">
        <v>43339</v>
      </c>
      <c r="F891" s="35">
        <v>0.51041666666666663</v>
      </c>
      <c r="G891" s="17">
        <v>8</v>
      </c>
      <c r="H891" s="17">
        <v>6872</v>
      </c>
    </row>
    <row r="892" spans="1:8" x14ac:dyDescent="0.2">
      <c r="A892" s="11" t="s">
        <v>54</v>
      </c>
      <c r="B892" s="11" t="s">
        <v>1735</v>
      </c>
      <c r="C892" s="11" t="s">
        <v>40</v>
      </c>
      <c r="D892" s="11" t="s">
        <v>25</v>
      </c>
      <c r="E892" s="20">
        <v>43000</v>
      </c>
      <c r="F892" s="35">
        <v>0.66319444444444442</v>
      </c>
      <c r="G892" s="17">
        <v>2</v>
      </c>
      <c r="H892" s="17">
        <v>1090</v>
      </c>
    </row>
    <row r="893" spans="1:8" x14ac:dyDescent="0.2">
      <c r="A893" s="11" t="s">
        <v>45</v>
      </c>
      <c r="B893" s="11" t="s">
        <v>1734</v>
      </c>
      <c r="C893" s="11" t="s">
        <v>65</v>
      </c>
      <c r="D893" s="11" t="s">
        <v>25</v>
      </c>
      <c r="E893" s="20">
        <v>43357</v>
      </c>
      <c r="F893" s="35">
        <v>0.55902777777777779</v>
      </c>
      <c r="G893" s="17">
        <v>2</v>
      </c>
      <c r="H893" s="17">
        <v>1466</v>
      </c>
    </row>
    <row r="894" spans="1:8" x14ac:dyDescent="0.2">
      <c r="A894" s="11" t="s">
        <v>78</v>
      </c>
      <c r="B894" s="11" t="s">
        <v>1734</v>
      </c>
      <c r="C894" s="11" t="s">
        <v>24</v>
      </c>
      <c r="D894" s="11" t="s">
        <v>41</v>
      </c>
      <c r="E894" s="20">
        <v>42916</v>
      </c>
      <c r="F894" s="35">
        <v>0.62847222222222221</v>
      </c>
      <c r="G894" s="17">
        <v>8</v>
      </c>
      <c r="H894" s="21">
        <v>5808</v>
      </c>
    </row>
    <row r="895" spans="1:8" x14ac:dyDescent="0.2">
      <c r="A895" s="11" t="s">
        <v>114</v>
      </c>
      <c r="B895" s="11" t="s">
        <v>1731</v>
      </c>
      <c r="C895" s="11" t="s">
        <v>40</v>
      </c>
      <c r="D895" s="11" t="s">
        <v>41</v>
      </c>
      <c r="E895" s="20">
        <v>43388</v>
      </c>
      <c r="F895" s="35">
        <v>0.38194444444444442</v>
      </c>
      <c r="G895" s="17">
        <v>13</v>
      </c>
      <c r="H895" s="17">
        <v>6084</v>
      </c>
    </row>
    <row r="896" spans="1:8" x14ac:dyDescent="0.2">
      <c r="A896" s="11" t="s">
        <v>45</v>
      </c>
      <c r="B896" s="11" t="s">
        <v>1731</v>
      </c>
      <c r="C896" s="11" t="s">
        <v>33</v>
      </c>
      <c r="D896" s="11" t="s">
        <v>34</v>
      </c>
      <c r="E896" s="20">
        <v>43125</v>
      </c>
      <c r="F896" s="35">
        <v>0.57291666666666663</v>
      </c>
      <c r="G896" s="17">
        <v>18</v>
      </c>
      <c r="H896" s="17">
        <v>5670</v>
      </c>
    </row>
    <row r="897" spans="1:8" x14ac:dyDescent="0.2">
      <c r="A897" s="11" t="s">
        <v>64</v>
      </c>
      <c r="B897" s="11" t="s">
        <v>1734</v>
      </c>
      <c r="C897" s="11" t="s">
        <v>65</v>
      </c>
      <c r="D897" s="11" t="s">
        <v>41</v>
      </c>
      <c r="E897" s="20">
        <v>42895</v>
      </c>
      <c r="F897" s="35">
        <v>0.71527777777777779</v>
      </c>
      <c r="G897" s="17">
        <v>9</v>
      </c>
      <c r="H897" s="21">
        <v>4788</v>
      </c>
    </row>
    <row r="898" spans="1:8" x14ac:dyDescent="0.2">
      <c r="A898" s="11" t="s">
        <v>75</v>
      </c>
      <c r="B898" s="11" t="s">
        <v>1734</v>
      </c>
      <c r="C898" s="11" t="s">
        <v>33</v>
      </c>
      <c r="D898" s="11" t="s">
        <v>120</v>
      </c>
      <c r="E898" s="20">
        <v>43539</v>
      </c>
      <c r="F898" s="35">
        <v>0.73611111111111105</v>
      </c>
      <c r="G898" s="17">
        <v>10</v>
      </c>
      <c r="H898" s="17">
        <v>5700</v>
      </c>
    </row>
    <row r="899" spans="1:8" x14ac:dyDescent="0.2">
      <c r="A899" s="11" t="s">
        <v>75</v>
      </c>
      <c r="B899" s="11" t="s">
        <v>1734</v>
      </c>
      <c r="C899" s="11" t="s">
        <v>40</v>
      </c>
      <c r="D899" s="11" t="s">
        <v>34</v>
      </c>
      <c r="E899" s="20">
        <v>42895</v>
      </c>
      <c r="F899" s="35">
        <v>0.36458333333333331</v>
      </c>
      <c r="G899" s="17">
        <v>14</v>
      </c>
      <c r="H899" s="17">
        <v>9618</v>
      </c>
    </row>
    <row r="900" spans="1:8" x14ac:dyDescent="0.2">
      <c r="A900" s="11" t="s">
        <v>114</v>
      </c>
      <c r="B900" s="11" t="s">
        <v>1731</v>
      </c>
      <c r="C900" s="11" t="s">
        <v>65</v>
      </c>
      <c r="D900" s="11" t="s">
        <v>219</v>
      </c>
      <c r="E900" s="20">
        <v>43350</v>
      </c>
      <c r="F900" s="35">
        <v>0.5625</v>
      </c>
      <c r="G900" s="17">
        <v>13</v>
      </c>
      <c r="H900" s="17">
        <v>8996</v>
      </c>
    </row>
    <row r="901" spans="1:8" x14ac:dyDescent="0.2">
      <c r="A901" s="11" t="s">
        <v>64</v>
      </c>
      <c r="B901" s="11" t="s">
        <v>1735</v>
      </c>
      <c r="C901" s="11" t="s">
        <v>24</v>
      </c>
      <c r="D901" s="11" t="s">
        <v>25</v>
      </c>
      <c r="E901" s="20">
        <v>43507</v>
      </c>
      <c r="F901" s="35">
        <v>0.46527777777777773</v>
      </c>
      <c r="G901" s="17">
        <v>1</v>
      </c>
      <c r="H901" s="17">
        <v>796</v>
      </c>
    </row>
    <row r="902" spans="1:8" x14ac:dyDescent="0.2">
      <c r="A902" s="11" t="s">
        <v>64</v>
      </c>
      <c r="B902" s="11" t="s">
        <v>1735</v>
      </c>
      <c r="C902" s="11" t="s">
        <v>33</v>
      </c>
      <c r="D902" s="11" t="s">
        <v>120</v>
      </c>
      <c r="E902" s="20">
        <v>43030</v>
      </c>
      <c r="F902" s="35">
        <v>0.52083333333333326</v>
      </c>
      <c r="G902" s="17">
        <v>14</v>
      </c>
      <c r="H902" s="17">
        <v>12138</v>
      </c>
    </row>
    <row r="903" spans="1:8" x14ac:dyDescent="0.2">
      <c r="A903" s="11" t="s">
        <v>125</v>
      </c>
      <c r="B903" s="11" t="s">
        <v>1732</v>
      </c>
      <c r="C903" s="11" t="s">
        <v>33</v>
      </c>
      <c r="D903" s="11" t="s">
        <v>41</v>
      </c>
      <c r="E903" s="20">
        <v>42888</v>
      </c>
      <c r="F903" s="35">
        <v>0.36805555555555552</v>
      </c>
      <c r="G903" s="17">
        <v>4</v>
      </c>
      <c r="H903" s="21">
        <v>3148</v>
      </c>
    </row>
    <row r="904" spans="1:8" x14ac:dyDescent="0.2">
      <c r="A904" s="11" t="s">
        <v>54</v>
      </c>
      <c r="B904" s="11" t="s">
        <v>1734</v>
      </c>
      <c r="C904" s="11" t="s">
        <v>65</v>
      </c>
      <c r="D904" s="11" t="s">
        <v>41</v>
      </c>
      <c r="E904" s="20">
        <v>42919</v>
      </c>
      <c r="F904" s="35">
        <v>0.56597222222222221</v>
      </c>
      <c r="G904" s="17">
        <v>11</v>
      </c>
      <c r="H904" s="21">
        <v>9746</v>
      </c>
    </row>
    <row r="905" spans="1:8" x14ac:dyDescent="0.2">
      <c r="A905" s="11" t="s">
        <v>78</v>
      </c>
      <c r="B905" s="11" t="s">
        <v>1734</v>
      </c>
      <c r="C905" s="11" t="s">
        <v>40</v>
      </c>
      <c r="D905" s="11" t="s">
        <v>34</v>
      </c>
      <c r="E905" s="20">
        <v>43489</v>
      </c>
      <c r="F905" s="35">
        <v>0.65625</v>
      </c>
      <c r="G905" s="17">
        <v>14</v>
      </c>
      <c r="H905" s="17">
        <v>8008</v>
      </c>
    </row>
    <row r="906" spans="1:8" x14ac:dyDescent="0.2">
      <c r="A906" s="11" t="s">
        <v>54</v>
      </c>
      <c r="B906" s="11" t="s">
        <v>1735</v>
      </c>
      <c r="C906" s="11" t="s">
        <v>65</v>
      </c>
      <c r="D906" s="11" t="s">
        <v>219</v>
      </c>
      <c r="E906" s="20">
        <v>42947</v>
      </c>
      <c r="F906" s="35">
        <v>0.66319444444444442</v>
      </c>
      <c r="G906" s="17">
        <v>8</v>
      </c>
      <c r="H906" s="17">
        <v>5056</v>
      </c>
    </row>
    <row r="907" spans="1:8" x14ac:dyDescent="0.2">
      <c r="A907" s="11" t="s">
        <v>32</v>
      </c>
      <c r="B907" s="11" t="s">
        <v>1732</v>
      </c>
      <c r="C907" s="11" t="s">
        <v>40</v>
      </c>
      <c r="D907" s="11" t="s">
        <v>41</v>
      </c>
      <c r="E907" s="20">
        <v>43380</v>
      </c>
      <c r="F907" s="35">
        <v>0.40625</v>
      </c>
      <c r="G907" s="17">
        <v>3</v>
      </c>
      <c r="H907" s="17">
        <v>1617</v>
      </c>
    </row>
    <row r="908" spans="1:8" x14ac:dyDescent="0.2">
      <c r="A908" s="11" t="s">
        <v>54</v>
      </c>
      <c r="B908" s="11" t="s">
        <v>1732</v>
      </c>
      <c r="C908" s="11" t="s">
        <v>24</v>
      </c>
      <c r="D908" s="11" t="s">
        <v>34</v>
      </c>
      <c r="E908" s="20">
        <v>43171</v>
      </c>
      <c r="F908" s="35">
        <v>0.65972222222222221</v>
      </c>
      <c r="G908" s="17">
        <v>14</v>
      </c>
      <c r="H908" s="17">
        <v>21560</v>
      </c>
    </row>
    <row r="909" spans="1:8" x14ac:dyDescent="0.2">
      <c r="A909" s="11" t="s">
        <v>45</v>
      </c>
      <c r="B909" s="11" t="s">
        <v>1732</v>
      </c>
      <c r="C909" s="11" t="s">
        <v>33</v>
      </c>
      <c r="D909" s="11" t="s">
        <v>219</v>
      </c>
      <c r="E909" s="20">
        <v>42985</v>
      </c>
      <c r="F909" s="35">
        <v>0.61805555555555547</v>
      </c>
      <c r="G909" s="17">
        <v>15</v>
      </c>
      <c r="H909" s="17">
        <v>21090</v>
      </c>
    </row>
    <row r="910" spans="1:8" x14ac:dyDescent="0.2">
      <c r="A910" s="11" t="s">
        <v>78</v>
      </c>
      <c r="B910" s="11" t="s">
        <v>1731</v>
      </c>
      <c r="C910" s="11" t="s">
        <v>33</v>
      </c>
      <c r="D910" s="11" t="s">
        <v>25</v>
      </c>
      <c r="E910" s="20">
        <v>42946</v>
      </c>
      <c r="F910" s="35">
        <v>0.57986111111111105</v>
      </c>
      <c r="G910" s="17">
        <v>3</v>
      </c>
      <c r="H910" s="17">
        <v>990</v>
      </c>
    </row>
    <row r="911" spans="1:8" x14ac:dyDescent="0.2">
      <c r="A911" s="11" t="s">
        <v>49</v>
      </c>
      <c r="B911" s="11" t="s">
        <v>1731</v>
      </c>
      <c r="C911" s="11" t="s">
        <v>40</v>
      </c>
      <c r="D911" s="11" t="s">
        <v>34</v>
      </c>
      <c r="E911" s="20">
        <v>43220</v>
      </c>
      <c r="F911" s="35">
        <v>0.72222222222222221</v>
      </c>
      <c r="G911" s="17">
        <v>6</v>
      </c>
      <c r="H911" s="17">
        <v>3792</v>
      </c>
    </row>
    <row r="912" spans="1:8" x14ac:dyDescent="0.2">
      <c r="A912" s="11" t="s">
        <v>89</v>
      </c>
      <c r="B912" s="11" t="s">
        <v>1733</v>
      </c>
      <c r="C912" s="11" t="s">
        <v>65</v>
      </c>
      <c r="D912" s="11" t="s">
        <v>120</v>
      </c>
      <c r="E912" s="20">
        <v>43304</v>
      </c>
      <c r="F912" s="35">
        <v>0.42708333333333331</v>
      </c>
      <c r="G912" s="17">
        <v>2</v>
      </c>
      <c r="H912" s="17">
        <v>2658</v>
      </c>
    </row>
    <row r="913" spans="1:8" x14ac:dyDescent="0.2">
      <c r="A913" s="11" t="s">
        <v>49</v>
      </c>
      <c r="B913" s="11" t="s">
        <v>1731</v>
      </c>
      <c r="C913" s="11" t="s">
        <v>65</v>
      </c>
      <c r="D913" s="11" t="s">
        <v>219</v>
      </c>
      <c r="E913" s="20">
        <v>42981</v>
      </c>
      <c r="F913" s="35">
        <v>0.57986111111111105</v>
      </c>
      <c r="G913" s="17">
        <v>14</v>
      </c>
      <c r="H913" s="17">
        <v>5656</v>
      </c>
    </row>
    <row r="914" spans="1:8" x14ac:dyDescent="0.2">
      <c r="A914" s="11" t="s">
        <v>64</v>
      </c>
      <c r="B914" s="11" t="s">
        <v>1732</v>
      </c>
      <c r="C914" s="11" t="s">
        <v>65</v>
      </c>
      <c r="D914" s="11" t="s">
        <v>25</v>
      </c>
      <c r="E914" s="20">
        <v>43374</v>
      </c>
      <c r="F914" s="35">
        <v>0.53819444444444442</v>
      </c>
      <c r="G914" s="17">
        <v>11</v>
      </c>
      <c r="H914" s="17">
        <v>21604</v>
      </c>
    </row>
    <row r="915" spans="1:8" x14ac:dyDescent="0.2">
      <c r="A915" s="11" t="s">
        <v>125</v>
      </c>
      <c r="B915" s="11" t="s">
        <v>1733</v>
      </c>
      <c r="C915" s="11" t="s">
        <v>24</v>
      </c>
      <c r="D915" s="11" t="s">
        <v>25</v>
      </c>
      <c r="E915" s="20">
        <v>43017</v>
      </c>
      <c r="F915" s="35">
        <v>0.4861111111111111</v>
      </c>
      <c r="G915" s="17">
        <v>3</v>
      </c>
      <c r="H915" s="17">
        <v>1665</v>
      </c>
    </row>
    <row r="916" spans="1:8" x14ac:dyDescent="0.2">
      <c r="A916" s="11" t="s">
        <v>125</v>
      </c>
      <c r="B916" s="11" t="s">
        <v>1733</v>
      </c>
      <c r="C916" s="11" t="s">
        <v>65</v>
      </c>
      <c r="D916" s="11" t="s">
        <v>120</v>
      </c>
      <c r="E916" s="20">
        <v>43343</v>
      </c>
      <c r="F916" s="35">
        <v>0.67013888888888884</v>
      </c>
      <c r="G916" s="17">
        <v>15</v>
      </c>
      <c r="H916" s="17">
        <v>19050</v>
      </c>
    </row>
    <row r="917" spans="1:8" x14ac:dyDescent="0.2">
      <c r="F917" s="36"/>
      <c r="G917" s="11"/>
      <c r="H917" s="11"/>
    </row>
  </sheetData>
  <printOptions gridLines="1" gridLinesSet="0"/>
  <pageMargins left="0.75" right="0.75" top="1" bottom="1" header="0.5" footer="0.5"/>
  <pageSetup orientation="portrait" horizontalDpi="4294967292" r:id="rId1"/>
  <headerFooter alignWithMargins="0">
    <oddHeader>&amp;A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497C2-D404-41FD-8F88-B9DEBAE3ED32}">
  <sheetPr>
    <tabColor rgb="FF00B0F0"/>
    <pageSetUpPr autoPageBreaks="0"/>
  </sheetPr>
  <dimension ref="A1:I763"/>
  <sheetViews>
    <sheetView zoomScale="140" zoomScaleNormal="140" zoomScaleSheetLayoutView="100" workbookViewId="0"/>
  </sheetViews>
  <sheetFormatPr baseColWidth="10" defaultColWidth="19.83203125" defaultRowHeight="15" x14ac:dyDescent="0.2"/>
  <cols>
    <col min="1" max="1" width="14.6640625" style="11" customWidth="1"/>
    <col min="2" max="2" width="7.6640625" style="19" customWidth="1"/>
    <col min="3" max="3" width="22.6640625" style="11" customWidth="1"/>
    <col min="4" max="4" width="8.5" style="11" customWidth="1"/>
    <col min="5" max="5" width="10.33203125" style="20" bestFit="1" customWidth="1"/>
    <col min="6" max="6" width="6.1640625" style="4" bestFit="1" customWidth="1"/>
    <col min="7" max="7" width="7.1640625" style="11" customWidth="1"/>
    <col min="8" max="8" width="7.33203125" style="40" bestFit="1" customWidth="1"/>
    <col min="9" max="9" width="11" style="11" bestFit="1" customWidth="1"/>
    <col min="10" max="10" width="2.6640625" style="11" customWidth="1"/>
    <col min="11" max="11" width="23.6640625" style="11" bestFit="1" customWidth="1"/>
    <col min="12" max="12" width="4.6640625" style="11" customWidth="1"/>
    <col min="13" max="13" width="15.83203125" style="11" customWidth="1"/>
    <col min="14" max="14" width="8.6640625" style="11" bestFit="1" customWidth="1"/>
    <col min="15" max="15" width="22.6640625" style="11" customWidth="1"/>
    <col min="16" max="16" width="8.5" style="11" customWidth="1"/>
    <col min="17" max="17" width="10.33203125" style="11" bestFit="1" customWidth="1"/>
    <col min="18" max="18" width="6.1640625" style="11" bestFit="1" customWidth="1"/>
    <col min="19" max="19" width="7.1640625" style="11" customWidth="1"/>
    <col min="20" max="20" width="7.33203125" style="11" bestFit="1" customWidth="1"/>
    <col min="21" max="21" width="11" style="11" bestFit="1" customWidth="1"/>
    <col min="22" max="16384" width="19.83203125" style="11"/>
  </cols>
  <sheetData>
    <row r="1" spans="1:9" x14ac:dyDescent="0.2">
      <c r="A1" s="5" t="s">
        <v>0</v>
      </c>
      <c r="B1" s="6" t="s">
        <v>1</v>
      </c>
      <c r="C1" s="7" t="s">
        <v>2</v>
      </c>
      <c r="D1" s="7" t="s">
        <v>4</v>
      </c>
      <c r="E1" s="37" t="s">
        <v>5</v>
      </c>
      <c r="F1" s="1" t="s">
        <v>7</v>
      </c>
      <c r="G1" s="7" t="s">
        <v>8</v>
      </c>
      <c r="H1" s="39" t="s">
        <v>1750</v>
      </c>
      <c r="I1" s="6" t="s">
        <v>10</v>
      </c>
    </row>
    <row r="2" spans="1:9" x14ac:dyDescent="0.2">
      <c r="A2" s="11" t="s">
        <v>1350</v>
      </c>
      <c r="B2" s="14" t="s">
        <v>19</v>
      </c>
      <c r="C2" s="11" t="s">
        <v>214</v>
      </c>
      <c r="D2" s="11" t="s">
        <v>29</v>
      </c>
      <c r="E2" s="20">
        <v>41174</v>
      </c>
      <c r="F2" s="2">
        <f t="shared" ref="F2:F66" ca="1" si="0">DATEDIF(E2,TODAY(),"Y")</f>
        <v>6</v>
      </c>
      <c r="G2" s="17" t="s">
        <v>38</v>
      </c>
      <c r="H2" s="41">
        <v>96512</v>
      </c>
      <c r="I2" s="19">
        <v>5</v>
      </c>
    </row>
    <row r="3" spans="1:9" x14ac:dyDescent="0.2">
      <c r="A3" s="11" t="s">
        <v>1751</v>
      </c>
      <c r="B3" s="14" t="s">
        <v>36</v>
      </c>
      <c r="C3" s="11" t="s">
        <v>136</v>
      </c>
      <c r="D3" s="11" t="s">
        <v>29</v>
      </c>
      <c r="E3" s="20">
        <v>40574</v>
      </c>
      <c r="F3" s="2">
        <f t="shared" ca="1" si="0"/>
        <v>8</v>
      </c>
      <c r="G3" s="17" t="s">
        <v>87</v>
      </c>
      <c r="H3" s="41">
        <v>84629</v>
      </c>
      <c r="I3" s="19">
        <v>3</v>
      </c>
    </row>
    <row r="4" spans="1:9" x14ac:dyDescent="0.2">
      <c r="A4" s="11" t="s">
        <v>1214</v>
      </c>
      <c r="B4" s="14" t="s">
        <v>27</v>
      </c>
      <c r="C4" s="11" t="s">
        <v>214</v>
      </c>
      <c r="D4" s="11" t="s">
        <v>80</v>
      </c>
      <c r="E4" s="20">
        <v>38206</v>
      </c>
      <c r="F4" s="2">
        <f ca="1">DATEDIF(E4,TODAY(),"Y")</f>
        <v>14</v>
      </c>
      <c r="G4" s="17" t="s">
        <v>30</v>
      </c>
      <c r="H4" s="41">
        <v>35789</v>
      </c>
      <c r="I4" s="19">
        <v>5</v>
      </c>
    </row>
    <row r="5" spans="1:9" x14ac:dyDescent="0.2">
      <c r="A5" s="11" t="s">
        <v>1214</v>
      </c>
      <c r="B5" s="14" t="s">
        <v>27</v>
      </c>
      <c r="C5" s="11" t="s">
        <v>214</v>
      </c>
      <c r="D5" s="11" t="s">
        <v>80</v>
      </c>
      <c r="E5" s="20">
        <v>38206</v>
      </c>
      <c r="F5" s="2">
        <f t="shared" ref="F5" ca="1" si="1">DATEDIF(E5,TODAY(),"Y")</f>
        <v>14</v>
      </c>
      <c r="G5" s="17" t="s">
        <v>30</v>
      </c>
      <c r="H5" s="41">
        <v>35789</v>
      </c>
      <c r="I5" s="19">
        <v>5</v>
      </c>
    </row>
    <row r="6" spans="1:9" x14ac:dyDescent="0.2">
      <c r="A6" s="11" t="s">
        <v>1426</v>
      </c>
      <c r="B6" s="14" t="s">
        <v>19</v>
      </c>
      <c r="C6" s="11" t="s">
        <v>59</v>
      </c>
      <c r="D6" s="11" t="s">
        <v>80</v>
      </c>
      <c r="E6" s="20">
        <v>41552</v>
      </c>
      <c r="F6" s="2">
        <f t="shared" ca="1" si="0"/>
        <v>5</v>
      </c>
      <c r="G6" s="17" t="s">
        <v>47</v>
      </c>
      <c r="H6" s="41">
        <v>53345</v>
      </c>
      <c r="I6" s="19">
        <v>5</v>
      </c>
    </row>
    <row r="7" spans="1:9" x14ac:dyDescent="0.2">
      <c r="A7" s="11" t="s">
        <v>825</v>
      </c>
      <c r="B7" s="14" t="s">
        <v>27</v>
      </c>
      <c r="C7" s="11" t="s">
        <v>101</v>
      </c>
      <c r="D7" s="11" t="s">
        <v>80</v>
      </c>
      <c r="E7" s="20">
        <v>35133</v>
      </c>
      <c r="F7" s="2">
        <f t="shared" ca="1" si="0"/>
        <v>23</v>
      </c>
      <c r="G7" s="17" t="s">
        <v>71</v>
      </c>
      <c r="H7" s="41">
        <v>21620</v>
      </c>
      <c r="I7" s="19">
        <v>3</v>
      </c>
    </row>
    <row r="8" spans="1:9" x14ac:dyDescent="0.2">
      <c r="A8" s="11" t="s">
        <v>151</v>
      </c>
      <c r="B8" s="14" t="s">
        <v>27</v>
      </c>
      <c r="C8" s="11" t="s">
        <v>152</v>
      </c>
      <c r="D8" s="11" t="s">
        <v>29</v>
      </c>
      <c r="E8" s="20">
        <v>37809</v>
      </c>
      <c r="F8" s="2">
        <f t="shared" ca="1" si="0"/>
        <v>15</v>
      </c>
      <c r="G8" s="17" t="s">
        <v>87</v>
      </c>
      <c r="H8" s="41">
        <v>87035</v>
      </c>
      <c r="I8" s="19">
        <v>5</v>
      </c>
    </row>
    <row r="9" spans="1:9" x14ac:dyDescent="0.2">
      <c r="A9" s="11" t="s">
        <v>990</v>
      </c>
      <c r="B9" s="14" t="s">
        <v>36</v>
      </c>
      <c r="C9" s="11" t="s">
        <v>37</v>
      </c>
      <c r="D9" s="11" t="s">
        <v>29</v>
      </c>
      <c r="E9" s="20">
        <v>41231</v>
      </c>
      <c r="F9" s="2">
        <f t="shared" ca="1" si="0"/>
        <v>6</v>
      </c>
      <c r="G9" s="17" t="s">
        <v>38</v>
      </c>
      <c r="H9" s="41">
        <v>98321</v>
      </c>
      <c r="I9" s="19">
        <v>2</v>
      </c>
    </row>
    <row r="10" spans="1:9" x14ac:dyDescent="0.2">
      <c r="A10" s="11" t="s">
        <v>1228</v>
      </c>
      <c r="B10" s="14" t="s">
        <v>19</v>
      </c>
      <c r="C10" s="11" t="s">
        <v>214</v>
      </c>
      <c r="D10" s="11" t="s">
        <v>29</v>
      </c>
      <c r="E10" s="20">
        <v>41480</v>
      </c>
      <c r="F10" s="2">
        <f t="shared" ca="1" si="0"/>
        <v>5</v>
      </c>
      <c r="G10" s="17" t="s">
        <v>47</v>
      </c>
      <c r="H10" s="41">
        <v>93582</v>
      </c>
      <c r="I10" s="19">
        <v>3</v>
      </c>
    </row>
    <row r="11" spans="1:9" x14ac:dyDescent="0.2">
      <c r="A11" s="11" t="s">
        <v>449</v>
      </c>
      <c r="B11" s="14" t="s">
        <v>19</v>
      </c>
      <c r="C11" s="11" t="s">
        <v>214</v>
      </c>
      <c r="D11" s="11" t="s">
        <v>80</v>
      </c>
      <c r="E11" s="20">
        <v>38287</v>
      </c>
      <c r="F11" s="2">
        <f t="shared" ca="1" si="0"/>
        <v>14</v>
      </c>
      <c r="G11" s="17" t="s">
        <v>38</v>
      </c>
      <c r="H11" s="41">
        <v>56180</v>
      </c>
      <c r="I11" s="19">
        <v>1</v>
      </c>
    </row>
    <row r="12" spans="1:9" x14ac:dyDescent="0.2">
      <c r="A12" s="11" t="s">
        <v>990</v>
      </c>
      <c r="B12" s="14" t="s">
        <v>36</v>
      </c>
      <c r="C12" s="11" t="s">
        <v>37</v>
      </c>
      <c r="D12" s="11" t="s">
        <v>29</v>
      </c>
      <c r="E12" s="20">
        <v>41231</v>
      </c>
      <c r="F12" s="2">
        <f ca="1">DATEDIF(E12,TODAY(),"Y")</f>
        <v>6</v>
      </c>
      <c r="G12" s="17" t="s">
        <v>38</v>
      </c>
      <c r="H12" s="41">
        <v>98321</v>
      </c>
      <c r="I12" s="19">
        <v>2</v>
      </c>
    </row>
    <row r="13" spans="1:9" x14ac:dyDescent="0.2">
      <c r="A13" s="11" t="s">
        <v>307</v>
      </c>
      <c r="B13" s="14" t="s">
        <v>19</v>
      </c>
      <c r="C13" s="11" t="s">
        <v>20</v>
      </c>
      <c r="D13" s="11" t="s">
        <v>21</v>
      </c>
      <c r="E13" s="20">
        <v>35012</v>
      </c>
      <c r="F13" s="2">
        <f t="shared" ca="1" si="0"/>
        <v>23</v>
      </c>
      <c r="G13" s="17"/>
      <c r="H13" s="41">
        <v>57969</v>
      </c>
      <c r="I13" s="19">
        <v>1</v>
      </c>
    </row>
    <row r="14" spans="1:9" x14ac:dyDescent="0.2">
      <c r="A14" s="11" t="s">
        <v>546</v>
      </c>
      <c r="B14" s="14" t="s">
        <v>43</v>
      </c>
      <c r="C14" s="11" t="s">
        <v>136</v>
      </c>
      <c r="D14" s="11" t="s">
        <v>29</v>
      </c>
      <c r="E14" s="20">
        <v>36878</v>
      </c>
      <c r="F14" s="2">
        <f t="shared" ca="1" si="0"/>
        <v>18</v>
      </c>
      <c r="G14" s="17" t="s">
        <v>87</v>
      </c>
      <c r="H14" s="41">
        <v>82550</v>
      </c>
      <c r="I14" s="19">
        <v>2</v>
      </c>
    </row>
    <row r="15" spans="1:9" x14ac:dyDescent="0.2">
      <c r="A15" s="11" t="s">
        <v>211</v>
      </c>
      <c r="B15" s="14" t="s">
        <v>83</v>
      </c>
      <c r="C15" s="11" t="s">
        <v>214</v>
      </c>
      <c r="D15" s="11" t="s">
        <v>29</v>
      </c>
      <c r="E15" s="20">
        <v>37868</v>
      </c>
      <c r="F15" s="2">
        <f t="shared" ca="1" si="0"/>
        <v>15</v>
      </c>
      <c r="G15" s="17" t="s">
        <v>47</v>
      </c>
      <c r="H15" s="41">
        <v>44834</v>
      </c>
      <c r="I15" s="19">
        <v>4</v>
      </c>
    </row>
    <row r="16" spans="1:9" x14ac:dyDescent="0.2">
      <c r="A16" s="11" t="s">
        <v>461</v>
      </c>
      <c r="B16" s="14" t="s">
        <v>19</v>
      </c>
      <c r="C16" s="11" t="s">
        <v>86</v>
      </c>
      <c r="D16" s="11" t="s">
        <v>21</v>
      </c>
      <c r="E16" s="20">
        <v>37560</v>
      </c>
      <c r="F16" s="2">
        <f t="shared" ca="1" si="0"/>
        <v>16</v>
      </c>
      <c r="G16" s="17"/>
      <c r="H16" s="41">
        <v>105206</v>
      </c>
      <c r="I16" s="19">
        <v>5</v>
      </c>
    </row>
    <row r="17" spans="1:9" x14ac:dyDescent="0.2">
      <c r="A17" s="11" t="s">
        <v>251</v>
      </c>
      <c r="B17" s="14" t="s">
        <v>43</v>
      </c>
      <c r="C17" s="11" t="s">
        <v>152</v>
      </c>
      <c r="D17" s="11" t="s">
        <v>29</v>
      </c>
      <c r="E17" s="20">
        <v>41386</v>
      </c>
      <c r="F17" s="2">
        <f t="shared" ca="1" si="0"/>
        <v>6</v>
      </c>
      <c r="G17" s="17" t="s">
        <v>47</v>
      </c>
      <c r="H17" s="41">
        <v>107163</v>
      </c>
      <c r="I17" s="19">
        <v>5</v>
      </c>
    </row>
    <row r="18" spans="1:9" x14ac:dyDescent="0.2">
      <c r="A18" s="11" t="s">
        <v>384</v>
      </c>
      <c r="B18" s="14" t="s">
        <v>19</v>
      </c>
      <c r="C18" s="11" t="s">
        <v>214</v>
      </c>
      <c r="D18" s="11" t="s">
        <v>29</v>
      </c>
      <c r="E18" s="20">
        <v>36188</v>
      </c>
      <c r="F18" s="2">
        <f t="shared" ca="1" si="0"/>
        <v>20</v>
      </c>
      <c r="G18" s="17" t="s">
        <v>30</v>
      </c>
      <c r="H18" s="41">
        <v>33359</v>
      </c>
      <c r="I18" s="19">
        <v>2</v>
      </c>
    </row>
    <row r="19" spans="1:9" x14ac:dyDescent="0.2">
      <c r="A19" s="11" t="s">
        <v>174</v>
      </c>
      <c r="B19" s="14" t="s">
        <v>27</v>
      </c>
      <c r="C19" s="11" t="s">
        <v>214</v>
      </c>
      <c r="D19" s="11" t="s">
        <v>21</v>
      </c>
      <c r="E19" s="20">
        <v>39418</v>
      </c>
      <c r="F19" s="2">
        <f t="shared" ca="1" si="0"/>
        <v>11</v>
      </c>
      <c r="G19" s="17"/>
      <c r="H19" s="41">
        <v>82850</v>
      </c>
      <c r="I19" s="19">
        <v>3</v>
      </c>
    </row>
    <row r="20" spans="1:9" x14ac:dyDescent="0.2">
      <c r="A20" s="11" t="s">
        <v>1468</v>
      </c>
      <c r="B20" s="14" t="s">
        <v>43</v>
      </c>
      <c r="C20" s="11" t="s">
        <v>254</v>
      </c>
      <c r="D20" s="11" t="s">
        <v>56</v>
      </c>
      <c r="E20" s="20">
        <v>42187</v>
      </c>
      <c r="F20" s="2">
        <f t="shared" ca="1" si="0"/>
        <v>3</v>
      </c>
      <c r="G20" s="17"/>
      <c r="H20" s="41">
        <v>20326</v>
      </c>
      <c r="I20" s="19">
        <v>5</v>
      </c>
    </row>
    <row r="21" spans="1:9" x14ac:dyDescent="0.2">
      <c r="A21" s="11" t="s">
        <v>872</v>
      </c>
      <c r="B21" s="14" t="s">
        <v>19</v>
      </c>
      <c r="C21" s="11" t="s">
        <v>52</v>
      </c>
      <c r="D21" s="11" t="s">
        <v>29</v>
      </c>
      <c r="E21" s="20">
        <v>37861</v>
      </c>
      <c r="F21" s="2">
        <f t="shared" ca="1" si="0"/>
        <v>15</v>
      </c>
      <c r="G21" s="17" t="s">
        <v>30</v>
      </c>
      <c r="H21" s="41">
        <v>67649</v>
      </c>
      <c r="I21" s="19">
        <v>1</v>
      </c>
    </row>
    <row r="22" spans="1:9" x14ac:dyDescent="0.2">
      <c r="A22" s="11" t="s">
        <v>1394</v>
      </c>
      <c r="B22" s="14" t="s">
        <v>27</v>
      </c>
      <c r="C22" s="11" t="s">
        <v>214</v>
      </c>
      <c r="D22" s="11" t="s">
        <v>80</v>
      </c>
      <c r="E22" s="20">
        <v>38388</v>
      </c>
      <c r="F22" s="2">
        <f t="shared" ca="1" si="0"/>
        <v>14</v>
      </c>
      <c r="G22" s="17" t="s">
        <v>30</v>
      </c>
      <c r="H22" s="41">
        <v>63059</v>
      </c>
      <c r="I22" s="19">
        <v>3</v>
      </c>
    </row>
    <row r="23" spans="1:9" x14ac:dyDescent="0.2">
      <c r="A23" s="11" t="s">
        <v>362</v>
      </c>
      <c r="B23" s="14" t="s">
        <v>19</v>
      </c>
      <c r="C23" s="11" t="s">
        <v>20</v>
      </c>
      <c r="D23" s="11" t="s">
        <v>29</v>
      </c>
      <c r="E23" s="20">
        <v>42285</v>
      </c>
      <c r="F23" s="2">
        <f t="shared" ca="1" si="0"/>
        <v>3</v>
      </c>
      <c r="G23" s="17" t="s">
        <v>38</v>
      </c>
      <c r="H23" s="41">
        <v>105057</v>
      </c>
      <c r="I23" s="19">
        <v>3</v>
      </c>
    </row>
    <row r="24" spans="1:9" x14ac:dyDescent="0.2">
      <c r="A24" s="11" t="s">
        <v>1478</v>
      </c>
      <c r="B24" s="14" t="s">
        <v>27</v>
      </c>
      <c r="C24" s="11" t="s">
        <v>59</v>
      </c>
      <c r="D24" s="11" t="s">
        <v>29</v>
      </c>
      <c r="E24" s="20">
        <v>37037</v>
      </c>
      <c r="F24" s="2">
        <f t="shared" ca="1" si="0"/>
        <v>18</v>
      </c>
      <c r="G24" s="17" t="s">
        <v>47</v>
      </c>
      <c r="H24" s="41">
        <v>86103</v>
      </c>
      <c r="I24" s="19">
        <v>5</v>
      </c>
    </row>
    <row r="25" spans="1:9" x14ac:dyDescent="0.2">
      <c r="A25" s="11" t="s">
        <v>149</v>
      </c>
      <c r="B25" s="14" t="s">
        <v>43</v>
      </c>
      <c r="C25" s="11" t="s">
        <v>86</v>
      </c>
      <c r="D25" s="11" t="s">
        <v>29</v>
      </c>
      <c r="E25" s="20">
        <v>37640</v>
      </c>
      <c r="F25" s="2">
        <f t="shared" ca="1" si="0"/>
        <v>16</v>
      </c>
      <c r="G25" s="17" t="s">
        <v>71</v>
      </c>
      <c r="H25" s="41">
        <v>117221</v>
      </c>
      <c r="I25" s="19">
        <v>3</v>
      </c>
    </row>
    <row r="26" spans="1:9" x14ac:dyDescent="0.2">
      <c r="A26" s="11" t="s">
        <v>1736</v>
      </c>
      <c r="B26" s="14" t="s">
        <v>43</v>
      </c>
      <c r="C26" s="11" t="s">
        <v>37</v>
      </c>
      <c r="D26" s="11" t="s">
        <v>29</v>
      </c>
      <c r="E26" s="20">
        <v>37955</v>
      </c>
      <c r="F26" s="2">
        <f t="shared" ca="1" si="0"/>
        <v>15</v>
      </c>
      <c r="G26" s="17" t="s">
        <v>47</v>
      </c>
      <c r="H26" s="41">
        <v>33143</v>
      </c>
      <c r="I26" s="19">
        <v>1</v>
      </c>
    </row>
    <row r="27" spans="1:9" x14ac:dyDescent="0.2">
      <c r="A27" s="11" t="s">
        <v>805</v>
      </c>
      <c r="B27" s="14" t="s">
        <v>19</v>
      </c>
      <c r="C27" s="11" t="s">
        <v>145</v>
      </c>
      <c r="D27" s="11" t="s">
        <v>29</v>
      </c>
      <c r="E27" s="20">
        <v>35636</v>
      </c>
      <c r="F27" s="2">
        <f t="shared" ca="1" si="0"/>
        <v>21</v>
      </c>
      <c r="G27" s="17" t="s">
        <v>71</v>
      </c>
      <c r="H27" s="41">
        <v>116424</v>
      </c>
      <c r="I27" s="19">
        <v>1</v>
      </c>
    </row>
    <row r="28" spans="1:9" x14ac:dyDescent="0.2">
      <c r="A28" s="11" t="s">
        <v>868</v>
      </c>
      <c r="B28" s="14" t="s">
        <v>19</v>
      </c>
      <c r="C28" s="11" t="s">
        <v>214</v>
      </c>
      <c r="D28" s="11" t="s">
        <v>80</v>
      </c>
      <c r="E28" s="20">
        <v>38053</v>
      </c>
      <c r="F28" s="2">
        <f t="shared" ca="1" si="0"/>
        <v>15</v>
      </c>
      <c r="G28" s="17" t="s">
        <v>30</v>
      </c>
      <c r="H28" s="41">
        <v>65057</v>
      </c>
      <c r="I28" s="19">
        <v>1</v>
      </c>
    </row>
    <row r="29" spans="1:9" x14ac:dyDescent="0.2">
      <c r="A29" s="11" t="s">
        <v>194</v>
      </c>
      <c r="B29" s="14" t="s">
        <v>19</v>
      </c>
      <c r="C29" s="11" t="s">
        <v>52</v>
      </c>
      <c r="D29" s="11" t="s">
        <v>29</v>
      </c>
      <c r="E29" s="20">
        <v>38897</v>
      </c>
      <c r="F29" s="2">
        <f t="shared" ca="1" si="0"/>
        <v>12</v>
      </c>
      <c r="G29" s="17" t="s">
        <v>38</v>
      </c>
      <c r="H29" s="41">
        <v>82553</v>
      </c>
      <c r="I29" s="19">
        <v>4</v>
      </c>
    </row>
    <row r="30" spans="1:9" x14ac:dyDescent="0.2">
      <c r="A30" s="11" t="s">
        <v>1362</v>
      </c>
      <c r="B30" s="14" t="s">
        <v>43</v>
      </c>
      <c r="C30" s="11" t="s">
        <v>214</v>
      </c>
      <c r="D30" s="11" t="s">
        <v>29</v>
      </c>
      <c r="E30" s="20">
        <v>40517</v>
      </c>
      <c r="F30" s="2">
        <f t="shared" ca="1" si="0"/>
        <v>8</v>
      </c>
      <c r="G30" s="17" t="s">
        <v>71</v>
      </c>
      <c r="H30" s="41">
        <v>92759</v>
      </c>
      <c r="I30" s="19">
        <v>4</v>
      </c>
    </row>
    <row r="31" spans="1:9" x14ac:dyDescent="0.2">
      <c r="A31" s="11" t="s">
        <v>743</v>
      </c>
      <c r="B31" s="14" t="s">
        <v>19</v>
      </c>
      <c r="C31" s="11" t="s">
        <v>214</v>
      </c>
      <c r="D31" s="11" t="s">
        <v>29</v>
      </c>
      <c r="E31" s="20">
        <v>37885</v>
      </c>
      <c r="F31" s="2">
        <f t="shared" ca="1" si="0"/>
        <v>15</v>
      </c>
      <c r="G31" s="17" t="s">
        <v>47</v>
      </c>
      <c r="H31" s="41">
        <v>119124</v>
      </c>
      <c r="I31" s="19">
        <v>5</v>
      </c>
    </row>
    <row r="32" spans="1:9" x14ac:dyDescent="0.2">
      <c r="A32" s="11" t="s">
        <v>1270</v>
      </c>
      <c r="B32" s="14" t="s">
        <v>27</v>
      </c>
      <c r="C32" s="11" t="s">
        <v>214</v>
      </c>
      <c r="D32" s="11" t="s">
        <v>21</v>
      </c>
      <c r="E32" s="20">
        <v>40105</v>
      </c>
      <c r="F32" s="2">
        <f t="shared" ca="1" si="0"/>
        <v>9</v>
      </c>
      <c r="G32" s="17"/>
      <c r="H32" s="41">
        <v>51273</v>
      </c>
      <c r="I32" s="19">
        <v>4</v>
      </c>
    </row>
    <row r="33" spans="1:9" x14ac:dyDescent="0.2">
      <c r="A33" s="11" t="s">
        <v>777</v>
      </c>
      <c r="B33" s="14" t="s">
        <v>19</v>
      </c>
      <c r="C33" s="11" t="s">
        <v>214</v>
      </c>
      <c r="D33" s="11" t="s">
        <v>21</v>
      </c>
      <c r="E33" s="20">
        <v>41329</v>
      </c>
      <c r="F33" s="2">
        <f t="shared" ca="1" si="0"/>
        <v>6</v>
      </c>
      <c r="G33" s="17"/>
      <c r="H33" s="41">
        <v>113630</v>
      </c>
      <c r="I33" s="19">
        <v>2</v>
      </c>
    </row>
    <row r="34" spans="1:9" x14ac:dyDescent="0.2">
      <c r="A34" s="11" t="s">
        <v>532</v>
      </c>
      <c r="B34" s="14" t="s">
        <v>83</v>
      </c>
      <c r="C34" s="11" t="s">
        <v>249</v>
      </c>
      <c r="D34" s="11" t="s">
        <v>29</v>
      </c>
      <c r="E34" s="20">
        <v>35401</v>
      </c>
      <c r="F34" s="2">
        <f t="shared" ca="1" si="0"/>
        <v>22</v>
      </c>
      <c r="G34" s="17" t="s">
        <v>47</v>
      </c>
      <c r="H34" s="41">
        <v>52799</v>
      </c>
      <c r="I34" s="19">
        <v>5</v>
      </c>
    </row>
    <row r="35" spans="1:9" x14ac:dyDescent="0.2">
      <c r="A35" s="11" t="s">
        <v>1384</v>
      </c>
      <c r="B35" s="14" t="s">
        <v>19</v>
      </c>
      <c r="C35" s="11" t="s">
        <v>145</v>
      </c>
      <c r="D35" s="11" t="s">
        <v>56</v>
      </c>
      <c r="E35" s="20">
        <v>35964</v>
      </c>
      <c r="F35" s="2">
        <f t="shared" ca="1" si="0"/>
        <v>20</v>
      </c>
      <c r="G35" s="17"/>
      <c r="H35" s="41">
        <v>35753</v>
      </c>
      <c r="I35" s="19">
        <v>5</v>
      </c>
    </row>
    <row r="36" spans="1:9" x14ac:dyDescent="0.2">
      <c r="A36" s="11" t="s">
        <v>1342</v>
      </c>
      <c r="B36" s="14" t="s">
        <v>43</v>
      </c>
      <c r="C36" s="11" t="s">
        <v>214</v>
      </c>
      <c r="D36" s="11" t="s">
        <v>29</v>
      </c>
      <c r="E36" s="20">
        <v>39930</v>
      </c>
      <c r="F36" s="2">
        <f t="shared" ca="1" si="0"/>
        <v>10</v>
      </c>
      <c r="G36" s="17" t="s">
        <v>47</v>
      </c>
      <c r="H36" s="41">
        <v>63909</v>
      </c>
      <c r="I36" s="19">
        <v>2</v>
      </c>
    </row>
    <row r="37" spans="1:9" x14ac:dyDescent="0.2">
      <c r="A37" s="11" t="s">
        <v>590</v>
      </c>
      <c r="B37" s="14" t="s">
        <v>19</v>
      </c>
      <c r="C37" s="11" t="s">
        <v>214</v>
      </c>
      <c r="D37" s="11" t="s">
        <v>21</v>
      </c>
      <c r="E37" s="20">
        <v>42464</v>
      </c>
      <c r="F37" s="2">
        <f t="shared" ca="1" si="0"/>
        <v>3</v>
      </c>
      <c r="G37" s="17"/>
      <c r="H37" s="41">
        <v>77099</v>
      </c>
      <c r="I37" s="19">
        <v>3</v>
      </c>
    </row>
    <row r="38" spans="1:9" x14ac:dyDescent="0.2">
      <c r="A38" s="11" t="s">
        <v>1210</v>
      </c>
      <c r="B38" s="14" t="s">
        <v>51</v>
      </c>
      <c r="C38" s="11" t="s">
        <v>52</v>
      </c>
      <c r="D38" s="11" t="s">
        <v>21</v>
      </c>
      <c r="E38" s="20">
        <v>35029</v>
      </c>
      <c r="F38" s="2">
        <f t="shared" ca="1" si="0"/>
        <v>23</v>
      </c>
      <c r="G38" s="17"/>
      <c r="H38" s="41">
        <v>108068</v>
      </c>
      <c r="I38" s="19">
        <v>2</v>
      </c>
    </row>
    <row r="39" spans="1:9" x14ac:dyDescent="0.2">
      <c r="A39" s="11" t="s">
        <v>1516</v>
      </c>
      <c r="B39" s="14" t="s">
        <v>19</v>
      </c>
      <c r="C39" s="11" t="s">
        <v>52</v>
      </c>
      <c r="D39" s="11" t="s">
        <v>21</v>
      </c>
      <c r="E39" s="20">
        <v>37521</v>
      </c>
      <c r="F39" s="2">
        <f t="shared" ca="1" si="0"/>
        <v>16</v>
      </c>
      <c r="G39" s="17"/>
      <c r="H39" s="41">
        <v>102627</v>
      </c>
      <c r="I39" s="19">
        <v>1</v>
      </c>
    </row>
    <row r="40" spans="1:9" x14ac:dyDescent="0.2">
      <c r="A40" s="11" t="s">
        <v>1548</v>
      </c>
      <c r="B40" s="14" t="s">
        <v>27</v>
      </c>
      <c r="C40" s="11" t="s">
        <v>86</v>
      </c>
      <c r="D40" s="11" t="s">
        <v>21</v>
      </c>
      <c r="E40" s="20">
        <v>38487</v>
      </c>
      <c r="F40" s="2">
        <f t="shared" ca="1" si="0"/>
        <v>14</v>
      </c>
      <c r="G40" s="17"/>
      <c r="H40" s="41">
        <v>67770</v>
      </c>
      <c r="I40" s="19">
        <v>4</v>
      </c>
    </row>
    <row r="41" spans="1:9" x14ac:dyDescent="0.2">
      <c r="A41" s="11" t="s">
        <v>671</v>
      </c>
      <c r="B41" s="14" t="s">
        <v>36</v>
      </c>
      <c r="C41" s="11" t="s">
        <v>52</v>
      </c>
      <c r="D41" s="11" t="s">
        <v>21</v>
      </c>
      <c r="E41" s="20">
        <v>38126</v>
      </c>
      <c r="F41" s="2">
        <f t="shared" ca="1" si="0"/>
        <v>15</v>
      </c>
      <c r="G41" s="17"/>
      <c r="H41" s="41">
        <v>117410</v>
      </c>
      <c r="I41" s="19">
        <v>4</v>
      </c>
    </row>
    <row r="42" spans="1:9" x14ac:dyDescent="0.2">
      <c r="A42" s="11" t="s">
        <v>1502</v>
      </c>
      <c r="B42" s="14" t="s">
        <v>51</v>
      </c>
      <c r="C42" s="11" t="s">
        <v>145</v>
      </c>
      <c r="D42" s="11" t="s">
        <v>21</v>
      </c>
      <c r="E42" s="20">
        <v>38866</v>
      </c>
      <c r="F42" s="2">
        <f t="shared" ca="1" si="0"/>
        <v>13</v>
      </c>
      <c r="G42" s="17"/>
      <c r="H42" s="41">
        <v>63153</v>
      </c>
      <c r="I42" s="19">
        <v>2</v>
      </c>
    </row>
    <row r="43" spans="1:9" x14ac:dyDescent="0.2">
      <c r="A43" s="11" t="s">
        <v>465</v>
      </c>
      <c r="B43" s="14" t="s">
        <v>51</v>
      </c>
      <c r="C43" s="11" t="s">
        <v>145</v>
      </c>
      <c r="D43" s="11" t="s">
        <v>29</v>
      </c>
      <c r="E43" s="20">
        <v>35805</v>
      </c>
      <c r="F43" s="2">
        <f t="shared" ca="1" si="0"/>
        <v>21</v>
      </c>
      <c r="G43" s="17" t="s">
        <v>30</v>
      </c>
      <c r="H43" s="41">
        <v>60899</v>
      </c>
      <c r="I43" s="19">
        <v>2</v>
      </c>
    </row>
    <row r="44" spans="1:9" x14ac:dyDescent="0.2">
      <c r="A44" s="11" t="s">
        <v>956</v>
      </c>
      <c r="B44" s="14" t="s">
        <v>27</v>
      </c>
      <c r="C44" s="11" t="s">
        <v>152</v>
      </c>
      <c r="D44" s="11" t="s">
        <v>21</v>
      </c>
      <c r="E44" s="20">
        <v>35758</v>
      </c>
      <c r="F44" s="2">
        <f t="shared" ca="1" si="0"/>
        <v>21</v>
      </c>
      <c r="G44" s="17"/>
      <c r="H44" s="41">
        <v>94703</v>
      </c>
      <c r="I44" s="19">
        <v>2</v>
      </c>
    </row>
    <row r="45" spans="1:9" x14ac:dyDescent="0.2">
      <c r="A45" s="11" t="s">
        <v>542</v>
      </c>
      <c r="B45" s="14" t="s">
        <v>27</v>
      </c>
      <c r="C45" s="11" t="s">
        <v>152</v>
      </c>
      <c r="D45" s="11" t="s">
        <v>80</v>
      </c>
      <c r="E45" s="20">
        <v>35924</v>
      </c>
      <c r="F45" s="2">
        <f t="shared" ca="1" si="0"/>
        <v>21</v>
      </c>
      <c r="G45" s="17" t="s">
        <v>71</v>
      </c>
      <c r="H45" s="41">
        <v>15161</v>
      </c>
      <c r="I45" s="19">
        <v>4</v>
      </c>
    </row>
    <row r="46" spans="1:9" x14ac:dyDescent="0.2">
      <c r="A46" s="11" t="s">
        <v>1737</v>
      </c>
      <c r="B46" s="14" t="s">
        <v>43</v>
      </c>
      <c r="C46" s="11" t="s">
        <v>20</v>
      </c>
      <c r="D46" s="11" t="s">
        <v>29</v>
      </c>
      <c r="E46" s="20">
        <v>35570</v>
      </c>
      <c r="F46" s="2">
        <f t="shared" ca="1" si="0"/>
        <v>22</v>
      </c>
      <c r="G46" s="17" t="s">
        <v>47</v>
      </c>
      <c r="H46" s="41">
        <v>96053</v>
      </c>
      <c r="I46" s="19">
        <v>2</v>
      </c>
    </row>
    <row r="47" spans="1:9" x14ac:dyDescent="0.2">
      <c r="A47" s="11" t="s">
        <v>154</v>
      </c>
      <c r="B47" s="14" t="s">
        <v>43</v>
      </c>
      <c r="C47" s="11" t="s">
        <v>249</v>
      </c>
      <c r="D47" s="11" t="s">
        <v>21</v>
      </c>
      <c r="E47" s="20">
        <v>37831</v>
      </c>
      <c r="F47" s="2">
        <f t="shared" ca="1" si="0"/>
        <v>15</v>
      </c>
      <c r="G47" s="17"/>
      <c r="H47" s="41">
        <v>97848</v>
      </c>
      <c r="I47" s="19">
        <v>2</v>
      </c>
    </row>
    <row r="48" spans="1:9" x14ac:dyDescent="0.2">
      <c r="A48" s="11" t="s">
        <v>1246</v>
      </c>
      <c r="B48" s="14" t="s">
        <v>19</v>
      </c>
      <c r="C48" s="11" t="s">
        <v>152</v>
      </c>
      <c r="D48" s="11" t="s">
        <v>29</v>
      </c>
      <c r="E48" s="20">
        <v>42421</v>
      </c>
      <c r="F48" s="2">
        <f t="shared" ca="1" si="0"/>
        <v>3</v>
      </c>
      <c r="G48" s="17" t="s">
        <v>47</v>
      </c>
      <c r="H48" s="41">
        <v>116964</v>
      </c>
      <c r="I48" s="19">
        <v>3</v>
      </c>
    </row>
    <row r="49" spans="1:9" x14ac:dyDescent="0.2">
      <c r="A49" s="11" t="s">
        <v>1738</v>
      </c>
      <c r="B49" s="14" t="s">
        <v>43</v>
      </c>
      <c r="C49" s="11" t="s">
        <v>86</v>
      </c>
      <c r="D49" s="11" t="s">
        <v>29</v>
      </c>
      <c r="E49" s="20">
        <v>40941</v>
      </c>
      <c r="F49" s="2">
        <f t="shared" ca="1" si="0"/>
        <v>7</v>
      </c>
      <c r="G49" s="17" t="s">
        <v>30</v>
      </c>
      <c r="H49" s="41">
        <v>64274</v>
      </c>
      <c r="I49" s="19">
        <v>4</v>
      </c>
    </row>
    <row r="50" spans="1:9" x14ac:dyDescent="0.2">
      <c r="A50" s="11" t="s">
        <v>222</v>
      </c>
      <c r="B50" s="14" t="s">
        <v>27</v>
      </c>
      <c r="C50" s="11" t="s">
        <v>145</v>
      </c>
      <c r="D50" s="11" t="s">
        <v>21</v>
      </c>
      <c r="E50" s="20">
        <v>41504</v>
      </c>
      <c r="F50" s="2">
        <f t="shared" ca="1" si="0"/>
        <v>5</v>
      </c>
      <c r="G50" s="17"/>
      <c r="H50" s="41">
        <v>58482</v>
      </c>
      <c r="I50" s="19">
        <v>5</v>
      </c>
    </row>
    <row r="51" spans="1:9" x14ac:dyDescent="0.2">
      <c r="A51" s="11" t="s">
        <v>799</v>
      </c>
      <c r="B51" s="14" t="s">
        <v>36</v>
      </c>
      <c r="C51" s="11" t="s">
        <v>145</v>
      </c>
      <c r="D51" s="11" t="s">
        <v>80</v>
      </c>
      <c r="E51" s="20">
        <v>35674</v>
      </c>
      <c r="F51" s="2">
        <f t="shared" ca="1" si="0"/>
        <v>21</v>
      </c>
      <c r="G51" s="17" t="s">
        <v>30</v>
      </c>
      <c r="H51" s="41">
        <v>34945</v>
      </c>
      <c r="I51" s="19">
        <v>5</v>
      </c>
    </row>
    <row r="52" spans="1:9" x14ac:dyDescent="0.2">
      <c r="A52" s="11" t="s">
        <v>1496</v>
      </c>
      <c r="B52" s="14" t="s">
        <v>19</v>
      </c>
      <c r="C52" s="11" t="s">
        <v>214</v>
      </c>
      <c r="D52" s="11" t="s">
        <v>29</v>
      </c>
      <c r="E52" s="20">
        <v>39220</v>
      </c>
      <c r="F52" s="2">
        <f t="shared" ca="1" si="0"/>
        <v>12</v>
      </c>
      <c r="G52" s="17" t="s">
        <v>38</v>
      </c>
      <c r="H52" s="41">
        <v>86576</v>
      </c>
      <c r="I52" s="19">
        <v>1</v>
      </c>
    </row>
    <row r="53" spans="1:9" x14ac:dyDescent="0.2">
      <c r="A53" s="11" t="s">
        <v>273</v>
      </c>
      <c r="B53" s="14" t="s">
        <v>43</v>
      </c>
      <c r="C53" s="11" t="s">
        <v>152</v>
      </c>
      <c r="D53" s="11" t="s">
        <v>56</v>
      </c>
      <c r="E53" s="20">
        <v>40430</v>
      </c>
      <c r="F53" s="2">
        <f t="shared" ca="1" si="0"/>
        <v>8</v>
      </c>
      <c r="G53" s="17"/>
      <c r="H53" s="41">
        <v>50414</v>
      </c>
      <c r="I53" s="19">
        <v>2</v>
      </c>
    </row>
    <row r="54" spans="1:9" x14ac:dyDescent="0.2">
      <c r="A54" s="11" t="s">
        <v>295</v>
      </c>
      <c r="B54" s="14" t="s">
        <v>43</v>
      </c>
      <c r="C54" s="11" t="s">
        <v>145</v>
      </c>
      <c r="D54" s="11" t="s">
        <v>29</v>
      </c>
      <c r="E54" s="20">
        <v>41599</v>
      </c>
      <c r="F54" s="2">
        <f t="shared" ca="1" si="0"/>
        <v>5</v>
      </c>
      <c r="G54" s="17" t="s">
        <v>30</v>
      </c>
      <c r="H54" s="41">
        <v>97281</v>
      </c>
      <c r="I54" s="19">
        <v>2</v>
      </c>
    </row>
    <row r="55" spans="1:9" x14ac:dyDescent="0.2">
      <c r="A55" s="11" t="s">
        <v>451</v>
      </c>
      <c r="B55" s="14" t="s">
        <v>51</v>
      </c>
      <c r="C55" s="11" t="s">
        <v>214</v>
      </c>
      <c r="D55" s="11" t="s">
        <v>80</v>
      </c>
      <c r="E55" s="20">
        <v>37591</v>
      </c>
      <c r="F55" s="2">
        <f t="shared" ca="1" si="0"/>
        <v>16</v>
      </c>
      <c r="G55" s="17" t="s">
        <v>47</v>
      </c>
      <c r="H55" s="41">
        <v>65927</v>
      </c>
      <c r="I55" s="19">
        <v>5</v>
      </c>
    </row>
    <row r="56" spans="1:9" x14ac:dyDescent="0.2">
      <c r="A56" s="11" t="s">
        <v>356</v>
      </c>
      <c r="B56" s="14" t="s">
        <v>43</v>
      </c>
      <c r="C56" s="11" t="s">
        <v>214</v>
      </c>
      <c r="D56" s="11" t="s">
        <v>56</v>
      </c>
      <c r="E56" s="20">
        <v>37274</v>
      </c>
      <c r="F56" s="2">
        <f t="shared" ca="1" si="0"/>
        <v>17</v>
      </c>
      <c r="G56" s="17"/>
      <c r="H56" s="41">
        <v>30337</v>
      </c>
      <c r="I56" s="19">
        <v>1</v>
      </c>
    </row>
    <row r="57" spans="1:9" x14ac:dyDescent="0.2">
      <c r="A57" s="11" t="s">
        <v>100</v>
      </c>
      <c r="B57" s="14" t="s">
        <v>27</v>
      </c>
      <c r="C57" s="11" t="s">
        <v>152</v>
      </c>
      <c r="D57" s="11" t="s">
        <v>29</v>
      </c>
      <c r="E57" s="20">
        <v>36836</v>
      </c>
      <c r="F57" s="2">
        <f t="shared" ca="1" si="0"/>
        <v>18</v>
      </c>
      <c r="G57" s="17" t="s">
        <v>38</v>
      </c>
      <c r="H57" s="41">
        <v>87453</v>
      </c>
      <c r="I57" s="19">
        <v>5</v>
      </c>
    </row>
    <row r="58" spans="1:9" x14ac:dyDescent="0.2">
      <c r="A58" s="11" t="s">
        <v>870</v>
      </c>
      <c r="B58" s="14" t="s">
        <v>27</v>
      </c>
      <c r="C58" s="11" t="s">
        <v>214</v>
      </c>
      <c r="D58" s="11" t="s">
        <v>21</v>
      </c>
      <c r="E58" s="20">
        <v>39857</v>
      </c>
      <c r="F58" s="2">
        <f t="shared" ca="1" si="0"/>
        <v>10</v>
      </c>
      <c r="G58" s="17"/>
      <c r="H58" s="41">
        <v>53055</v>
      </c>
      <c r="I58" s="19">
        <v>2</v>
      </c>
    </row>
    <row r="59" spans="1:9" x14ac:dyDescent="0.2">
      <c r="A59" s="11" t="s">
        <v>331</v>
      </c>
      <c r="B59" s="14" t="s">
        <v>83</v>
      </c>
      <c r="C59" s="11" t="s">
        <v>214</v>
      </c>
      <c r="D59" s="11" t="s">
        <v>29</v>
      </c>
      <c r="E59" s="20">
        <v>38197</v>
      </c>
      <c r="F59" s="2">
        <f t="shared" ca="1" si="0"/>
        <v>14</v>
      </c>
      <c r="G59" s="17" t="s">
        <v>47</v>
      </c>
      <c r="H59" s="41">
        <v>54081</v>
      </c>
      <c r="I59" s="19">
        <v>3</v>
      </c>
    </row>
    <row r="60" spans="1:9" x14ac:dyDescent="0.2">
      <c r="A60" s="11" t="s">
        <v>1114</v>
      </c>
      <c r="B60" s="14" t="s">
        <v>43</v>
      </c>
      <c r="C60" s="11" t="s">
        <v>136</v>
      </c>
      <c r="D60" s="11" t="s">
        <v>29</v>
      </c>
      <c r="E60" s="20">
        <v>41683</v>
      </c>
      <c r="F60" s="2">
        <f t="shared" ca="1" si="0"/>
        <v>5</v>
      </c>
      <c r="G60" s="17" t="s">
        <v>47</v>
      </c>
      <c r="H60" s="41">
        <v>33467</v>
      </c>
      <c r="I60" s="19">
        <v>3</v>
      </c>
    </row>
    <row r="61" spans="1:9" x14ac:dyDescent="0.2">
      <c r="A61" s="11" t="s">
        <v>374</v>
      </c>
      <c r="B61" s="14" t="s">
        <v>51</v>
      </c>
      <c r="C61" s="11" t="s">
        <v>214</v>
      </c>
      <c r="D61" s="11" t="s">
        <v>29</v>
      </c>
      <c r="E61" s="20">
        <v>36569</v>
      </c>
      <c r="F61" s="2">
        <f t="shared" ca="1" si="0"/>
        <v>19</v>
      </c>
      <c r="G61" s="17" t="s">
        <v>47</v>
      </c>
      <c r="H61" s="41">
        <v>32805</v>
      </c>
      <c r="I61" s="19">
        <v>3</v>
      </c>
    </row>
    <row r="62" spans="1:9" x14ac:dyDescent="0.2">
      <c r="A62" s="11" t="s">
        <v>1484</v>
      </c>
      <c r="B62" s="14" t="s">
        <v>19</v>
      </c>
      <c r="C62" s="11" t="s">
        <v>101</v>
      </c>
      <c r="D62" s="11" t="s">
        <v>29</v>
      </c>
      <c r="E62" s="20">
        <v>35320</v>
      </c>
      <c r="F62" s="2">
        <f t="shared" ca="1" si="0"/>
        <v>22</v>
      </c>
      <c r="G62" s="17" t="s">
        <v>47</v>
      </c>
      <c r="H62" s="41">
        <v>110066</v>
      </c>
      <c r="I62" s="19">
        <v>5</v>
      </c>
    </row>
    <row r="63" spans="1:9" x14ac:dyDescent="0.2">
      <c r="A63" s="11" t="s">
        <v>166</v>
      </c>
      <c r="B63" s="14" t="s">
        <v>27</v>
      </c>
      <c r="C63" s="11" t="s">
        <v>152</v>
      </c>
      <c r="D63" s="11" t="s">
        <v>80</v>
      </c>
      <c r="E63" s="20">
        <v>35789</v>
      </c>
      <c r="F63" s="2">
        <f t="shared" ca="1" si="0"/>
        <v>21</v>
      </c>
      <c r="G63" s="17" t="s">
        <v>47</v>
      </c>
      <c r="H63" s="41">
        <v>26912</v>
      </c>
      <c r="I63" s="19">
        <v>1</v>
      </c>
    </row>
    <row r="64" spans="1:9" x14ac:dyDescent="0.2">
      <c r="A64" s="11" t="s">
        <v>934</v>
      </c>
      <c r="B64" s="14" t="s">
        <v>19</v>
      </c>
      <c r="C64" s="11" t="s">
        <v>136</v>
      </c>
      <c r="D64" s="11" t="s">
        <v>29</v>
      </c>
      <c r="E64" s="20">
        <v>38922</v>
      </c>
      <c r="F64" s="2">
        <f t="shared" ca="1" si="0"/>
        <v>12</v>
      </c>
      <c r="G64" s="17" t="s">
        <v>47</v>
      </c>
      <c r="H64" s="41">
        <v>39326</v>
      </c>
      <c r="I64" s="19">
        <v>1</v>
      </c>
    </row>
    <row r="65" spans="1:9" x14ac:dyDescent="0.2">
      <c r="A65" s="11" t="s">
        <v>453</v>
      </c>
      <c r="B65" s="14" t="s">
        <v>36</v>
      </c>
      <c r="C65" s="11" t="s">
        <v>62</v>
      </c>
      <c r="D65" s="11" t="s">
        <v>29</v>
      </c>
      <c r="E65" s="20">
        <v>38548</v>
      </c>
      <c r="F65" s="2">
        <f t="shared" ca="1" si="0"/>
        <v>13</v>
      </c>
      <c r="G65" s="17" t="s">
        <v>71</v>
      </c>
      <c r="H65" s="41">
        <v>101034</v>
      </c>
      <c r="I65" s="19">
        <v>4</v>
      </c>
    </row>
    <row r="66" spans="1:9" x14ac:dyDescent="0.2">
      <c r="A66" s="11" t="s">
        <v>570</v>
      </c>
      <c r="B66" s="14" t="s">
        <v>51</v>
      </c>
      <c r="C66" s="11" t="s">
        <v>152</v>
      </c>
      <c r="D66" s="11" t="s">
        <v>29</v>
      </c>
      <c r="E66" s="20">
        <v>40410</v>
      </c>
      <c r="F66" s="2">
        <f t="shared" ca="1" si="0"/>
        <v>8</v>
      </c>
      <c r="G66" s="17" t="s">
        <v>47</v>
      </c>
      <c r="H66" s="41">
        <v>60116</v>
      </c>
      <c r="I66" s="19">
        <v>2</v>
      </c>
    </row>
    <row r="67" spans="1:9" x14ac:dyDescent="0.2">
      <c r="A67" s="11" t="s">
        <v>92</v>
      </c>
      <c r="B67" s="14" t="s">
        <v>19</v>
      </c>
      <c r="C67" s="11" t="s">
        <v>214</v>
      </c>
      <c r="D67" s="11" t="s">
        <v>29</v>
      </c>
      <c r="E67" s="20">
        <v>37373</v>
      </c>
      <c r="F67" s="2">
        <f t="shared" ref="F67:F130" ca="1" si="2">DATEDIF(E67,TODAY(),"Y")</f>
        <v>17</v>
      </c>
      <c r="G67" s="17" t="s">
        <v>47</v>
      </c>
      <c r="H67" s="41">
        <v>81378</v>
      </c>
      <c r="I67" s="19">
        <v>1</v>
      </c>
    </row>
    <row r="68" spans="1:9" x14ac:dyDescent="0.2">
      <c r="A68" s="11" t="s">
        <v>100</v>
      </c>
      <c r="B68" s="14" t="s">
        <v>27</v>
      </c>
      <c r="C68" s="11" t="s">
        <v>152</v>
      </c>
      <c r="D68" s="11" t="s">
        <v>29</v>
      </c>
      <c r="E68" s="20">
        <v>36836</v>
      </c>
      <c r="F68" s="2">
        <f t="shared" ca="1" si="2"/>
        <v>18</v>
      </c>
      <c r="G68" s="17" t="s">
        <v>38</v>
      </c>
      <c r="H68" s="41">
        <v>87453</v>
      </c>
      <c r="I68" s="19">
        <v>5</v>
      </c>
    </row>
    <row r="69" spans="1:9" x14ac:dyDescent="0.2">
      <c r="A69" s="11" t="s">
        <v>42</v>
      </c>
      <c r="B69" s="14" t="s">
        <v>19</v>
      </c>
      <c r="C69" s="11" t="s">
        <v>152</v>
      </c>
      <c r="D69" s="11" t="s">
        <v>80</v>
      </c>
      <c r="E69" s="20">
        <v>35938</v>
      </c>
      <c r="F69" s="2">
        <f t="shared" ca="1" si="2"/>
        <v>21</v>
      </c>
      <c r="G69" s="17" t="s">
        <v>47</v>
      </c>
      <c r="H69" s="41">
        <v>66886</v>
      </c>
      <c r="I69" s="19">
        <v>2</v>
      </c>
    </row>
    <row r="70" spans="1:9" x14ac:dyDescent="0.2">
      <c r="A70" s="11" t="s">
        <v>1062</v>
      </c>
      <c r="B70" s="14" t="s">
        <v>27</v>
      </c>
      <c r="C70" s="11" t="s">
        <v>145</v>
      </c>
      <c r="D70" s="11" t="s">
        <v>29</v>
      </c>
      <c r="E70" s="20">
        <v>35388</v>
      </c>
      <c r="F70" s="2">
        <f t="shared" ca="1" si="2"/>
        <v>22</v>
      </c>
      <c r="G70" s="17" t="s">
        <v>47</v>
      </c>
      <c r="H70" s="41">
        <v>74021</v>
      </c>
      <c r="I70" s="19">
        <v>1</v>
      </c>
    </row>
    <row r="71" spans="1:9" x14ac:dyDescent="0.2">
      <c r="A71" s="11" t="s">
        <v>576</v>
      </c>
      <c r="B71" s="14" t="s">
        <v>36</v>
      </c>
      <c r="C71" s="11" t="s">
        <v>214</v>
      </c>
      <c r="D71" s="11" t="s">
        <v>29</v>
      </c>
      <c r="E71" s="20">
        <v>37614</v>
      </c>
      <c r="F71" s="2">
        <f t="shared" ca="1" si="2"/>
        <v>16</v>
      </c>
      <c r="G71" s="17" t="s">
        <v>38</v>
      </c>
      <c r="H71" s="41">
        <v>47871</v>
      </c>
      <c r="I71" s="19">
        <v>5</v>
      </c>
    </row>
    <row r="72" spans="1:9" x14ac:dyDescent="0.2">
      <c r="A72" s="11" t="s">
        <v>1162</v>
      </c>
      <c r="B72" s="14" t="s">
        <v>43</v>
      </c>
      <c r="C72" s="11" t="s">
        <v>478</v>
      </c>
      <c r="D72" s="11" t="s">
        <v>21</v>
      </c>
      <c r="E72" s="20">
        <v>38549</v>
      </c>
      <c r="F72" s="2">
        <f t="shared" ca="1" si="2"/>
        <v>13</v>
      </c>
      <c r="G72" s="17"/>
      <c r="H72" s="41">
        <v>100575</v>
      </c>
      <c r="I72" s="19">
        <v>4</v>
      </c>
    </row>
    <row r="73" spans="1:9" x14ac:dyDescent="0.2">
      <c r="A73" s="11" t="s">
        <v>372</v>
      </c>
      <c r="B73" s="14" t="s">
        <v>36</v>
      </c>
      <c r="C73" s="11" t="s">
        <v>136</v>
      </c>
      <c r="D73" s="11" t="s">
        <v>29</v>
      </c>
      <c r="E73" s="20">
        <v>41001</v>
      </c>
      <c r="F73" s="2">
        <f t="shared" ca="1" si="2"/>
        <v>7</v>
      </c>
      <c r="G73" s="17" t="s">
        <v>47</v>
      </c>
      <c r="H73" s="41">
        <v>99671</v>
      </c>
      <c r="I73" s="19">
        <v>2</v>
      </c>
    </row>
    <row r="74" spans="1:9" x14ac:dyDescent="0.2">
      <c r="A74" s="11" t="s">
        <v>643</v>
      </c>
      <c r="B74" s="14" t="s">
        <v>19</v>
      </c>
      <c r="C74" s="11" t="s">
        <v>136</v>
      </c>
      <c r="D74" s="11" t="s">
        <v>29</v>
      </c>
      <c r="E74" s="20">
        <v>40831</v>
      </c>
      <c r="F74" s="2">
        <f t="shared" ca="1" si="2"/>
        <v>7</v>
      </c>
      <c r="G74" s="17" t="s">
        <v>30</v>
      </c>
      <c r="H74" s="41">
        <v>88938</v>
      </c>
      <c r="I74" s="19">
        <v>5</v>
      </c>
    </row>
    <row r="75" spans="1:9" x14ac:dyDescent="0.2">
      <c r="A75" s="11" t="s">
        <v>1544</v>
      </c>
      <c r="B75" s="14" t="s">
        <v>51</v>
      </c>
      <c r="C75" s="11" t="s">
        <v>86</v>
      </c>
      <c r="D75" s="11" t="s">
        <v>21</v>
      </c>
      <c r="E75" s="20">
        <v>37983</v>
      </c>
      <c r="F75" s="2">
        <f t="shared" ca="1" si="2"/>
        <v>15</v>
      </c>
      <c r="G75" s="17"/>
      <c r="H75" s="41">
        <v>42215</v>
      </c>
      <c r="I75" s="19">
        <v>5</v>
      </c>
    </row>
    <row r="76" spans="1:9" x14ac:dyDescent="0.2">
      <c r="A76" s="11" t="s">
        <v>1304</v>
      </c>
      <c r="B76" s="14" t="s">
        <v>43</v>
      </c>
      <c r="C76" s="11" t="s">
        <v>214</v>
      </c>
      <c r="D76" s="11" t="s">
        <v>29</v>
      </c>
      <c r="E76" s="20">
        <v>36804</v>
      </c>
      <c r="F76" s="2">
        <f t="shared" ca="1" si="2"/>
        <v>18</v>
      </c>
      <c r="G76" s="17" t="s">
        <v>87</v>
      </c>
      <c r="H76" s="41">
        <v>52569</v>
      </c>
      <c r="I76" s="19">
        <v>2</v>
      </c>
    </row>
    <row r="77" spans="1:9" x14ac:dyDescent="0.2">
      <c r="A77" s="11" t="s">
        <v>602</v>
      </c>
      <c r="B77" s="14" t="s">
        <v>36</v>
      </c>
      <c r="C77" s="11" t="s">
        <v>152</v>
      </c>
      <c r="D77" s="11" t="s">
        <v>80</v>
      </c>
      <c r="E77" s="20">
        <v>37081</v>
      </c>
      <c r="F77" s="2">
        <f t="shared" ca="1" si="2"/>
        <v>17</v>
      </c>
      <c r="G77" s="17" t="s">
        <v>30</v>
      </c>
      <c r="H77" s="41">
        <v>51442</v>
      </c>
      <c r="I77" s="19">
        <v>2</v>
      </c>
    </row>
    <row r="78" spans="1:9" x14ac:dyDescent="0.2">
      <c r="A78" s="11" t="s">
        <v>1372</v>
      </c>
      <c r="B78" s="14" t="s">
        <v>27</v>
      </c>
      <c r="C78" s="11" t="s">
        <v>86</v>
      </c>
      <c r="D78" s="11" t="s">
        <v>80</v>
      </c>
      <c r="E78" s="20">
        <v>37878</v>
      </c>
      <c r="F78" s="2">
        <f t="shared" ca="1" si="2"/>
        <v>15</v>
      </c>
      <c r="G78" s="17" t="s">
        <v>47</v>
      </c>
      <c r="H78" s="41">
        <v>64645</v>
      </c>
      <c r="I78" s="19">
        <v>1</v>
      </c>
    </row>
    <row r="79" spans="1:9" x14ac:dyDescent="0.2">
      <c r="A79" s="11" t="s">
        <v>1140</v>
      </c>
      <c r="B79" s="14" t="s">
        <v>43</v>
      </c>
      <c r="C79" s="11" t="s">
        <v>152</v>
      </c>
      <c r="D79" s="11" t="s">
        <v>29</v>
      </c>
      <c r="E79" s="20">
        <v>40131</v>
      </c>
      <c r="F79" s="2">
        <f t="shared" ca="1" si="2"/>
        <v>9</v>
      </c>
      <c r="G79" s="17" t="s">
        <v>30</v>
      </c>
      <c r="H79" s="41">
        <v>109809</v>
      </c>
      <c r="I79" s="19">
        <v>2</v>
      </c>
    </row>
    <row r="80" spans="1:9" x14ac:dyDescent="0.2">
      <c r="A80" s="11" t="s">
        <v>1116</v>
      </c>
      <c r="B80" s="14" t="s">
        <v>19</v>
      </c>
      <c r="C80" s="11" t="s">
        <v>20</v>
      </c>
      <c r="D80" s="11" t="s">
        <v>29</v>
      </c>
      <c r="E80" s="20">
        <v>36870</v>
      </c>
      <c r="F80" s="2">
        <f t="shared" ca="1" si="2"/>
        <v>18</v>
      </c>
      <c r="G80" s="17" t="s">
        <v>38</v>
      </c>
      <c r="H80" s="41">
        <v>104423</v>
      </c>
      <c r="I80" s="19">
        <v>5</v>
      </c>
    </row>
    <row r="81" spans="1:9" x14ac:dyDescent="0.2">
      <c r="A81" s="11" t="s">
        <v>364</v>
      </c>
      <c r="B81" s="14" t="s">
        <v>43</v>
      </c>
      <c r="C81" s="11" t="s">
        <v>86</v>
      </c>
      <c r="D81" s="11" t="s">
        <v>29</v>
      </c>
      <c r="E81" s="20">
        <v>38446</v>
      </c>
      <c r="F81" s="2">
        <f t="shared" ca="1" si="2"/>
        <v>14</v>
      </c>
      <c r="G81" s="17" t="s">
        <v>30</v>
      </c>
      <c r="H81" s="41">
        <v>70862</v>
      </c>
      <c r="I81" s="19">
        <v>4</v>
      </c>
    </row>
    <row r="82" spans="1:9" x14ac:dyDescent="0.2">
      <c r="A82" s="11" t="s">
        <v>847</v>
      </c>
      <c r="B82" s="14" t="s">
        <v>83</v>
      </c>
      <c r="C82" s="11" t="s">
        <v>214</v>
      </c>
      <c r="D82" s="11" t="s">
        <v>56</v>
      </c>
      <c r="E82" s="20">
        <v>35949</v>
      </c>
      <c r="F82" s="2">
        <f t="shared" ca="1" si="2"/>
        <v>21</v>
      </c>
      <c r="G82" s="17"/>
      <c r="H82" s="41">
        <v>41062</v>
      </c>
      <c r="I82" s="19">
        <v>1</v>
      </c>
    </row>
    <row r="83" spans="1:9" x14ac:dyDescent="0.2">
      <c r="A83" s="11" t="s">
        <v>1552</v>
      </c>
      <c r="B83" s="14" t="s">
        <v>19</v>
      </c>
      <c r="C83" s="11" t="s">
        <v>59</v>
      </c>
      <c r="D83" s="11" t="s">
        <v>21</v>
      </c>
      <c r="E83" s="20">
        <v>37723</v>
      </c>
      <c r="F83" s="2">
        <f t="shared" ca="1" si="2"/>
        <v>16</v>
      </c>
      <c r="G83" s="17"/>
      <c r="H83" s="41">
        <v>33912</v>
      </c>
      <c r="I83" s="19">
        <v>5</v>
      </c>
    </row>
    <row r="84" spans="1:9" x14ac:dyDescent="0.2">
      <c r="A84" s="11" t="s">
        <v>388</v>
      </c>
      <c r="B84" s="14" t="s">
        <v>83</v>
      </c>
      <c r="C84" s="11" t="s">
        <v>214</v>
      </c>
      <c r="D84" s="11" t="s">
        <v>21</v>
      </c>
      <c r="E84" s="20">
        <v>40658</v>
      </c>
      <c r="F84" s="2">
        <f t="shared" ca="1" si="2"/>
        <v>8</v>
      </c>
      <c r="G84" s="17"/>
      <c r="H84" s="41">
        <v>80096</v>
      </c>
      <c r="I84" s="19">
        <v>4</v>
      </c>
    </row>
    <row r="85" spans="1:9" x14ac:dyDescent="0.2">
      <c r="A85" s="11" t="s">
        <v>1058</v>
      </c>
      <c r="B85" s="14" t="s">
        <v>19</v>
      </c>
      <c r="C85" s="11" t="s">
        <v>214</v>
      </c>
      <c r="D85" s="11" t="s">
        <v>29</v>
      </c>
      <c r="E85" s="20">
        <v>35777</v>
      </c>
      <c r="F85" s="2">
        <f t="shared" ca="1" si="2"/>
        <v>21</v>
      </c>
      <c r="G85" s="17" t="s">
        <v>30</v>
      </c>
      <c r="H85" s="41">
        <v>61425</v>
      </c>
      <c r="I85" s="19">
        <v>3</v>
      </c>
    </row>
    <row r="86" spans="1:9" x14ac:dyDescent="0.2">
      <c r="A86" s="11" t="s">
        <v>1296</v>
      </c>
      <c r="B86" s="14" t="s">
        <v>27</v>
      </c>
      <c r="C86" s="11" t="s">
        <v>265</v>
      </c>
      <c r="D86" s="11" t="s">
        <v>29</v>
      </c>
      <c r="E86" s="20">
        <v>39667</v>
      </c>
      <c r="F86" s="2">
        <f t="shared" ca="1" si="2"/>
        <v>10</v>
      </c>
      <c r="G86" s="17" t="s">
        <v>47</v>
      </c>
      <c r="H86" s="41">
        <v>116816</v>
      </c>
      <c r="I86" s="19">
        <v>1</v>
      </c>
    </row>
    <row r="87" spans="1:9" x14ac:dyDescent="0.2">
      <c r="A87" s="11" t="s">
        <v>1066</v>
      </c>
      <c r="B87" s="14" t="s">
        <v>19</v>
      </c>
      <c r="C87" s="11" t="s">
        <v>405</v>
      </c>
      <c r="D87" s="11" t="s">
        <v>21</v>
      </c>
      <c r="E87" s="20">
        <v>42503</v>
      </c>
      <c r="F87" s="2">
        <f t="shared" ca="1" si="2"/>
        <v>3</v>
      </c>
      <c r="G87" s="17"/>
      <c r="H87" s="41">
        <v>89278</v>
      </c>
      <c r="I87" s="19">
        <v>4</v>
      </c>
    </row>
    <row r="88" spans="1:9" x14ac:dyDescent="0.2">
      <c r="A88" s="11" t="s">
        <v>335</v>
      </c>
      <c r="B88" s="14" t="s">
        <v>43</v>
      </c>
      <c r="C88" s="11" t="s">
        <v>214</v>
      </c>
      <c r="D88" s="11" t="s">
        <v>80</v>
      </c>
      <c r="E88" s="20">
        <v>35947</v>
      </c>
      <c r="F88" s="2">
        <f t="shared" ca="1" si="2"/>
        <v>21</v>
      </c>
      <c r="G88" s="17" t="s">
        <v>87</v>
      </c>
      <c r="H88" s="41">
        <v>25508</v>
      </c>
      <c r="I88" s="19">
        <v>4</v>
      </c>
    </row>
    <row r="89" spans="1:9" x14ac:dyDescent="0.2">
      <c r="A89" s="11" t="s">
        <v>1386</v>
      </c>
      <c r="B89" s="14" t="s">
        <v>27</v>
      </c>
      <c r="C89" s="11" t="s">
        <v>20</v>
      </c>
      <c r="D89" s="11" t="s">
        <v>80</v>
      </c>
      <c r="E89" s="20">
        <v>36332</v>
      </c>
      <c r="F89" s="2">
        <f t="shared" ca="1" si="2"/>
        <v>19</v>
      </c>
      <c r="G89" s="17" t="s">
        <v>71</v>
      </c>
      <c r="H89" s="41">
        <v>52542</v>
      </c>
      <c r="I89" s="19">
        <v>4</v>
      </c>
    </row>
    <row r="90" spans="1:9" x14ac:dyDescent="0.2">
      <c r="A90" s="11" t="s">
        <v>1396</v>
      </c>
      <c r="B90" s="14" t="s">
        <v>19</v>
      </c>
      <c r="C90" s="11" t="s">
        <v>254</v>
      </c>
      <c r="D90" s="11" t="s">
        <v>29</v>
      </c>
      <c r="E90" s="20">
        <v>35362</v>
      </c>
      <c r="F90" s="2">
        <f t="shared" ca="1" si="2"/>
        <v>22</v>
      </c>
      <c r="G90" s="17" t="s">
        <v>47</v>
      </c>
      <c r="H90" s="41">
        <v>58833</v>
      </c>
      <c r="I90" s="19">
        <v>5</v>
      </c>
    </row>
    <row r="91" spans="1:9" x14ac:dyDescent="0.2">
      <c r="A91" s="11" t="s">
        <v>90</v>
      </c>
      <c r="B91" s="14" t="s">
        <v>27</v>
      </c>
      <c r="C91" s="11" t="s">
        <v>86</v>
      </c>
      <c r="D91" s="11" t="s">
        <v>29</v>
      </c>
      <c r="E91" s="20">
        <v>35390</v>
      </c>
      <c r="F91" s="2">
        <f t="shared" ca="1" si="2"/>
        <v>22</v>
      </c>
      <c r="G91" s="17" t="s">
        <v>87</v>
      </c>
      <c r="H91" s="41">
        <v>117612</v>
      </c>
      <c r="I91" s="19">
        <v>3</v>
      </c>
    </row>
    <row r="92" spans="1:9" x14ac:dyDescent="0.2">
      <c r="A92" s="11" t="s">
        <v>514</v>
      </c>
      <c r="B92" s="14" t="s">
        <v>19</v>
      </c>
      <c r="C92" s="11" t="s">
        <v>136</v>
      </c>
      <c r="D92" s="11" t="s">
        <v>29</v>
      </c>
      <c r="E92" s="20">
        <v>35310</v>
      </c>
      <c r="F92" s="2">
        <f t="shared" ca="1" si="2"/>
        <v>22</v>
      </c>
      <c r="G92" s="17" t="s">
        <v>38</v>
      </c>
      <c r="H92" s="41">
        <v>107190</v>
      </c>
      <c r="I92" s="19">
        <v>4</v>
      </c>
    </row>
    <row r="93" spans="1:9" x14ac:dyDescent="0.2">
      <c r="A93" s="11" t="s">
        <v>232</v>
      </c>
      <c r="B93" s="14" t="s">
        <v>19</v>
      </c>
      <c r="C93" s="11" t="s">
        <v>136</v>
      </c>
      <c r="D93" s="11" t="s">
        <v>29</v>
      </c>
      <c r="E93" s="20">
        <v>35244</v>
      </c>
      <c r="F93" s="2">
        <f t="shared" ca="1" si="2"/>
        <v>22</v>
      </c>
      <c r="G93" s="17" t="s">
        <v>38</v>
      </c>
      <c r="H93" s="41">
        <v>104949</v>
      </c>
      <c r="I93" s="19">
        <v>1</v>
      </c>
    </row>
    <row r="94" spans="1:9" x14ac:dyDescent="0.2">
      <c r="A94" s="11" t="s">
        <v>638</v>
      </c>
      <c r="B94" s="14" t="s">
        <v>27</v>
      </c>
      <c r="C94" s="11" t="s">
        <v>136</v>
      </c>
      <c r="D94" s="11" t="s">
        <v>56</v>
      </c>
      <c r="E94" s="20">
        <v>38124</v>
      </c>
      <c r="F94" s="2">
        <f t="shared" ca="1" si="2"/>
        <v>15</v>
      </c>
      <c r="G94" s="17"/>
      <c r="H94" s="41">
        <v>49972</v>
      </c>
      <c r="I94" s="19">
        <v>4</v>
      </c>
    </row>
    <row r="95" spans="1:9" x14ac:dyDescent="0.2">
      <c r="A95" s="11" t="s">
        <v>1108</v>
      </c>
      <c r="B95" s="14" t="s">
        <v>36</v>
      </c>
      <c r="C95" s="11" t="s">
        <v>101</v>
      </c>
      <c r="D95" s="11" t="s">
        <v>29</v>
      </c>
      <c r="E95" s="20">
        <v>34963</v>
      </c>
      <c r="F95" s="2">
        <f t="shared" ca="1" si="2"/>
        <v>23</v>
      </c>
      <c r="G95" s="17" t="s">
        <v>30</v>
      </c>
      <c r="H95" s="41">
        <v>58199</v>
      </c>
      <c r="I95" s="19">
        <v>2</v>
      </c>
    </row>
    <row r="96" spans="1:9" x14ac:dyDescent="0.2">
      <c r="A96" s="11" t="s">
        <v>831</v>
      </c>
      <c r="B96" s="14" t="s">
        <v>27</v>
      </c>
      <c r="C96" s="11" t="s">
        <v>86</v>
      </c>
      <c r="D96" s="11" t="s">
        <v>29</v>
      </c>
      <c r="E96" s="20">
        <v>37900</v>
      </c>
      <c r="F96" s="2">
        <f t="shared" ca="1" si="2"/>
        <v>15</v>
      </c>
      <c r="G96" s="17" t="s">
        <v>71</v>
      </c>
      <c r="H96" s="41">
        <v>67190</v>
      </c>
      <c r="I96" s="19">
        <v>1</v>
      </c>
    </row>
    <row r="97" spans="1:9" x14ac:dyDescent="0.2">
      <c r="A97" s="11" t="s">
        <v>1000</v>
      </c>
      <c r="B97" s="14" t="s">
        <v>19</v>
      </c>
      <c r="C97" s="11" t="s">
        <v>214</v>
      </c>
      <c r="D97" s="11" t="s">
        <v>21</v>
      </c>
      <c r="E97" s="20">
        <v>35933</v>
      </c>
      <c r="F97" s="2">
        <f t="shared" ca="1" si="2"/>
        <v>21</v>
      </c>
      <c r="G97" s="17"/>
      <c r="H97" s="41">
        <v>61790</v>
      </c>
      <c r="I97" s="19">
        <v>5</v>
      </c>
    </row>
    <row r="98" spans="1:9" x14ac:dyDescent="0.2">
      <c r="A98" s="11" t="s">
        <v>1268</v>
      </c>
      <c r="B98" s="14" t="s">
        <v>19</v>
      </c>
      <c r="C98" s="11" t="s">
        <v>86</v>
      </c>
      <c r="D98" s="11" t="s">
        <v>29</v>
      </c>
      <c r="E98" s="20">
        <v>42231</v>
      </c>
      <c r="F98" s="2">
        <f t="shared" ca="1" si="2"/>
        <v>3</v>
      </c>
      <c r="G98" s="17" t="s">
        <v>47</v>
      </c>
      <c r="H98" s="41">
        <v>45860</v>
      </c>
      <c r="I98" s="19">
        <v>4</v>
      </c>
    </row>
    <row r="99" spans="1:9" x14ac:dyDescent="0.2">
      <c r="A99" s="11" t="s">
        <v>659</v>
      </c>
      <c r="B99" s="14" t="s">
        <v>27</v>
      </c>
      <c r="C99" s="11" t="s">
        <v>136</v>
      </c>
      <c r="D99" s="11" t="s">
        <v>29</v>
      </c>
      <c r="E99" s="20">
        <v>37312</v>
      </c>
      <c r="F99" s="2">
        <f t="shared" ca="1" si="2"/>
        <v>17</v>
      </c>
      <c r="G99" s="17" t="s">
        <v>47</v>
      </c>
      <c r="H99" s="41">
        <v>85415</v>
      </c>
      <c r="I99" s="19">
        <v>1</v>
      </c>
    </row>
    <row r="100" spans="1:9" x14ac:dyDescent="0.2">
      <c r="A100" s="11" t="s">
        <v>486</v>
      </c>
      <c r="B100" s="14" t="s">
        <v>27</v>
      </c>
      <c r="C100" s="11" t="s">
        <v>145</v>
      </c>
      <c r="D100" s="11" t="s">
        <v>29</v>
      </c>
      <c r="E100" s="20">
        <v>40686</v>
      </c>
      <c r="F100" s="2">
        <f t="shared" ca="1" si="2"/>
        <v>8</v>
      </c>
      <c r="G100" s="17" t="s">
        <v>47</v>
      </c>
      <c r="H100" s="41">
        <v>99306</v>
      </c>
      <c r="I100" s="19">
        <v>3</v>
      </c>
    </row>
    <row r="101" spans="1:9" x14ac:dyDescent="0.2">
      <c r="A101" s="11" t="s">
        <v>1124</v>
      </c>
      <c r="B101" s="14" t="s">
        <v>19</v>
      </c>
      <c r="C101" s="11" t="s">
        <v>59</v>
      </c>
      <c r="D101" s="11" t="s">
        <v>29</v>
      </c>
      <c r="E101" s="20">
        <v>42183</v>
      </c>
      <c r="F101" s="2">
        <f t="shared" ca="1" si="2"/>
        <v>3</v>
      </c>
      <c r="G101" s="17" t="s">
        <v>38</v>
      </c>
      <c r="H101" s="41">
        <v>44064</v>
      </c>
      <c r="I101" s="19">
        <v>4</v>
      </c>
    </row>
    <row r="102" spans="1:9" x14ac:dyDescent="0.2">
      <c r="A102" s="11" t="s">
        <v>882</v>
      </c>
      <c r="B102" s="14" t="s">
        <v>19</v>
      </c>
      <c r="C102" s="11" t="s">
        <v>254</v>
      </c>
      <c r="D102" s="11" t="s">
        <v>29</v>
      </c>
      <c r="E102" s="20">
        <v>37196</v>
      </c>
      <c r="F102" s="2">
        <f t="shared" ca="1" si="2"/>
        <v>17</v>
      </c>
      <c r="G102" s="17" t="s">
        <v>87</v>
      </c>
      <c r="H102" s="41">
        <v>105233</v>
      </c>
      <c r="I102" s="19">
        <v>4</v>
      </c>
    </row>
    <row r="103" spans="1:9" x14ac:dyDescent="0.2">
      <c r="A103" s="11" t="s">
        <v>58</v>
      </c>
      <c r="B103" s="14" t="s">
        <v>19</v>
      </c>
      <c r="C103" s="11" t="s">
        <v>214</v>
      </c>
      <c r="D103" s="11" t="s">
        <v>21</v>
      </c>
      <c r="E103" s="20">
        <v>38421</v>
      </c>
      <c r="F103" s="2">
        <f t="shared" ca="1" si="2"/>
        <v>14</v>
      </c>
      <c r="G103" s="17"/>
      <c r="H103" s="41">
        <v>77760</v>
      </c>
      <c r="I103" s="19">
        <v>3</v>
      </c>
    </row>
    <row r="104" spans="1:9" x14ac:dyDescent="0.2">
      <c r="A104" s="11" t="s">
        <v>1510</v>
      </c>
      <c r="B104" s="14" t="s">
        <v>36</v>
      </c>
      <c r="C104" s="11" t="s">
        <v>254</v>
      </c>
      <c r="D104" s="11" t="s">
        <v>80</v>
      </c>
      <c r="E104" s="20">
        <v>42177</v>
      </c>
      <c r="F104" s="2">
        <f t="shared" ca="1" si="2"/>
        <v>3</v>
      </c>
      <c r="G104" s="17" t="s">
        <v>47</v>
      </c>
      <c r="H104" s="41">
        <v>22849</v>
      </c>
      <c r="I104" s="19">
        <v>1</v>
      </c>
    </row>
    <row r="105" spans="1:9" x14ac:dyDescent="0.2">
      <c r="A105" s="11" t="s">
        <v>1430</v>
      </c>
      <c r="B105" s="14" t="s">
        <v>36</v>
      </c>
      <c r="C105" s="11" t="s">
        <v>254</v>
      </c>
      <c r="D105" s="11" t="s">
        <v>29</v>
      </c>
      <c r="E105" s="20">
        <v>41462</v>
      </c>
      <c r="F105" s="2">
        <f t="shared" ca="1" si="2"/>
        <v>5</v>
      </c>
      <c r="G105" s="17" t="s">
        <v>30</v>
      </c>
      <c r="H105" s="41">
        <v>108122</v>
      </c>
      <c r="I105" s="19">
        <v>2</v>
      </c>
    </row>
    <row r="106" spans="1:9" x14ac:dyDescent="0.2">
      <c r="A106" s="11" t="s">
        <v>978</v>
      </c>
      <c r="B106" s="14" t="s">
        <v>27</v>
      </c>
      <c r="C106" s="11" t="s">
        <v>152</v>
      </c>
      <c r="D106" s="11" t="s">
        <v>21</v>
      </c>
      <c r="E106" s="20">
        <v>42347</v>
      </c>
      <c r="F106" s="2">
        <f t="shared" ca="1" si="2"/>
        <v>3</v>
      </c>
      <c r="G106" s="17"/>
      <c r="H106" s="41">
        <v>74939</v>
      </c>
      <c r="I106" s="19">
        <v>3</v>
      </c>
    </row>
    <row r="107" spans="1:9" x14ac:dyDescent="0.2">
      <c r="A107" s="11" t="s">
        <v>695</v>
      </c>
      <c r="B107" s="14" t="s">
        <v>36</v>
      </c>
      <c r="C107" s="11" t="s">
        <v>152</v>
      </c>
      <c r="D107" s="11" t="s">
        <v>21</v>
      </c>
      <c r="E107" s="20">
        <v>38849</v>
      </c>
      <c r="F107" s="2">
        <f t="shared" ca="1" si="2"/>
        <v>13</v>
      </c>
      <c r="G107" s="17"/>
      <c r="H107" s="41">
        <v>104134</v>
      </c>
      <c r="I107" s="19">
        <v>5</v>
      </c>
    </row>
    <row r="108" spans="1:9" x14ac:dyDescent="0.2">
      <c r="A108" s="11" t="s">
        <v>498</v>
      </c>
      <c r="B108" s="14" t="s">
        <v>19</v>
      </c>
      <c r="C108" s="11" t="s">
        <v>62</v>
      </c>
      <c r="D108" s="11" t="s">
        <v>29</v>
      </c>
      <c r="E108" s="20">
        <v>39926</v>
      </c>
      <c r="F108" s="2">
        <f t="shared" ca="1" si="2"/>
        <v>10</v>
      </c>
      <c r="G108" s="17" t="s">
        <v>47</v>
      </c>
      <c r="H108" s="41">
        <v>66623</v>
      </c>
      <c r="I108" s="19">
        <v>4</v>
      </c>
    </row>
    <row r="109" spans="1:9" x14ac:dyDescent="0.2">
      <c r="A109" s="11" t="s">
        <v>1434</v>
      </c>
      <c r="B109" s="14" t="s">
        <v>27</v>
      </c>
      <c r="C109" s="11" t="s">
        <v>86</v>
      </c>
      <c r="D109" s="11" t="s">
        <v>29</v>
      </c>
      <c r="E109" s="20">
        <v>35851</v>
      </c>
      <c r="F109" s="2">
        <f t="shared" ca="1" si="2"/>
        <v>21</v>
      </c>
      <c r="G109" s="17" t="s">
        <v>38</v>
      </c>
      <c r="H109" s="41">
        <v>116829</v>
      </c>
      <c r="I109" s="19">
        <v>4</v>
      </c>
    </row>
    <row r="110" spans="1:9" x14ac:dyDescent="0.2">
      <c r="A110" s="11" t="s">
        <v>598</v>
      </c>
      <c r="B110" s="14" t="s">
        <v>19</v>
      </c>
      <c r="C110" s="11" t="s">
        <v>214</v>
      </c>
      <c r="D110" s="11" t="s">
        <v>29</v>
      </c>
      <c r="E110" s="20">
        <v>39293</v>
      </c>
      <c r="F110" s="2">
        <f t="shared" ca="1" si="2"/>
        <v>11</v>
      </c>
      <c r="G110" s="17" t="s">
        <v>30</v>
      </c>
      <c r="H110" s="41">
        <v>93258</v>
      </c>
      <c r="I110" s="19">
        <v>3</v>
      </c>
    </row>
    <row r="111" spans="1:9" x14ac:dyDescent="0.2">
      <c r="A111" s="11" t="s">
        <v>1126</v>
      </c>
      <c r="B111" s="14" t="s">
        <v>19</v>
      </c>
      <c r="C111" s="11" t="s">
        <v>136</v>
      </c>
      <c r="D111" s="11" t="s">
        <v>29</v>
      </c>
      <c r="E111" s="20">
        <v>38457</v>
      </c>
      <c r="F111" s="2">
        <f t="shared" ca="1" si="2"/>
        <v>14</v>
      </c>
      <c r="G111" s="17" t="s">
        <v>71</v>
      </c>
      <c r="H111" s="41">
        <v>65246</v>
      </c>
      <c r="I111" s="19">
        <v>1</v>
      </c>
    </row>
    <row r="112" spans="1:9" x14ac:dyDescent="0.2">
      <c r="A112" s="11" t="s">
        <v>291</v>
      </c>
      <c r="B112" s="14" t="s">
        <v>19</v>
      </c>
      <c r="C112" s="11" t="s">
        <v>104</v>
      </c>
      <c r="D112" s="11" t="s">
        <v>29</v>
      </c>
      <c r="E112" s="20">
        <v>37243</v>
      </c>
      <c r="F112" s="2">
        <f t="shared" ca="1" si="2"/>
        <v>17</v>
      </c>
      <c r="G112" s="17" t="s">
        <v>30</v>
      </c>
      <c r="H112" s="41">
        <v>66636</v>
      </c>
      <c r="I112" s="19">
        <v>2</v>
      </c>
    </row>
    <row r="113" spans="1:9" x14ac:dyDescent="0.2">
      <c r="A113" s="11" t="s">
        <v>994</v>
      </c>
      <c r="B113" s="14" t="s">
        <v>19</v>
      </c>
      <c r="C113" s="11" t="s">
        <v>20</v>
      </c>
      <c r="D113" s="11" t="s">
        <v>29</v>
      </c>
      <c r="E113" s="20">
        <v>35359</v>
      </c>
      <c r="F113" s="2">
        <f t="shared" ca="1" si="2"/>
        <v>22</v>
      </c>
      <c r="G113" s="17" t="s">
        <v>87</v>
      </c>
      <c r="H113" s="41">
        <v>82890</v>
      </c>
      <c r="I113" s="19">
        <v>5</v>
      </c>
    </row>
    <row r="114" spans="1:9" x14ac:dyDescent="0.2">
      <c r="A114" s="11" t="s">
        <v>673</v>
      </c>
      <c r="B114" s="14" t="s">
        <v>36</v>
      </c>
      <c r="C114" s="11" t="s">
        <v>145</v>
      </c>
      <c r="D114" s="11" t="s">
        <v>29</v>
      </c>
      <c r="E114" s="20">
        <v>39409</v>
      </c>
      <c r="F114" s="2">
        <f t="shared" ca="1" si="2"/>
        <v>11</v>
      </c>
      <c r="G114" s="17" t="s">
        <v>30</v>
      </c>
      <c r="H114" s="41">
        <v>111362</v>
      </c>
      <c r="I114" s="19">
        <v>5</v>
      </c>
    </row>
    <row r="115" spans="1:9" x14ac:dyDescent="0.2">
      <c r="A115" s="11" t="s">
        <v>763</v>
      </c>
      <c r="B115" s="14" t="s">
        <v>19</v>
      </c>
      <c r="C115" s="11" t="s">
        <v>101</v>
      </c>
      <c r="D115" s="11" t="s">
        <v>29</v>
      </c>
      <c r="E115" s="20">
        <v>34897</v>
      </c>
      <c r="F115" s="2">
        <f t="shared" ca="1" si="2"/>
        <v>23</v>
      </c>
      <c r="G115" s="17" t="s">
        <v>47</v>
      </c>
      <c r="H115" s="41">
        <v>44010</v>
      </c>
      <c r="I115" s="19">
        <v>5</v>
      </c>
    </row>
    <row r="116" spans="1:9" x14ac:dyDescent="0.2">
      <c r="A116" s="11" t="s">
        <v>457</v>
      </c>
      <c r="B116" s="14" t="s">
        <v>27</v>
      </c>
      <c r="C116" s="11" t="s">
        <v>52</v>
      </c>
      <c r="D116" s="11" t="s">
        <v>29</v>
      </c>
      <c r="E116" s="20">
        <v>38053</v>
      </c>
      <c r="F116" s="2">
        <f t="shared" ca="1" si="2"/>
        <v>15</v>
      </c>
      <c r="G116" s="17" t="s">
        <v>30</v>
      </c>
      <c r="H116" s="41">
        <v>82796</v>
      </c>
      <c r="I116" s="19">
        <v>1</v>
      </c>
    </row>
    <row r="117" spans="1:9" x14ac:dyDescent="0.2">
      <c r="A117" s="11" t="s">
        <v>1340</v>
      </c>
      <c r="B117" s="14" t="s">
        <v>83</v>
      </c>
      <c r="C117" s="11" t="s">
        <v>205</v>
      </c>
      <c r="D117" s="11" t="s">
        <v>29</v>
      </c>
      <c r="E117" s="20">
        <v>38827</v>
      </c>
      <c r="F117" s="2">
        <f t="shared" ca="1" si="2"/>
        <v>13</v>
      </c>
      <c r="G117" s="17" t="s">
        <v>87</v>
      </c>
      <c r="H117" s="41">
        <v>60953</v>
      </c>
      <c r="I117" s="19">
        <v>1</v>
      </c>
    </row>
    <row r="118" spans="1:9" x14ac:dyDescent="0.2">
      <c r="A118" s="11" t="s">
        <v>936</v>
      </c>
      <c r="B118" s="14" t="s">
        <v>19</v>
      </c>
      <c r="C118" s="11" t="s">
        <v>20</v>
      </c>
      <c r="D118" s="11" t="s">
        <v>21</v>
      </c>
      <c r="E118" s="20">
        <v>37686</v>
      </c>
      <c r="F118" s="2">
        <f t="shared" ca="1" si="2"/>
        <v>16</v>
      </c>
      <c r="G118" s="17"/>
      <c r="H118" s="41">
        <v>85509</v>
      </c>
      <c r="I118" s="19">
        <v>3</v>
      </c>
    </row>
    <row r="119" spans="1:9" x14ac:dyDescent="0.2">
      <c r="A119" s="11" t="s">
        <v>657</v>
      </c>
      <c r="B119" s="14" t="s">
        <v>43</v>
      </c>
      <c r="C119" s="11" t="s">
        <v>62</v>
      </c>
      <c r="D119" s="11" t="s">
        <v>56</v>
      </c>
      <c r="E119" s="20">
        <v>41910</v>
      </c>
      <c r="F119" s="2">
        <f t="shared" ca="1" si="2"/>
        <v>4</v>
      </c>
      <c r="G119" s="17"/>
      <c r="H119" s="41">
        <v>14359</v>
      </c>
      <c r="I119" s="19">
        <v>4</v>
      </c>
    </row>
    <row r="120" spans="1:9" x14ac:dyDescent="0.2">
      <c r="A120" s="11" t="s">
        <v>188</v>
      </c>
      <c r="B120" s="14" t="s">
        <v>19</v>
      </c>
      <c r="C120" s="11" t="s">
        <v>254</v>
      </c>
      <c r="D120" s="11" t="s">
        <v>56</v>
      </c>
      <c r="E120" s="20">
        <v>39495</v>
      </c>
      <c r="F120" s="2">
        <f t="shared" ca="1" si="2"/>
        <v>11</v>
      </c>
      <c r="G120" s="17"/>
      <c r="H120" s="41">
        <v>29225</v>
      </c>
      <c r="I120" s="19">
        <v>2</v>
      </c>
    </row>
    <row r="121" spans="1:9" x14ac:dyDescent="0.2">
      <c r="A121" s="11" t="s">
        <v>562</v>
      </c>
      <c r="B121" s="14" t="s">
        <v>43</v>
      </c>
      <c r="C121" s="11" t="s">
        <v>136</v>
      </c>
      <c r="D121" s="11" t="s">
        <v>80</v>
      </c>
      <c r="E121" s="20">
        <v>35455</v>
      </c>
      <c r="F121" s="2">
        <f t="shared" ca="1" si="2"/>
        <v>22</v>
      </c>
      <c r="G121" s="17" t="s">
        <v>47</v>
      </c>
      <c r="H121" s="41">
        <v>62613</v>
      </c>
      <c r="I121" s="19">
        <v>3</v>
      </c>
    </row>
    <row r="122" spans="1:9" x14ac:dyDescent="0.2">
      <c r="A122" s="11" t="s">
        <v>988</v>
      </c>
      <c r="B122" s="14" t="s">
        <v>27</v>
      </c>
      <c r="C122" s="11" t="s">
        <v>641</v>
      </c>
      <c r="D122" s="11" t="s">
        <v>21</v>
      </c>
      <c r="E122" s="20">
        <v>36309</v>
      </c>
      <c r="F122" s="2">
        <f t="shared" ca="1" si="2"/>
        <v>20</v>
      </c>
      <c r="G122" s="17"/>
      <c r="H122" s="41">
        <v>87372</v>
      </c>
      <c r="I122" s="19">
        <v>5</v>
      </c>
    </row>
    <row r="123" spans="1:9" x14ac:dyDescent="0.2">
      <c r="A123" s="11" t="s">
        <v>1034</v>
      </c>
      <c r="B123" s="14" t="s">
        <v>27</v>
      </c>
      <c r="C123" s="11" t="s">
        <v>101</v>
      </c>
      <c r="D123" s="11" t="s">
        <v>29</v>
      </c>
      <c r="E123" s="20">
        <v>35064</v>
      </c>
      <c r="F123" s="2">
        <f t="shared" ca="1" si="2"/>
        <v>23</v>
      </c>
      <c r="G123" s="17" t="s">
        <v>47</v>
      </c>
      <c r="H123" s="41">
        <v>118733</v>
      </c>
      <c r="I123" s="19">
        <v>4</v>
      </c>
    </row>
    <row r="124" spans="1:9" x14ac:dyDescent="0.2">
      <c r="A124" s="11" t="s">
        <v>588</v>
      </c>
      <c r="B124" s="14" t="s">
        <v>27</v>
      </c>
      <c r="C124" s="11" t="s">
        <v>136</v>
      </c>
      <c r="D124" s="11" t="s">
        <v>29</v>
      </c>
      <c r="E124" s="20">
        <v>39485</v>
      </c>
      <c r="F124" s="2">
        <f t="shared" ca="1" si="2"/>
        <v>11</v>
      </c>
      <c r="G124" s="17" t="s">
        <v>87</v>
      </c>
      <c r="H124" s="41">
        <v>31806</v>
      </c>
      <c r="I124" s="19">
        <v>3</v>
      </c>
    </row>
    <row r="125" spans="1:9" x14ac:dyDescent="0.2">
      <c r="A125" s="11" t="s">
        <v>1120</v>
      </c>
      <c r="B125" s="14" t="s">
        <v>83</v>
      </c>
      <c r="C125" s="11" t="s">
        <v>214</v>
      </c>
      <c r="D125" s="11" t="s">
        <v>21</v>
      </c>
      <c r="E125" s="20">
        <v>38067</v>
      </c>
      <c r="F125" s="2">
        <f t="shared" ca="1" si="2"/>
        <v>15</v>
      </c>
      <c r="G125" s="17"/>
      <c r="H125" s="41">
        <v>33926</v>
      </c>
      <c r="I125" s="19">
        <v>5</v>
      </c>
    </row>
    <row r="126" spans="1:9" x14ac:dyDescent="0.2">
      <c r="A126" s="11" t="s">
        <v>1060</v>
      </c>
      <c r="B126" s="14" t="s">
        <v>51</v>
      </c>
      <c r="C126" s="11" t="s">
        <v>136</v>
      </c>
      <c r="D126" s="11" t="s">
        <v>80</v>
      </c>
      <c r="E126" s="20">
        <v>42038</v>
      </c>
      <c r="F126" s="2">
        <f t="shared" ca="1" si="2"/>
        <v>4</v>
      </c>
      <c r="G126" s="17" t="s">
        <v>30</v>
      </c>
      <c r="H126" s="41">
        <v>65745</v>
      </c>
      <c r="I126" s="19">
        <v>3</v>
      </c>
    </row>
    <row r="127" spans="1:9" x14ac:dyDescent="0.2">
      <c r="A127" s="11" t="s">
        <v>689</v>
      </c>
      <c r="B127" s="14" t="s">
        <v>43</v>
      </c>
      <c r="C127" s="11" t="s">
        <v>254</v>
      </c>
      <c r="D127" s="11" t="s">
        <v>29</v>
      </c>
      <c r="E127" s="20">
        <v>35404</v>
      </c>
      <c r="F127" s="2">
        <f t="shared" ca="1" si="2"/>
        <v>22</v>
      </c>
      <c r="G127" s="17" t="s">
        <v>30</v>
      </c>
      <c r="H127" s="41">
        <v>58307</v>
      </c>
      <c r="I127" s="19">
        <v>2</v>
      </c>
    </row>
    <row r="128" spans="1:9" x14ac:dyDescent="0.2">
      <c r="A128" s="11" t="s">
        <v>484</v>
      </c>
      <c r="B128" s="14" t="s">
        <v>19</v>
      </c>
      <c r="C128" s="11" t="s">
        <v>136</v>
      </c>
      <c r="D128" s="11" t="s">
        <v>80</v>
      </c>
      <c r="E128" s="20">
        <v>39033</v>
      </c>
      <c r="F128" s="2">
        <f t="shared" ca="1" si="2"/>
        <v>12</v>
      </c>
      <c r="G128" s="17" t="s">
        <v>71</v>
      </c>
      <c r="H128" s="41">
        <v>16936</v>
      </c>
      <c r="I128" s="19">
        <v>4</v>
      </c>
    </row>
    <row r="129" spans="1:9" x14ac:dyDescent="0.2">
      <c r="A129" s="11" t="s">
        <v>703</v>
      </c>
      <c r="B129" s="14" t="s">
        <v>27</v>
      </c>
      <c r="C129" s="11" t="s">
        <v>254</v>
      </c>
      <c r="D129" s="11" t="s">
        <v>80</v>
      </c>
      <c r="E129" s="20">
        <v>38479</v>
      </c>
      <c r="F129" s="2">
        <f t="shared" ca="1" si="2"/>
        <v>14</v>
      </c>
      <c r="G129" s="17" t="s">
        <v>30</v>
      </c>
      <c r="H129" s="41">
        <v>39157</v>
      </c>
      <c r="I129" s="19">
        <v>1</v>
      </c>
    </row>
    <row r="130" spans="1:9" x14ac:dyDescent="0.2">
      <c r="A130" s="11" t="s">
        <v>900</v>
      </c>
      <c r="B130" s="14" t="s">
        <v>19</v>
      </c>
      <c r="C130" s="11" t="s">
        <v>86</v>
      </c>
      <c r="D130" s="11" t="s">
        <v>80</v>
      </c>
      <c r="E130" s="20">
        <v>35103</v>
      </c>
      <c r="F130" s="2">
        <f t="shared" ca="1" si="2"/>
        <v>23</v>
      </c>
      <c r="G130" s="17" t="s">
        <v>38</v>
      </c>
      <c r="H130" s="41">
        <v>17672</v>
      </c>
      <c r="I130" s="19">
        <v>4</v>
      </c>
    </row>
    <row r="131" spans="1:9" x14ac:dyDescent="0.2">
      <c r="A131" s="11" t="s">
        <v>144</v>
      </c>
      <c r="B131" s="14" t="s">
        <v>19</v>
      </c>
      <c r="C131" s="11" t="s">
        <v>127</v>
      </c>
      <c r="D131" s="11" t="s">
        <v>80</v>
      </c>
      <c r="E131" s="20">
        <v>41936</v>
      </c>
      <c r="F131" s="2">
        <f t="shared" ref="F131:F194" ca="1" si="3">DATEDIF(E131,TODAY(),"Y")</f>
        <v>4</v>
      </c>
      <c r="G131" s="17" t="s">
        <v>30</v>
      </c>
      <c r="H131" s="41">
        <v>38718</v>
      </c>
      <c r="I131" s="19">
        <v>1</v>
      </c>
    </row>
    <row r="132" spans="1:9" x14ac:dyDescent="0.2">
      <c r="A132" s="11" t="s">
        <v>857</v>
      </c>
      <c r="B132" s="14" t="s">
        <v>19</v>
      </c>
      <c r="C132" s="11" t="s">
        <v>254</v>
      </c>
      <c r="D132" s="11" t="s">
        <v>29</v>
      </c>
      <c r="E132" s="20">
        <v>35895</v>
      </c>
      <c r="F132" s="2">
        <f t="shared" ca="1" si="3"/>
        <v>21</v>
      </c>
      <c r="G132" s="17" t="s">
        <v>30</v>
      </c>
      <c r="H132" s="41">
        <v>98591</v>
      </c>
      <c r="I132" s="19">
        <v>5</v>
      </c>
    </row>
    <row r="133" spans="1:9" x14ac:dyDescent="0.2">
      <c r="A133" s="11" t="s">
        <v>1290</v>
      </c>
      <c r="B133" s="14" t="s">
        <v>19</v>
      </c>
      <c r="C133" s="11" t="s">
        <v>136</v>
      </c>
      <c r="D133" s="11" t="s">
        <v>21</v>
      </c>
      <c r="E133" s="20">
        <v>42188</v>
      </c>
      <c r="F133" s="2">
        <f t="shared" ca="1" si="3"/>
        <v>3</v>
      </c>
      <c r="G133" s="17"/>
      <c r="H133" s="41">
        <v>53393</v>
      </c>
      <c r="I133" s="19">
        <v>5</v>
      </c>
    </row>
    <row r="134" spans="1:9" x14ac:dyDescent="0.2">
      <c r="A134" s="11" t="s">
        <v>556</v>
      </c>
      <c r="B134" s="14" t="s">
        <v>27</v>
      </c>
      <c r="C134" s="11" t="s">
        <v>249</v>
      </c>
      <c r="D134" s="11" t="s">
        <v>21</v>
      </c>
      <c r="E134" s="20">
        <v>37231</v>
      </c>
      <c r="F134" s="2">
        <f t="shared" ca="1" si="3"/>
        <v>17</v>
      </c>
      <c r="G134" s="17"/>
      <c r="H134" s="41">
        <v>73157</v>
      </c>
      <c r="I134" s="19">
        <v>4</v>
      </c>
    </row>
    <row r="135" spans="1:9" x14ac:dyDescent="0.2">
      <c r="A135" s="11" t="s">
        <v>1202</v>
      </c>
      <c r="B135" s="14" t="s">
        <v>19</v>
      </c>
      <c r="C135" s="11" t="s">
        <v>136</v>
      </c>
      <c r="D135" s="11" t="s">
        <v>21</v>
      </c>
      <c r="E135" s="20">
        <v>35299</v>
      </c>
      <c r="F135" s="2">
        <f t="shared" ca="1" si="3"/>
        <v>22</v>
      </c>
      <c r="G135" s="17"/>
      <c r="H135" s="41">
        <v>71213</v>
      </c>
      <c r="I135" s="19">
        <v>1</v>
      </c>
    </row>
    <row r="136" spans="1:9" x14ac:dyDescent="0.2">
      <c r="A136" s="11" t="s">
        <v>837</v>
      </c>
      <c r="B136" s="14" t="s">
        <v>27</v>
      </c>
      <c r="C136" s="11" t="s">
        <v>52</v>
      </c>
      <c r="D136" s="11" t="s">
        <v>56</v>
      </c>
      <c r="E136" s="20">
        <v>34967</v>
      </c>
      <c r="F136" s="2">
        <f t="shared" ca="1" si="3"/>
        <v>23</v>
      </c>
      <c r="G136" s="17"/>
      <c r="H136" s="41">
        <v>19861</v>
      </c>
      <c r="I136" s="19">
        <v>5</v>
      </c>
    </row>
    <row r="137" spans="1:9" x14ac:dyDescent="0.2">
      <c r="A137" s="11" t="s">
        <v>647</v>
      </c>
      <c r="B137" s="14" t="s">
        <v>51</v>
      </c>
      <c r="C137" s="11" t="s">
        <v>152</v>
      </c>
      <c r="D137" s="11" t="s">
        <v>29</v>
      </c>
      <c r="E137" s="20">
        <v>38627</v>
      </c>
      <c r="F137" s="2">
        <f t="shared" ca="1" si="3"/>
        <v>13</v>
      </c>
      <c r="G137" s="17" t="s">
        <v>30</v>
      </c>
      <c r="H137" s="41">
        <v>64301</v>
      </c>
      <c r="I137" s="19">
        <v>3</v>
      </c>
    </row>
    <row r="138" spans="1:9" x14ac:dyDescent="0.2">
      <c r="A138" s="11" t="s">
        <v>1292</v>
      </c>
      <c r="B138" s="14" t="s">
        <v>43</v>
      </c>
      <c r="C138" s="11" t="s">
        <v>86</v>
      </c>
      <c r="D138" s="11" t="s">
        <v>29</v>
      </c>
      <c r="E138" s="20">
        <v>38724</v>
      </c>
      <c r="F138" s="2">
        <f t="shared" ca="1" si="3"/>
        <v>13</v>
      </c>
      <c r="G138" s="17" t="s">
        <v>47</v>
      </c>
      <c r="H138" s="41">
        <v>66137</v>
      </c>
      <c r="I138" s="19">
        <v>5</v>
      </c>
    </row>
    <row r="139" spans="1:9" x14ac:dyDescent="0.2">
      <c r="A139" s="11" t="s">
        <v>926</v>
      </c>
      <c r="B139" s="14" t="s">
        <v>19</v>
      </c>
      <c r="C139" s="11" t="s">
        <v>214</v>
      </c>
      <c r="D139" s="11" t="s">
        <v>21</v>
      </c>
      <c r="E139" s="20">
        <v>35603</v>
      </c>
      <c r="F139" s="2">
        <f t="shared" ca="1" si="3"/>
        <v>21</v>
      </c>
      <c r="G139" s="17"/>
      <c r="H139" s="41">
        <v>66866</v>
      </c>
      <c r="I139" s="19">
        <v>2</v>
      </c>
    </row>
    <row r="140" spans="1:9" x14ac:dyDescent="0.2">
      <c r="A140" s="11" t="s">
        <v>1098</v>
      </c>
      <c r="B140" s="14" t="s">
        <v>83</v>
      </c>
      <c r="C140" s="11" t="s">
        <v>152</v>
      </c>
      <c r="D140" s="11" t="s">
        <v>29</v>
      </c>
      <c r="E140" s="20">
        <v>38027</v>
      </c>
      <c r="F140" s="2">
        <f t="shared" ca="1" si="3"/>
        <v>15</v>
      </c>
      <c r="G140" s="17" t="s">
        <v>71</v>
      </c>
      <c r="H140" s="41">
        <v>104868</v>
      </c>
      <c r="I140" s="19">
        <v>3</v>
      </c>
    </row>
    <row r="141" spans="1:9" x14ac:dyDescent="0.2">
      <c r="A141" s="11" t="s">
        <v>46</v>
      </c>
      <c r="B141" s="14" t="s">
        <v>83</v>
      </c>
      <c r="C141" s="11" t="s">
        <v>265</v>
      </c>
      <c r="D141" s="11" t="s">
        <v>29</v>
      </c>
      <c r="E141" s="20">
        <v>41172</v>
      </c>
      <c r="F141" s="2">
        <f t="shared" ca="1" si="3"/>
        <v>6</v>
      </c>
      <c r="G141" s="17" t="s">
        <v>47</v>
      </c>
      <c r="H141" s="41">
        <v>96012</v>
      </c>
      <c r="I141" s="19">
        <v>4</v>
      </c>
    </row>
    <row r="142" spans="1:9" x14ac:dyDescent="0.2">
      <c r="A142" s="11" t="s">
        <v>1494</v>
      </c>
      <c r="B142" s="14" t="s">
        <v>19</v>
      </c>
      <c r="C142" s="11" t="s">
        <v>152</v>
      </c>
      <c r="D142" s="11" t="s">
        <v>29</v>
      </c>
      <c r="E142" s="20">
        <v>35063</v>
      </c>
      <c r="F142" s="2">
        <f t="shared" ca="1" si="3"/>
        <v>23</v>
      </c>
      <c r="G142" s="17" t="s">
        <v>47</v>
      </c>
      <c r="H142" s="41">
        <v>32670</v>
      </c>
      <c r="I142" s="19">
        <v>5</v>
      </c>
    </row>
    <row r="143" spans="1:9" x14ac:dyDescent="0.2">
      <c r="A143" s="11" t="s">
        <v>1064</v>
      </c>
      <c r="B143" s="14" t="s">
        <v>51</v>
      </c>
      <c r="C143" s="11" t="s">
        <v>145</v>
      </c>
      <c r="D143" s="11" t="s">
        <v>21</v>
      </c>
      <c r="E143" s="20">
        <v>35066</v>
      </c>
      <c r="F143" s="2">
        <f t="shared" ca="1" si="3"/>
        <v>23</v>
      </c>
      <c r="G143" s="17"/>
      <c r="H143" s="41">
        <v>120758</v>
      </c>
      <c r="I143" s="19">
        <v>2</v>
      </c>
    </row>
    <row r="144" spans="1:9" x14ac:dyDescent="0.2">
      <c r="A144" s="11" t="s">
        <v>1198</v>
      </c>
      <c r="B144" s="14" t="s">
        <v>83</v>
      </c>
      <c r="C144" s="11" t="s">
        <v>214</v>
      </c>
      <c r="D144" s="11" t="s">
        <v>56</v>
      </c>
      <c r="E144" s="20">
        <v>37851</v>
      </c>
      <c r="F144" s="2">
        <f t="shared" ca="1" si="3"/>
        <v>15</v>
      </c>
      <c r="G144" s="17"/>
      <c r="H144" s="41">
        <v>50776</v>
      </c>
      <c r="I144" s="19">
        <v>4</v>
      </c>
    </row>
    <row r="145" spans="1:9" x14ac:dyDescent="0.2">
      <c r="A145" s="11" t="s">
        <v>1224</v>
      </c>
      <c r="B145" s="14" t="s">
        <v>43</v>
      </c>
      <c r="C145" s="11" t="s">
        <v>20</v>
      </c>
      <c r="D145" s="11" t="s">
        <v>29</v>
      </c>
      <c r="E145" s="20">
        <v>37749</v>
      </c>
      <c r="F145" s="2">
        <f t="shared" ca="1" si="3"/>
        <v>16</v>
      </c>
      <c r="G145" s="17" t="s">
        <v>38</v>
      </c>
      <c r="H145" s="41">
        <v>46953</v>
      </c>
      <c r="I145" s="19">
        <v>4</v>
      </c>
    </row>
    <row r="146" spans="1:9" x14ac:dyDescent="0.2">
      <c r="A146" s="11" t="s">
        <v>675</v>
      </c>
      <c r="B146" s="14" t="s">
        <v>51</v>
      </c>
      <c r="C146" s="11" t="s">
        <v>214</v>
      </c>
      <c r="D146" s="11" t="s">
        <v>80</v>
      </c>
      <c r="E146" s="20">
        <v>37127</v>
      </c>
      <c r="F146" s="2">
        <f t="shared" ca="1" si="3"/>
        <v>17</v>
      </c>
      <c r="G146" s="17" t="s">
        <v>47</v>
      </c>
      <c r="H146" s="41">
        <v>62971</v>
      </c>
      <c r="I146" s="19">
        <v>5</v>
      </c>
    </row>
    <row r="147" spans="1:9" x14ac:dyDescent="0.2">
      <c r="A147" s="11" t="s">
        <v>1072</v>
      </c>
      <c r="B147" s="14" t="s">
        <v>83</v>
      </c>
      <c r="C147" s="11" t="s">
        <v>254</v>
      </c>
      <c r="D147" s="11" t="s">
        <v>29</v>
      </c>
      <c r="E147" s="20">
        <v>36917</v>
      </c>
      <c r="F147" s="2">
        <f t="shared" ca="1" si="3"/>
        <v>18</v>
      </c>
      <c r="G147" s="17" t="s">
        <v>30</v>
      </c>
      <c r="H147" s="41">
        <v>85158</v>
      </c>
      <c r="I147" s="19">
        <v>5</v>
      </c>
    </row>
    <row r="148" spans="1:9" x14ac:dyDescent="0.2">
      <c r="A148" s="11" t="s">
        <v>1739</v>
      </c>
      <c r="B148" s="14" t="s">
        <v>19</v>
      </c>
      <c r="C148" s="11" t="s">
        <v>152</v>
      </c>
      <c r="D148" s="11" t="s">
        <v>29</v>
      </c>
      <c r="E148" s="20">
        <v>42464</v>
      </c>
      <c r="F148" s="2">
        <f t="shared" ca="1" si="3"/>
        <v>3</v>
      </c>
      <c r="G148" s="17" t="s">
        <v>47</v>
      </c>
      <c r="H148" s="41">
        <v>31091</v>
      </c>
      <c r="I148" s="19">
        <v>4</v>
      </c>
    </row>
    <row r="149" spans="1:9" x14ac:dyDescent="0.2">
      <c r="A149" s="11" t="s">
        <v>741</v>
      </c>
      <c r="B149" s="14" t="s">
        <v>83</v>
      </c>
      <c r="C149" s="11" t="s">
        <v>145</v>
      </c>
      <c r="D149" s="11" t="s">
        <v>80</v>
      </c>
      <c r="E149" s="20">
        <v>39599</v>
      </c>
      <c r="F149" s="2">
        <f t="shared" ca="1" si="3"/>
        <v>11</v>
      </c>
      <c r="G149" s="17" t="s">
        <v>47</v>
      </c>
      <c r="H149" s="41">
        <v>65799</v>
      </c>
      <c r="I149" s="19">
        <v>1</v>
      </c>
    </row>
    <row r="150" spans="1:9" x14ac:dyDescent="0.2">
      <c r="A150" s="11" t="s">
        <v>425</v>
      </c>
      <c r="B150" s="14" t="s">
        <v>27</v>
      </c>
      <c r="C150" s="11" t="s">
        <v>20</v>
      </c>
      <c r="D150" s="11" t="s">
        <v>21</v>
      </c>
      <c r="E150" s="20">
        <v>37353</v>
      </c>
      <c r="F150" s="2">
        <f t="shared" ca="1" si="3"/>
        <v>17</v>
      </c>
      <c r="G150" s="17"/>
      <c r="H150" s="41">
        <v>113670</v>
      </c>
      <c r="I150" s="19">
        <v>2</v>
      </c>
    </row>
    <row r="151" spans="1:9" x14ac:dyDescent="0.2">
      <c r="A151" s="11" t="s">
        <v>988</v>
      </c>
      <c r="B151" s="14" t="s">
        <v>27</v>
      </c>
      <c r="C151" s="11" t="s">
        <v>641</v>
      </c>
      <c r="D151" s="11" t="s">
        <v>21</v>
      </c>
      <c r="E151" s="20">
        <v>36309</v>
      </c>
      <c r="F151" s="2">
        <f t="shared" ca="1" si="3"/>
        <v>20</v>
      </c>
      <c r="G151" s="17"/>
      <c r="H151" s="41">
        <v>87372</v>
      </c>
      <c r="I151" s="19">
        <v>5</v>
      </c>
    </row>
    <row r="152" spans="1:9" x14ac:dyDescent="0.2">
      <c r="A152" s="11" t="s">
        <v>612</v>
      </c>
      <c r="B152" s="14" t="s">
        <v>27</v>
      </c>
      <c r="C152" s="11" t="s">
        <v>145</v>
      </c>
      <c r="D152" s="11" t="s">
        <v>21</v>
      </c>
      <c r="E152" s="20">
        <v>35698</v>
      </c>
      <c r="F152" s="2">
        <f t="shared" ca="1" si="3"/>
        <v>21</v>
      </c>
      <c r="G152" s="17"/>
      <c r="H152" s="41">
        <v>75182</v>
      </c>
      <c r="I152" s="19">
        <v>2</v>
      </c>
    </row>
    <row r="153" spans="1:9" x14ac:dyDescent="0.2">
      <c r="A153" s="11" t="s">
        <v>1196</v>
      </c>
      <c r="B153" s="14" t="s">
        <v>51</v>
      </c>
      <c r="C153" s="11" t="s">
        <v>86</v>
      </c>
      <c r="D153" s="11" t="s">
        <v>29</v>
      </c>
      <c r="E153" s="20">
        <v>35191</v>
      </c>
      <c r="F153" s="2">
        <f t="shared" ca="1" si="3"/>
        <v>23</v>
      </c>
      <c r="G153" s="17" t="s">
        <v>47</v>
      </c>
      <c r="H153" s="41">
        <v>30915</v>
      </c>
      <c r="I153" s="19">
        <v>1</v>
      </c>
    </row>
    <row r="154" spans="1:9" x14ac:dyDescent="0.2">
      <c r="A154" s="11" t="s">
        <v>1418</v>
      </c>
      <c r="B154" s="14" t="s">
        <v>19</v>
      </c>
      <c r="C154" s="11" t="s">
        <v>214</v>
      </c>
      <c r="D154" s="11" t="s">
        <v>29</v>
      </c>
      <c r="E154" s="20">
        <v>35415</v>
      </c>
      <c r="F154" s="2">
        <f t="shared" ca="1" si="3"/>
        <v>22</v>
      </c>
      <c r="G154" s="17" t="s">
        <v>47</v>
      </c>
      <c r="H154" s="41">
        <v>71469</v>
      </c>
      <c r="I154" s="19">
        <v>4</v>
      </c>
    </row>
    <row r="155" spans="1:9" x14ac:dyDescent="0.2">
      <c r="A155" s="11" t="s">
        <v>279</v>
      </c>
      <c r="B155" s="14" t="s">
        <v>27</v>
      </c>
      <c r="C155" s="11" t="s">
        <v>101</v>
      </c>
      <c r="D155" s="11" t="s">
        <v>80</v>
      </c>
      <c r="E155" s="20">
        <v>34896</v>
      </c>
      <c r="F155" s="2">
        <f t="shared" ca="1" si="3"/>
        <v>23</v>
      </c>
      <c r="G155" s="17" t="s">
        <v>38</v>
      </c>
      <c r="H155" s="41">
        <v>33500</v>
      </c>
      <c r="I155" s="19">
        <v>1</v>
      </c>
    </row>
    <row r="156" spans="1:9" x14ac:dyDescent="0.2">
      <c r="A156" s="11" t="s">
        <v>333</v>
      </c>
      <c r="B156" s="14" t="s">
        <v>19</v>
      </c>
      <c r="C156" s="11" t="s">
        <v>254</v>
      </c>
      <c r="D156" s="11" t="s">
        <v>56</v>
      </c>
      <c r="E156" s="20">
        <v>42236</v>
      </c>
      <c r="F156" s="2">
        <f t="shared" ca="1" si="3"/>
        <v>3</v>
      </c>
      <c r="G156" s="17"/>
      <c r="H156" s="41">
        <v>12393</v>
      </c>
      <c r="I156" s="19">
        <v>3</v>
      </c>
    </row>
    <row r="157" spans="1:9" x14ac:dyDescent="0.2">
      <c r="A157" s="11" t="s">
        <v>340</v>
      </c>
      <c r="B157" s="14" t="s">
        <v>19</v>
      </c>
      <c r="C157" s="11" t="s">
        <v>86</v>
      </c>
      <c r="D157" s="11" t="s">
        <v>29</v>
      </c>
      <c r="E157" s="20">
        <v>42145</v>
      </c>
      <c r="F157" s="2">
        <f t="shared" ca="1" si="3"/>
        <v>4</v>
      </c>
      <c r="G157" s="17" t="s">
        <v>38</v>
      </c>
      <c r="H157" s="41">
        <v>102303</v>
      </c>
      <c r="I157" s="19">
        <v>2</v>
      </c>
    </row>
    <row r="158" spans="1:9" x14ac:dyDescent="0.2">
      <c r="A158" s="11" t="s">
        <v>269</v>
      </c>
      <c r="B158" s="14" t="s">
        <v>19</v>
      </c>
      <c r="C158" s="11" t="s">
        <v>249</v>
      </c>
      <c r="D158" s="11" t="s">
        <v>56</v>
      </c>
      <c r="E158" s="20">
        <v>37165</v>
      </c>
      <c r="F158" s="2">
        <f t="shared" ca="1" si="3"/>
        <v>17</v>
      </c>
      <c r="G158" s="17"/>
      <c r="H158" s="41">
        <v>47671</v>
      </c>
      <c r="I158" s="19">
        <v>3</v>
      </c>
    </row>
    <row r="159" spans="1:9" x14ac:dyDescent="0.2">
      <c r="A159" s="11" t="s">
        <v>1080</v>
      </c>
      <c r="B159" s="14" t="s">
        <v>36</v>
      </c>
      <c r="C159" s="11" t="s">
        <v>214</v>
      </c>
      <c r="D159" s="11" t="s">
        <v>21</v>
      </c>
      <c r="E159" s="20">
        <v>36455</v>
      </c>
      <c r="F159" s="2">
        <f t="shared" ca="1" si="3"/>
        <v>19</v>
      </c>
      <c r="G159" s="17"/>
      <c r="H159" s="41">
        <v>108932</v>
      </c>
      <c r="I159" s="19">
        <v>3</v>
      </c>
    </row>
    <row r="160" spans="1:9" x14ac:dyDescent="0.2">
      <c r="A160" s="11" t="s">
        <v>876</v>
      </c>
      <c r="B160" s="14" t="s">
        <v>19</v>
      </c>
      <c r="C160" s="11" t="s">
        <v>145</v>
      </c>
      <c r="D160" s="11" t="s">
        <v>29</v>
      </c>
      <c r="E160" s="20">
        <v>37140</v>
      </c>
      <c r="F160" s="2">
        <f t="shared" ca="1" si="3"/>
        <v>17</v>
      </c>
      <c r="G160" s="17" t="s">
        <v>87</v>
      </c>
      <c r="H160" s="41">
        <v>85091</v>
      </c>
      <c r="I160" s="19">
        <v>1</v>
      </c>
    </row>
    <row r="161" spans="1:9" x14ac:dyDescent="0.2">
      <c r="A161" s="11" t="s">
        <v>1452</v>
      </c>
      <c r="B161" s="14" t="s">
        <v>19</v>
      </c>
      <c r="C161" s="11" t="s">
        <v>254</v>
      </c>
      <c r="D161" s="11" t="s">
        <v>29</v>
      </c>
      <c r="E161" s="20">
        <v>40011</v>
      </c>
      <c r="F161" s="2">
        <f t="shared" ca="1" si="3"/>
        <v>9</v>
      </c>
      <c r="G161" s="17" t="s">
        <v>30</v>
      </c>
      <c r="H161" s="41">
        <v>116370</v>
      </c>
      <c r="I161" s="19">
        <v>3</v>
      </c>
    </row>
    <row r="162" spans="1:9" x14ac:dyDescent="0.2">
      <c r="A162" s="11" t="s">
        <v>213</v>
      </c>
      <c r="B162" s="14" t="s">
        <v>19</v>
      </c>
      <c r="C162" s="11" t="s">
        <v>145</v>
      </c>
      <c r="D162" s="11" t="s">
        <v>29</v>
      </c>
      <c r="E162" s="20">
        <v>35812</v>
      </c>
      <c r="F162" s="2">
        <f t="shared" ca="1" si="3"/>
        <v>21</v>
      </c>
      <c r="G162" s="17" t="s">
        <v>30</v>
      </c>
      <c r="H162" s="41">
        <v>90212</v>
      </c>
      <c r="I162" s="19">
        <v>2</v>
      </c>
    </row>
    <row r="163" spans="1:9" x14ac:dyDescent="0.2">
      <c r="A163" s="11" t="s">
        <v>1474</v>
      </c>
      <c r="B163" s="14" t="s">
        <v>51</v>
      </c>
      <c r="C163" s="11" t="s">
        <v>86</v>
      </c>
      <c r="D163" s="11" t="s">
        <v>29</v>
      </c>
      <c r="E163" s="20">
        <v>35549</v>
      </c>
      <c r="F163" s="2">
        <f t="shared" ca="1" si="3"/>
        <v>22</v>
      </c>
      <c r="G163" s="17" t="s">
        <v>87</v>
      </c>
      <c r="H163" s="41">
        <v>99806</v>
      </c>
      <c r="I163" s="19">
        <v>1</v>
      </c>
    </row>
    <row r="164" spans="1:9" x14ac:dyDescent="0.2">
      <c r="A164" s="11" t="s">
        <v>79</v>
      </c>
      <c r="B164" s="14" t="s">
        <v>19</v>
      </c>
      <c r="C164" s="11" t="s">
        <v>145</v>
      </c>
      <c r="D164" s="11" t="s">
        <v>56</v>
      </c>
      <c r="E164" s="20">
        <v>37645</v>
      </c>
      <c r="F164" s="2">
        <f t="shared" ca="1" si="3"/>
        <v>16</v>
      </c>
      <c r="G164" s="17"/>
      <c r="H164" s="41">
        <v>17329</v>
      </c>
      <c r="I164" s="19">
        <v>5</v>
      </c>
    </row>
    <row r="165" spans="1:9" x14ac:dyDescent="0.2">
      <c r="A165" s="11" t="s">
        <v>26</v>
      </c>
      <c r="B165" s="14" t="s">
        <v>19</v>
      </c>
      <c r="C165" s="11" t="s">
        <v>214</v>
      </c>
      <c r="D165" s="11" t="s">
        <v>29</v>
      </c>
      <c r="E165" s="20">
        <v>38057</v>
      </c>
      <c r="F165" s="2">
        <f t="shared" ca="1" si="3"/>
        <v>15</v>
      </c>
      <c r="G165" s="17" t="s">
        <v>30</v>
      </c>
      <c r="H165" s="41">
        <v>82796</v>
      </c>
      <c r="I165" s="19">
        <v>4</v>
      </c>
    </row>
    <row r="166" spans="1:9" x14ac:dyDescent="0.2">
      <c r="A166" s="11" t="s">
        <v>490</v>
      </c>
      <c r="B166" s="14" t="s">
        <v>27</v>
      </c>
      <c r="C166" s="11" t="s">
        <v>145</v>
      </c>
      <c r="D166" s="11" t="s">
        <v>29</v>
      </c>
      <c r="E166" s="20">
        <v>37192</v>
      </c>
      <c r="F166" s="2">
        <f t="shared" ca="1" si="3"/>
        <v>17</v>
      </c>
      <c r="G166" s="17" t="s">
        <v>30</v>
      </c>
      <c r="H166" s="41">
        <v>46346</v>
      </c>
      <c r="I166" s="19">
        <v>3</v>
      </c>
    </row>
    <row r="167" spans="1:9" x14ac:dyDescent="0.2">
      <c r="A167" s="11" t="s">
        <v>1314</v>
      </c>
      <c r="B167" s="14" t="s">
        <v>43</v>
      </c>
      <c r="C167" s="11" t="s">
        <v>86</v>
      </c>
      <c r="D167" s="11" t="s">
        <v>29</v>
      </c>
      <c r="E167" s="20">
        <v>37038</v>
      </c>
      <c r="F167" s="2">
        <f t="shared" ca="1" si="3"/>
        <v>18</v>
      </c>
      <c r="G167" s="17" t="s">
        <v>47</v>
      </c>
      <c r="H167" s="41">
        <v>65880</v>
      </c>
      <c r="I167" s="19">
        <v>4</v>
      </c>
    </row>
    <row r="168" spans="1:9" x14ac:dyDescent="0.2">
      <c r="A168" s="11" t="s">
        <v>66</v>
      </c>
      <c r="B168" s="14" t="s">
        <v>27</v>
      </c>
      <c r="C168" s="11" t="s">
        <v>86</v>
      </c>
      <c r="D168" s="11" t="s">
        <v>56</v>
      </c>
      <c r="E168" s="20">
        <v>35089</v>
      </c>
      <c r="F168" s="2">
        <f t="shared" ca="1" si="3"/>
        <v>23</v>
      </c>
      <c r="G168" s="17"/>
      <c r="H168" s="41">
        <v>49739</v>
      </c>
      <c r="I168" s="19">
        <v>4</v>
      </c>
    </row>
    <row r="169" spans="1:9" x14ac:dyDescent="0.2">
      <c r="A169" s="11" t="s">
        <v>477</v>
      </c>
      <c r="B169" s="14" t="s">
        <v>36</v>
      </c>
      <c r="C169" s="11" t="s">
        <v>52</v>
      </c>
      <c r="D169" s="11" t="s">
        <v>29</v>
      </c>
      <c r="E169" s="20">
        <v>37271</v>
      </c>
      <c r="F169" s="2">
        <f t="shared" ca="1" si="3"/>
        <v>17</v>
      </c>
      <c r="G169" s="17" t="s">
        <v>47</v>
      </c>
      <c r="H169" s="41">
        <v>108162</v>
      </c>
      <c r="I169" s="19">
        <v>4</v>
      </c>
    </row>
    <row r="170" spans="1:9" x14ac:dyDescent="0.2">
      <c r="A170" s="11" t="s">
        <v>795</v>
      </c>
      <c r="B170" s="14" t="s">
        <v>27</v>
      </c>
      <c r="C170" s="11" t="s">
        <v>214</v>
      </c>
      <c r="D170" s="11" t="s">
        <v>29</v>
      </c>
      <c r="E170" s="20">
        <v>36808</v>
      </c>
      <c r="F170" s="2">
        <f t="shared" ca="1" si="3"/>
        <v>18</v>
      </c>
      <c r="G170" s="17" t="s">
        <v>30</v>
      </c>
      <c r="H170" s="41">
        <v>98647</v>
      </c>
      <c r="I170" s="19">
        <v>5</v>
      </c>
    </row>
    <row r="171" spans="1:9" x14ac:dyDescent="0.2">
      <c r="A171" s="11" t="s">
        <v>1508</v>
      </c>
      <c r="B171" s="14" t="s">
        <v>51</v>
      </c>
      <c r="C171" s="11" t="s">
        <v>214</v>
      </c>
      <c r="D171" s="11" t="s">
        <v>80</v>
      </c>
      <c r="E171" s="20">
        <v>36367</v>
      </c>
      <c r="F171" s="2">
        <f t="shared" ca="1" si="3"/>
        <v>19</v>
      </c>
      <c r="G171" s="17" t="s">
        <v>87</v>
      </c>
      <c r="H171" s="41">
        <v>20601</v>
      </c>
      <c r="I171" s="19">
        <v>2</v>
      </c>
    </row>
    <row r="172" spans="1:9" x14ac:dyDescent="0.2">
      <c r="A172" s="11" t="s">
        <v>413</v>
      </c>
      <c r="B172" s="14" t="s">
        <v>43</v>
      </c>
      <c r="C172" s="11" t="s">
        <v>214</v>
      </c>
      <c r="D172" s="11" t="s">
        <v>21</v>
      </c>
      <c r="E172" s="20">
        <v>41614</v>
      </c>
      <c r="F172" s="2">
        <f t="shared" ca="1" si="3"/>
        <v>5</v>
      </c>
      <c r="G172" s="17"/>
      <c r="H172" s="41">
        <v>106002</v>
      </c>
      <c r="I172" s="19">
        <v>4</v>
      </c>
    </row>
    <row r="173" spans="1:9" x14ac:dyDescent="0.2">
      <c r="A173" s="11" t="s">
        <v>204</v>
      </c>
      <c r="B173" s="14" t="s">
        <v>27</v>
      </c>
      <c r="C173" s="11" t="s">
        <v>86</v>
      </c>
      <c r="D173" s="11" t="s">
        <v>29</v>
      </c>
      <c r="E173" s="20">
        <v>35479</v>
      </c>
      <c r="F173" s="2">
        <f t="shared" ca="1" si="3"/>
        <v>22</v>
      </c>
      <c r="G173" s="17" t="s">
        <v>87</v>
      </c>
      <c r="H173" s="41">
        <v>81756</v>
      </c>
      <c r="I173" s="19">
        <v>4</v>
      </c>
    </row>
    <row r="174" spans="1:9" x14ac:dyDescent="0.2">
      <c r="A174" s="11" t="s">
        <v>863</v>
      </c>
      <c r="B174" s="14" t="s">
        <v>43</v>
      </c>
      <c r="C174" s="11" t="s">
        <v>136</v>
      </c>
      <c r="D174" s="11" t="s">
        <v>21</v>
      </c>
      <c r="E174" s="20">
        <v>34951</v>
      </c>
      <c r="F174" s="2">
        <f t="shared" ca="1" si="3"/>
        <v>23</v>
      </c>
      <c r="G174" s="17"/>
      <c r="H174" s="41">
        <v>31077</v>
      </c>
      <c r="I174" s="19">
        <v>4</v>
      </c>
    </row>
    <row r="175" spans="1:9" x14ac:dyDescent="0.2">
      <c r="A175" s="11" t="s">
        <v>131</v>
      </c>
      <c r="B175" s="14" t="s">
        <v>83</v>
      </c>
      <c r="C175" s="11" t="s">
        <v>86</v>
      </c>
      <c r="D175" s="11" t="s">
        <v>80</v>
      </c>
      <c r="E175" s="20">
        <v>38925</v>
      </c>
      <c r="F175" s="2">
        <f t="shared" ca="1" si="3"/>
        <v>12</v>
      </c>
      <c r="G175" s="17" t="s">
        <v>71</v>
      </c>
      <c r="H175" s="41">
        <v>21479</v>
      </c>
      <c r="I175" s="19">
        <v>3</v>
      </c>
    </row>
    <row r="176" spans="1:9" x14ac:dyDescent="0.2">
      <c r="A176" s="11" t="s">
        <v>735</v>
      </c>
      <c r="B176" s="14" t="s">
        <v>19</v>
      </c>
      <c r="C176" s="11" t="s">
        <v>145</v>
      </c>
      <c r="D176" s="11" t="s">
        <v>29</v>
      </c>
      <c r="E176" s="20">
        <v>37796</v>
      </c>
      <c r="F176" s="2">
        <f t="shared" ca="1" si="3"/>
        <v>15</v>
      </c>
      <c r="G176" s="17" t="s">
        <v>87</v>
      </c>
      <c r="H176" s="41">
        <v>106583</v>
      </c>
      <c r="I176" s="19">
        <v>1</v>
      </c>
    </row>
    <row r="177" spans="1:9" x14ac:dyDescent="0.2">
      <c r="A177" s="11" t="s">
        <v>283</v>
      </c>
      <c r="B177" s="14" t="s">
        <v>83</v>
      </c>
      <c r="C177" s="11" t="s">
        <v>136</v>
      </c>
      <c r="D177" s="11" t="s">
        <v>21</v>
      </c>
      <c r="E177" s="20">
        <v>36699</v>
      </c>
      <c r="F177" s="2">
        <f t="shared" ca="1" si="3"/>
        <v>18</v>
      </c>
      <c r="G177" s="17"/>
      <c r="H177" s="41">
        <v>103775</v>
      </c>
      <c r="I177" s="19">
        <v>5</v>
      </c>
    </row>
    <row r="178" spans="1:9" x14ac:dyDescent="0.2">
      <c r="A178" s="11" t="s">
        <v>234</v>
      </c>
      <c r="B178" s="14" t="s">
        <v>27</v>
      </c>
      <c r="C178" s="11" t="s">
        <v>127</v>
      </c>
      <c r="D178" s="11" t="s">
        <v>80</v>
      </c>
      <c r="E178" s="20">
        <v>41201</v>
      </c>
      <c r="F178" s="2">
        <f t="shared" ca="1" si="3"/>
        <v>6</v>
      </c>
      <c r="G178" s="17" t="s">
        <v>38</v>
      </c>
      <c r="H178" s="41">
        <v>62228</v>
      </c>
      <c r="I178" s="19">
        <v>3</v>
      </c>
    </row>
    <row r="179" spans="1:9" x14ac:dyDescent="0.2">
      <c r="A179" s="11" t="s">
        <v>972</v>
      </c>
      <c r="B179" s="14" t="s">
        <v>19</v>
      </c>
      <c r="C179" s="11" t="s">
        <v>62</v>
      </c>
      <c r="D179" s="11" t="s">
        <v>21</v>
      </c>
      <c r="E179" s="20">
        <v>35860</v>
      </c>
      <c r="F179" s="2">
        <f t="shared" ca="1" si="3"/>
        <v>21</v>
      </c>
      <c r="G179" s="17"/>
      <c r="H179" s="41">
        <v>89883</v>
      </c>
      <c r="I179" s="19">
        <v>5</v>
      </c>
    </row>
    <row r="180" spans="1:9" x14ac:dyDescent="0.2">
      <c r="A180" s="11" t="s">
        <v>1436</v>
      </c>
      <c r="B180" s="14" t="s">
        <v>27</v>
      </c>
      <c r="C180" s="11" t="s">
        <v>214</v>
      </c>
      <c r="D180" s="11" t="s">
        <v>21</v>
      </c>
      <c r="E180" s="20">
        <v>40973</v>
      </c>
      <c r="F180" s="2">
        <f t="shared" ca="1" si="3"/>
        <v>7</v>
      </c>
      <c r="G180" s="17"/>
      <c r="H180" s="41">
        <v>86198</v>
      </c>
      <c r="I180" s="19">
        <v>2</v>
      </c>
    </row>
    <row r="181" spans="1:9" x14ac:dyDescent="0.2">
      <c r="A181" s="11" t="s">
        <v>1400</v>
      </c>
      <c r="B181" s="14" t="s">
        <v>19</v>
      </c>
      <c r="C181" s="11" t="s">
        <v>214</v>
      </c>
      <c r="D181" s="11" t="s">
        <v>29</v>
      </c>
      <c r="E181" s="20">
        <v>39115</v>
      </c>
      <c r="F181" s="2">
        <f t="shared" ca="1" si="3"/>
        <v>12</v>
      </c>
      <c r="G181" s="17" t="s">
        <v>30</v>
      </c>
      <c r="H181" s="41">
        <v>84713</v>
      </c>
      <c r="I181" s="19">
        <v>3</v>
      </c>
    </row>
    <row r="182" spans="1:9" x14ac:dyDescent="0.2">
      <c r="A182" s="11" t="s">
        <v>256</v>
      </c>
      <c r="B182" s="14" t="s">
        <v>19</v>
      </c>
      <c r="C182" s="11" t="s">
        <v>59</v>
      </c>
      <c r="D182" s="11" t="s">
        <v>21</v>
      </c>
      <c r="E182" s="20">
        <v>36555</v>
      </c>
      <c r="F182" s="2">
        <f t="shared" ca="1" si="3"/>
        <v>19</v>
      </c>
      <c r="G182" s="17"/>
      <c r="H182" s="41">
        <v>35586</v>
      </c>
      <c r="I182" s="19">
        <v>4</v>
      </c>
    </row>
    <row r="183" spans="1:9" x14ac:dyDescent="0.2">
      <c r="A183" s="11" t="s">
        <v>240</v>
      </c>
      <c r="B183" s="14" t="s">
        <v>43</v>
      </c>
      <c r="C183" s="11" t="s">
        <v>101</v>
      </c>
      <c r="D183" s="11" t="s">
        <v>29</v>
      </c>
      <c r="E183" s="20">
        <v>35372</v>
      </c>
      <c r="F183" s="2">
        <f t="shared" ca="1" si="3"/>
        <v>22</v>
      </c>
      <c r="G183" s="17" t="s">
        <v>30</v>
      </c>
      <c r="H183" s="41">
        <v>60237</v>
      </c>
      <c r="I183" s="19">
        <v>5</v>
      </c>
    </row>
    <row r="184" spans="1:9" x14ac:dyDescent="0.2">
      <c r="A184" s="11" t="s">
        <v>781</v>
      </c>
      <c r="B184" s="14" t="s">
        <v>27</v>
      </c>
      <c r="C184" s="11" t="s">
        <v>214</v>
      </c>
      <c r="D184" s="11" t="s">
        <v>80</v>
      </c>
      <c r="E184" s="20">
        <v>38144</v>
      </c>
      <c r="F184" s="2">
        <f t="shared" ca="1" si="3"/>
        <v>14</v>
      </c>
      <c r="G184" s="17" t="s">
        <v>30</v>
      </c>
      <c r="H184" s="41">
        <v>14938</v>
      </c>
      <c r="I184" s="19">
        <v>1</v>
      </c>
    </row>
    <row r="185" spans="1:9" x14ac:dyDescent="0.2">
      <c r="A185" s="11" t="s">
        <v>1512</v>
      </c>
      <c r="B185" s="14" t="s">
        <v>27</v>
      </c>
      <c r="C185" s="11" t="s">
        <v>152</v>
      </c>
      <c r="D185" s="11" t="s">
        <v>21</v>
      </c>
      <c r="E185" s="20">
        <v>42307</v>
      </c>
      <c r="F185" s="2">
        <f t="shared" ca="1" si="3"/>
        <v>3</v>
      </c>
      <c r="G185" s="17"/>
      <c r="H185" s="41">
        <v>62870</v>
      </c>
      <c r="I185" s="19">
        <v>4</v>
      </c>
    </row>
    <row r="186" spans="1:9" x14ac:dyDescent="0.2">
      <c r="A186" s="11" t="s">
        <v>970</v>
      </c>
      <c r="B186" s="14" t="s">
        <v>43</v>
      </c>
      <c r="C186" s="11" t="s">
        <v>145</v>
      </c>
      <c r="D186" s="11" t="s">
        <v>29</v>
      </c>
      <c r="E186" s="20">
        <v>37865</v>
      </c>
      <c r="F186" s="2">
        <f t="shared" ca="1" si="3"/>
        <v>15</v>
      </c>
      <c r="G186" s="17" t="s">
        <v>30</v>
      </c>
      <c r="H186" s="41">
        <v>90999</v>
      </c>
      <c r="I186" s="19">
        <v>5</v>
      </c>
    </row>
    <row r="187" spans="1:9" x14ac:dyDescent="0.2">
      <c r="A187" s="11" t="s">
        <v>665</v>
      </c>
      <c r="B187" s="14" t="s">
        <v>36</v>
      </c>
      <c r="C187" s="11" t="s">
        <v>62</v>
      </c>
      <c r="D187" s="11" t="s">
        <v>29</v>
      </c>
      <c r="E187" s="20">
        <v>40853</v>
      </c>
      <c r="F187" s="2">
        <f t="shared" ca="1" si="3"/>
        <v>7</v>
      </c>
      <c r="G187" s="17" t="s">
        <v>38</v>
      </c>
      <c r="H187" s="41">
        <v>50855</v>
      </c>
      <c r="I187" s="19">
        <v>3</v>
      </c>
    </row>
    <row r="188" spans="1:9" x14ac:dyDescent="0.2">
      <c r="A188" s="11" t="s">
        <v>1012</v>
      </c>
      <c r="B188" s="14" t="s">
        <v>19</v>
      </c>
      <c r="C188" s="11" t="s">
        <v>20</v>
      </c>
      <c r="D188" s="11" t="s">
        <v>21</v>
      </c>
      <c r="E188" s="20">
        <v>37632</v>
      </c>
      <c r="F188" s="2">
        <f t="shared" ca="1" si="3"/>
        <v>16</v>
      </c>
      <c r="G188" s="17"/>
      <c r="H188" s="41">
        <v>115398</v>
      </c>
      <c r="I188" s="19">
        <v>5</v>
      </c>
    </row>
    <row r="189" spans="1:9" x14ac:dyDescent="0.2">
      <c r="A189" s="11" t="s">
        <v>705</v>
      </c>
      <c r="B189" s="14" t="s">
        <v>19</v>
      </c>
      <c r="C189" s="11" t="s">
        <v>59</v>
      </c>
      <c r="D189" s="11" t="s">
        <v>29</v>
      </c>
      <c r="E189" s="20">
        <v>35997</v>
      </c>
      <c r="F189" s="2">
        <f t="shared" ca="1" si="3"/>
        <v>20</v>
      </c>
      <c r="G189" s="17" t="s">
        <v>47</v>
      </c>
      <c r="H189" s="41">
        <v>98415</v>
      </c>
      <c r="I189" s="19">
        <v>3</v>
      </c>
    </row>
    <row r="190" spans="1:9" x14ac:dyDescent="0.2">
      <c r="A190" s="11" t="s">
        <v>301</v>
      </c>
      <c r="B190" s="14" t="s">
        <v>19</v>
      </c>
      <c r="C190" s="11" t="s">
        <v>59</v>
      </c>
      <c r="D190" s="11" t="s">
        <v>29</v>
      </c>
      <c r="E190" s="20">
        <v>34901</v>
      </c>
      <c r="F190" s="2">
        <f t="shared" ca="1" si="3"/>
        <v>23</v>
      </c>
      <c r="G190" s="17" t="s">
        <v>38</v>
      </c>
      <c r="H190" s="41">
        <v>47736</v>
      </c>
      <c r="I190" s="19">
        <v>5</v>
      </c>
    </row>
    <row r="191" spans="1:9" x14ac:dyDescent="0.2">
      <c r="A191" s="11" t="s">
        <v>1236</v>
      </c>
      <c r="B191" s="14" t="s">
        <v>27</v>
      </c>
      <c r="C191" s="11" t="s">
        <v>136</v>
      </c>
      <c r="D191" s="11" t="s">
        <v>29</v>
      </c>
      <c r="E191" s="20">
        <v>36953</v>
      </c>
      <c r="F191" s="2">
        <f t="shared" ca="1" si="3"/>
        <v>18</v>
      </c>
      <c r="G191" s="17" t="s">
        <v>71</v>
      </c>
      <c r="H191" s="41">
        <v>98064</v>
      </c>
      <c r="I191" s="19">
        <v>3</v>
      </c>
    </row>
    <row r="192" spans="1:9" x14ac:dyDescent="0.2">
      <c r="A192" s="11" t="s">
        <v>494</v>
      </c>
      <c r="B192" s="14" t="s">
        <v>43</v>
      </c>
      <c r="C192" s="11" t="s">
        <v>20</v>
      </c>
      <c r="D192" s="11" t="s">
        <v>21</v>
      </c>
      <c r="E192" s="20">
        <v>37871</v>
      </c>
      <c r="F192" s="2">
        <f t="shared" ca="1" si="3"/>
        <v>15</v>
      </c>
      <c r="G192" s="17"/>
      <c r="H192" s="41">
        <v>103856</v>
      </c>
      <c r="I192" s="19">
        <v>1</v>
      </c>
    </row>
    <row r="193" spans="1:9" x14ac:dyDescent="0.2">
      <c r="A193" s="11" t="s">
        <v>1374</v>
      </c>
      <c r="B193" s="14" t="s">
        <v>51</v>
      </c>
      <c r="C193" s="11" t="s">
        <v>249</v>
      </c>
      <c r="D193" s="11" t="s">
        <v>21</v>
      </c>
      <c r="E193" s="20">
        <v>37508</v>
      </c>
      <c r="F193" s="2">
        <f t="shared" ca="1" si="3"/>
        <v>16</v>
      </c>
      <c r="G193" s="17"/>
      <c r="H193" s="41">
        <v>116735</v>
      </c>
      <c r="I193" s="19">
        <v>4</v>
      </c>
    </row>
    <row r="194" spans="1:9" x14ac:dyDescent="0.2">
      <c r="A194" s="11" t="s">
        <v>717</v>
      </c>
      <c r="B194" s="14" t="s">
        <v>19</v>
      </c>
      <c r="C194" s="11" t="s">
        <v>214</v>
      </c>
      <c r="D194" s="11" t="s">
        <v>29</v>
      </c>
      <c r="E194" s="20">
        <v>42054</v>
      </c>
      <c r="F194" s="2">
        <f t="shared" ca="1" si="3"/>
        <v>4</v>
      </c>
      <c r="G194" s="17" t="s">
        <v>30</v>
      </c>
      <c r="H194" s="41">
        <v>47655</v>
      </c>
      <c r="I194" s="19">
        <v>5</v>
      </c>
    </row>
    <row r="195" spans="1:9" x14ac:dyDescent="0.2">
      <c r="A195" s="11" t="s">
        <v>1054</v>
      </c>
      <c r="B195" s="14" t="s">
        <v>27</v>
      </c>
      <c r="C195" s="11" t="s">
        <v>152</v>
      </c>
      <c r="D195" s="11" t="s">
        <v>21</v>
      </c>
      <c r="E195" s="20">
        <v>35279</v>
      </c>
      <c r="F195" s="2">
        <f t="shared" ref="F195:F258" ca="1" si="4">DATEDIF(E195,TODAY(),"Y")</f>
        <v>22</v>
      </c>
      <c r="G195" s="17"/>
      <c r="H195" s="41">
        <v>84348</v>
      </c>
      <c r="I195" s="19">
        <v>5</v>
      </c>
    </row>
    <row r="196" spans="1:9" x14ac:dyDescent="0.2">
      <c r="A196" s="11" t="s">
        <v>1018</v>
      </c>
      <c r="B196" s="14" t="s">
        <v>43</v>
      </c>
      <c r="C196" s="11" t="s">
        <v>104</v>
      </c>
      <c r="D196" s="11" t="s">
        <v>29</v>
      </c>
      <c r="E196" s="20">
        <v>35335</v>
      </c>
      <c r="F196" s="2">
        <f t="shared" ca="1" si="4"/>
        <v>22</v>
      </c>
      <c r="G196" s="17" t="s">
        <v>87</v>
      </c>
      <c r="H196" s="41">
        <v>55823</v>
      </c>
      <c r="I196" s="19">
        <v>2</v>
      </c>
    </row>
    <row r="197" spans="1:9" x14ac:dyDescent="0.2">
      <c r="A197" s="11" t="s">
        <v>1128</v>
      </c>
      <c r="B197" s="14" t="s">
        <v>36</v>
      </c>
      <c r="C197" s="11" t="s">
        <v>145</v>
      </c>
      <c r="D197" s="11" t="s">
        <v>56</v>
      </c>
      <c r="E197" s="20">
        <v>38341</v>
      </c>
      <c r="F197" s="2">
        <f t="shared" ca="1" si="4"/>
        <v>14</v>
      </c>
      <c r="G197" s="17"/>
      <c r="H197" s="41">
        <v>20995</v>
      </c>
      <c r="I197" s="19">
        <v>4</v>
      </c>
    </row>
    <row r="198" spans="1:9" x14ac:dyDescent="0.2">
      <c r="A198" s="11" t="s">
        <v>1514</v>
      </c>
      <c r="B198" s="14" t="s">
        <v>19</v>
      </c>
      <c r="C198" s="11" t="s">
        <v>59</v>
      </c>
      <c r="D198" s="11" t="s">
        <v>56</v>
      </c>
      <c r="E198" s="20">
        <v>41677</v>
      </c>
      <c r="F198" s="2">
        <f t="shared" ca="1" si="4"/>
        <v>5</v>
      </c>
      <c r="G198" s="17"/>
      <c r="H198" s="41">
        <v>21254</v>
      </c>
      <c r="I198" s="19">
        <v>3</v>
      </c>
    </row>
    <row r="199" spans="1:9" x14ac:dyDescent="0.2">
      <c r="A199" s="11" t="s">
        <v>1142</v>
      </c>
      <c r="B199" s="14" t="s">
        <v>27</v>
      </c>
      <c r="C199" s="11" t="s">
        <v>152</v>
      </c>
      <c r="D199" s="11" t="s">
        <v>29</v>
      </c>
      <c r="E199" s="20">
        <v>36070</v>
      </c>
      <c r="F199" s="2">
        <f t="shared" ca="1" si="4"/>
        <v>20</v>
      </c>
      <c r="G199" s="17" t="s">
        <v>30</v>
      </c>
      <c r="H199" s="41">
        <v>117747</v>
      </c>
      <c r="I199" s="19">
        <v>1</v>
      </c>
    </row>
    <row r="200" spans="1:9" x14ac:dyDescent="0.2">
      <c r="A200" s="11" t="s">
        <v>459</v>
      </c>
      <c r="B200" s="14" t="s">
        <v>43</v>
      </c>
      <c r="C200" s="11" t="s">
        <v>478</v>
      </c>
      <c r="D200" s="11" t="s">
        <v>29</v>
      </c>
      <c r="E200" s="20">
        <v>40822</v>
      </c>
      <c r="F200" s="2">
        <f t="shared" ca="1" si="4"/>
        <v>7</v>
      </c>
      <c r="G200" s="17" t="s">
        <v>71</v>
      </c>
      <c r="H200" s="41">
        <v>96390</v>
      </c>
      <c r="I200" s="19">
        <v>4</v>
      </c>
    </row>
    <row r="201" spans="1:9" x14ac:dyDescent="0.2">
      <c r="A201" s="11" t="s">
        <v>1334</v>
      </c>
      <c r="B201" s="14" t="s">
        <v>43</v>
      </c>
      <c r="C201" s="11" t="s">
        <v>405</v>
      </c>
      <c r="D201" s="11" t="s">
        <v>29</v>
      </c>
      <c r="E201" s="20">
        <v>38857</v>
      </c>
      <c r="F201" s="2">
        <f t="shared" ca="1" si="4"/>
        <v>13</v>
      </c>
      <c r="G201" s="17" t="s">
        <v>71</v>
      </c>
      <c r="H201" s="41">
        <v>54918</v>
      </c>
      <c r="I201" s="19">
        <v>5</v>
      </c>
    </row>
    <row r="202" spans="1:9" x14ac:dyDescent="0.2">
      <c r="A202" s="11" t="s">
        <v>1740</v>
      </c>
      <c r="B202" s="14" t="s">
        <v>19</v>
      </c>
      <c r="C202" s="11" t="s">
        <v>214</v>
      </c>
      <c r="D202" s="11" t="s">
        <v>29</v>
      </c>
      <c r="E202" s="20">
        <v>42418</v>
      </c>
      <c r="F202" s="2">
        <f t="shared" ca="1" si="4"/>
        <v>3</v>
      </c>
      <c r="G202" s="17" t="s">
        <v>47</v>
      </c>
      <c r="H202" s="41">
        <v>64044</v>
      </c>
      <c r="I202" s="19">
        <v>3</v>
      </c>
    </row>
    <row r="203" spans="1:9" x14ac:dyDescent="0.2">
      <c r="A203" s="11" t="s">
        <v>1444</v>
      </c>
      <c r="B203" s="14" t="s">
        <v>19</v>
      </c>
      <c r="C203" s="11" t="s">
        <v>152</v>
      </c>
      <c r="D203" s="11" t="s">
        <v>21</v>
      </c>
      <c r="E203" s="20">
        <v>35290</v>
      </c>
      <c r="F203" s="2">
        <f t="shared" ca="1" si="4"/>
        <v>22</v>
      </c>
      <c r="G203" s="17"/>
      <c r="H203" s="41">
        <v>82531</v>
      </c>
      <c r="I203" s="19">
        <v>4</v>
      </c>
    </row>
    <row r="204" spans="1:9" x14ac:dyDescent="0.2">
      <c r="A204" s="11" t="s">
        <v>1370</v>
      </c>
      <c r="B204" s="14" t="s">
        <v>43</v>
      </c>
      <c r="C204" s="11" t="s">
        <v>20</v>
      </c>
      <c r="D204" s="11" t="s">
        <v>80</v>
      </c>
      <c r="E204" s="20">
        <v>37301</v>
      </c>
      <c r="F204" s="2">
        <f t="shared" ca="1" si="4"/>
        <v>17</v>
      </c>
      <c r="G204" s="17" t="s">
        <v>38</v>
      </c>
      <c r="H204" s="41">
        <v>65360</v>
      </c>
      <c r="I204" s="19">
        <v>4</v>
      </c>
    </row>
    <row r="205" spans="1:9" x14ac:dyDescent="0.2">
      <c r="A205" s="11" t="s">
        <v>184</v>
      </c>
      <c r="B205" s="14" t="s">
        <v>43</v>
      </c>
      <c r="C205" s="11" t="s">
        <v>249</v>
      </c>
      <c r="D205" s="11" t="s">
        <v>21</v>
      </c>
      <c r="E205" s="20">
        <v>39020</v>
      </c>
      <c r="F205" s="2">
        <f t="shared" ca="1" si="4"/>
        <v>12</v>
      </c>
      <c r="G205" s="17"/>
      <c r="H205" s="41">
        <v>39879</v>
      </c>
      <c r="I205" s="19">
        <v>3</v>
      </c>
    </row>
    <row r="206" spans="1:9" x14ac:dyDescent="0.2">
      <c r="A206" s="11" t="s">
        <v>530</v>
      </c>
      <c r="B206" s="14" t="s">
        <v>51</v>
      </c>
      <c r="C206" s="11" t="s">
        <v>20</v>
      </c>
      <c r="D206" s="11" t="s">
        <v>29</v>
      </c>
      <c r="E206" s="20">
        <v>42359</v>
      </c>
      <c r="F206" s="2">
        <f t="shared" ca="1" si="4"/>
        <v>3</v>
      </c>
      <c r="G206" s="17" t="s">
        <v>71</v>
      </c>
      <c r="H206" s="41">
        <v>100859</v>
      </c>
      <c r="I206" s="19">
        <v>2</v>
      </c>
    </row>
    <row r="207" spans="1:9" x14ac:dyDescent="0.2">
      <c r="A207" s="11" t="s">
        <v>207</v>
      </c>
      <c r="B207" s="14" t="s">
        <v>83</v>
      </c>
      <c r="C207" s="11" t="s">
        <v>20</v>
      </c>
      <c r="D207" s="11" t="s">
        <v>21</v>
      </c>
      <c r="E207" s="20">
        <v>37822</v>
      </c>
      <c r="F207" s="2">
        <f t="shared" ca="1" si="4"/>
        <v>15</v>
      </c>
      <c r="G207" s="17"/>
      <c r="H207" s="41">
        <v>40959</v>
      </c>
      <c r="I207" s="19">
        <v>3</v>
      </c>
    </row>
    <row r="208" spans="1:9" x14ac:dyDescent="0.2">
      <c r="A208" s="11" t="s">
        <v>325</v>
      </c>
      <c r="B208" s="14" t="s">
        <v>27</v>
      </c>
      <c r="C208" s="11" t="s">
        <v>136</v>
      </c>
      <c r="D208" s="11" t="s">
        <v>21</v>
      </c>
      <c r="E208" s="20">
        <v>38571</v>
      </c>
      <c r="F208" s="2">
        <f t="shared" ca="1" si="4"/>
        <v>13</v>
      </c>
      <c r="G208" s="17"/>
      <c r="H208" s="41">
        <v>121014</v>
      </c>
      <c r="I208" s="19">
        <v>4</v>
      </c>
    </row>
    <row r="209" spans="1:9" x14ac:dyDescent="0.2">
      <c r="A209" s="11" t="s">
        <v>829</v>
      </c>
      <c r="B209" s="14" t="s">
        <v>83</v>
      </c>
      <c r="C209" s="11" t="s">
        <v>136</v>
      </c>
      <c r="D209" s="11" t="s">
        <v>80</v>
      </c>
      <c r="E209" s="20">
        <v>41512</v>
      </c>
      <c r="F209" s="2">
        <f t="shared" ca="1" si="4"/>
        <v>5</v>
      </c>
      <c r="G209" s="17" t="s">
        <v>47</v>
      </c>
      <c r="H209" s="41">
        <v>61513</v>
      </c>
      <c r="I209" s="19">
        <v>1</v>
      </c>
    </row>
    <row r="210" spans="1:9" x14ac:dyDescent="0.2">
      <c r="A210" s="11" t="s">
        <v>115</v>
      </c>
      <c r="B210" s="14" t="s">
        <v>27</v>
      </c>
      <c r="C210" s="11" t="s">
        <v>20</v>
      </c>
      <c r="D210" s="11" t="s">
        <v>29</v>
      </c>
      <c r="E210" s="20">
        <v>38290</v>
      </c>
      <c r="F210" s="2">
        <f t="shared" ca="1" si="4"/>
        <v>14</v>
      </c>
      <c r="G210" s="17" t="s">
        <v>30</v>
      </c>
      <c r="H210" s="41">
        <v>43335</v>
      </c>
      <c r="I210" s="19">
        <v>1</v>
      </c>
    </row>
    <row r="211" spans="1:9" x14ac:dyDescent="0.2">
      <c r="A211" s="11" t="s">
        <v>123</v>
      </c>
      <c r="B211" s="14" t="s">
        <v>27</v>
      </c>
      <c r="C211" s="11" t="s">
        <v>136</v>
      </c>
      <c r="D211" s="11" t="s">
        <v>80</v>
      </c>
      <c r="E211" s="20">
        <v>37868</v>
      </c>
      <c r="F211" s="2">
        <f t="shared" ca="1" si="4"/>
        <v>15</v>
      </c>
      <c r="G211" s="17" t="s">
        <v>87</v>
      </c>
      <c r="H211" s="41">
        <v>61763</v>
      </c>
      <c r="I211" s="19">
        <v>5</v>
      </c>
    </row>
    <row r="212" spans="1:9" x14ac:dyDescent="0.2">
      <c r="A212" s="11" t="s">
        <v>504</v>
      </c>
      <c r="B212" s="14" t="s">
        <v>36</v>
      </c>
      <c r="C212" s="11" t="s">
        <v>136</v>
      </c>
      <c r="D212" s="11" t="s">
        <v>80</v>
      </c>
      <c r="E212" s="20">
        <v>42077</v>
      </c>
      <c r="F212" s="2">
        <f t="shared" ca="1" si="4"/>
        <v>4</v>
      </c>
      <c r="G212" s="17" t="s">
        <v>47</v>
      </c>
      <c r="H212" s="41">
        <v>15944</v>
      </c>
      <c r="I212" s="19">
        <v>1</v>
      </c>
    </row>
    <row r="213" spans="1:9" x14ac:dyDescent="0.2">
      <c r="A213" s="11" t="s">
        <v>1022</v>
      </c>
      <c r="B213" s="14" t="s">
        <v>36</v>
      </c>
      <c r="C213" s="11" t="s">
        <v>214</v>
      </c>
      <c r="D213" s="11" t="s">
        <v>29</v>
      </c>
      <c r="E213" s="20">
        <v>41096</v>
      </c>
      <c r="F213" s="2">
        <f t="shared" ca="1" si="4"/>
        <v>6</v>
      </c>
      <c r="G213" s="17" t="s">
        <v>87</v>
      </c>
      <c r="H213" s="41">
        <v>95891</v>
      </c>
      <c r="I213" s="19">
        <v>3</v>
      </c>
    </row>
    <row r="214" spans="1:9" x14ac:dyDescent="0.2">
      <c r="A214" s="11" t="s">
        <v>488</v>
      </c>
      <c r="B214" s="14" t="s">
        <v>43</v>
      </c>
      <c r="C214" s="11" t="s">
        <v>214</v>
      </c>
      <c r="D214" s="11" t="s">
        <v>21</v>
      </c>
      <c r="E214" s="20">
        <v>41322</v>
      </c>
      <c r="F214" s="2">
        <f t="shared" ca="1" si="4"/>
        <v>6</v>
      </c>
      <c r="G214" s="17"/>
      <c r="H214" s="41">
        <v>84753</v>
      </c>
      <c r="I214" s="19">
        <v>4</v>
      </c>
    </row>
    <row r="215" spans="1:9" x14ac:dyDescent="0.2">
      <c r="A215" s="11" t="s">
        <v>759</v>
      </c>
      <c r="B215" s="14" t="s">
        <v>27</v>
      </c>
      <c r="C215" s="11" t="s">
        <v>214</v>
      </c>
      <c r="D215" s="11" t="s">
        <v>21</v>
      </c>
      <c r="E215" s="20">
        <v>40291</v>
      </c>
      <c r="F215" s="2">
        <f t="shared" ca="1" si="4"/>
        <v>9</v>
      </c>
      <c r="G215" s="17"/>
      <c r="H215" s="41">
        <v>55269</v>
      </c>
      <c r="I215" s="19">
        <v>2</v>
      </c>
    </row>
    <row r="216" spans="1:9" x14ac:dyDescent="0.2">
      <c r="A216" s="11" t="s">
        <v>1194</v>
      </c>
      <c r="B216" s="14" t="s">
        <v>27</v>
      </c>
      <c r="C216" s="11" t="s">
        <v>152</v>
      </c>
      <c r="D216" s="11" t="s">
        <v>80</v>
      </c>
      <c r="E216" s="20">
        <v>37250</v>
      </c>
      <c r="F216" s="2">
        <f t="shared" ca="1" si="4"/>
        <v>17</v>
      </c>
      <c r="G216" s="17" t="s">
        <v>87</v>
      </c>
      <c r="H216" s="41">
        <v>50841</v>
      </c>
      <c r="I216" s="19">
        <v>4</v>
      </c>
    </row>
    <row r="217" spans="1:9" x14ac:dyDescent="0.2">
      <c r="A217" s="11" t="s">
        <v>851</v>
      </c>
      <c r="B217" s="14" t="s">
        <v>43</v>
      </c>
      <c r="C217" s="11" t="s">
        <v>101</v>
      </c>
      <c r="D217" s="11" t="s">
        <v>80</v>
      </c>
      <c r="E217" s="20">
        <v>34944</v>
      </c>
      <c r="F217" s="2">
        <f t="shared" ca="1" si="4"/>
        <v>23</v>
      </c>
      <c r="G217" s="17" t="s">
        <v>87</v>
      </c>
      <c r="H217" s="41">
        <v>53487</v>
      </c>
      <c r="I217" s="19">
        <v>5</v>
      </c>
    </row>
    <row r="218" spans="1:9" x14ac:dyDescent="0.2">
      <c r="A218" s="11" t="s">
        <v>769</v>
      </c>
      <c r="B218" s="14" t="s">
        <v>43</v>
      </c>
      <c r="C218" s="11" t="s">
        <v>104</v>
      </c>
      <c r="D218" s="11" t="s">
        <v>29</v>
      </c>
      <c r="E218" s="20">
        <v>38403</v>
      </c>
      <c r="F218" s="2">
        <f t="shared" ca="1" si="4"/>
        <v>14</v>
      </c>
      <c r="G218" s="17" t="s">
        <v>38</v>
      </c>
      <c r="H218" s="41">
        <v>76194</v>
      </c>
      <c r="I218" s="19">
        <v>1</v>
      </c>
    </row>
    <row r="219" spans="1:9" x14ac:dyDescent="0.2">
      <c r="A219" s="11" t="s">
        <v>534</v>
      </c>
      <c r="B219" s="14" t="s">
        <v>19</v>
      </c>
      <c r="C219" s="11" t="s">
        <v>152</v>
      </c>
      <c r="D219" s="11" t="s">
        <v>21</v>
      </c>
      <c r="E219" s="20">
        <v>34977</v>
      </c>
      <c r="F219" s="2">
        <f t="shared" ca="1" si="4"/>
        <v>23</v>
      </c>
      <c r="G219" s="17"/>
      <c r="H219" s="41">
        <v>85874</v>
      </c>
      <c r="I219" s="19">
        <v>5</v>
      </c>
    </row>
    <row r="220" spans="1:9" x14ac:dyDescent="0.2">
      <c r="A220" s="11" t="s">
        <v>392</v>
      </c>
      <c r="B220" s="14" t="s">
        <v>19</v>
      </c>
      <c r="C220" s="11" t="s">
        <v>136</v>
      </c>
      <c r="D220" s="11" t="s">
        <v>21</v>
      </c>
      <c r="E220" s="20">
        <v>38081</v>
      </c>
      <c r="F220" s="2">
        <f t="shared" ca="1" si="4"/>
        <v>15</v>
      </c>
      <c r="G220" s="17"/>
      <c r="H220" s="41">
        <v>78287</v>
      </c>
      <c r="I220" s="19">
        <v>5</v>
      </c>
    </row>
    <row r="221" spans="1:9" x14ac:dyDescent="0.2">
      <c r="A221" s="11" t="s">
        <v>293</v>
      </c>
      <c r="B221" s="14" t="s">
        <v>27</v>
      </c>
      <c r="C221" s="11" t="s">
        <v>145</v>
      </c>
      <c r="D221" s="11" t="s">
        <v>29</v>
      </c>
      <c r="E221" s="20">
        <v>42365</v>
      </c>
      <c r="F221" s="2">
        <f t="shared" ca="1" si="4"/>
        <v>3</v>
      </c>
      <c r="G221" s="17" t="s">
        <v>38</v>
      </c>
      <c r="H221" s="41">
        <v>108351</v>
      </c>
      <c r="I221" s="19">
        <v>3</v>
      </c>
    </row>
    <row r="222" spans="1:9" x14ac:dyDescent="0.2">
      <c r="A222" s="11" t="s">
        <v>1542</v>
      </c>
      <c r="B222" s="14" t="s">
        <v>36</v>
      </c>
      <c r="C222" s="11" t="s">
        <v>136</v>
      </c>
      <c r="D222" s="11" t="s">
        <v>29</v>
      </c>
      <c r="E222" s="20">
        <v>40207</v>
      </c>
      <c r="F222" s="2">
        <f t="shared" ca="1" si="4"/>
        <v>9</v>
      </c>
      <c r="G222" s="17" t="s">
        <v>71</v>
      </c>
      <c r="H222" s="41">
        <v>82796</v>
      </c>
      <c r="I222" s="19">
        <v>2</v>
      </c>
    </row>
    <row r="223" spans="1:9" x14ac:dyDescent="0.2">
      <c r="A223" s="11" t="s">
        <v>407</v>
      </c>
      <c r="B223" s="14" t="s">
        <v>27</v>
      </c>
      <c r="C223" s="11" t="s">
        <v>214</v>
      </c>
      <c r="D223" s="11" t="s">
        <v>21</v>
      </c>
      <c r="E223" s="20">
        <v>35558</v>
      </c>
      <c r="F223" s="2">
        <f t="shared" ca="1" si="4"/>
        <v>22</v>
      </c>
      <c r="G223" s="17"/>
      <c r="H223" s="41">
        <v>43457</v>
      </c>
      <c r="I223" s="19">
        <v>3</v>
      </c>
    </row>
    <row r="224" spans="1:9" x14ac:dyDescent="0.2">
      <c r="A224" s="11" t="s">
        <v>1264</v>
      </c>
      <c r="B224" s="14" t="s">
        <v>19</v>
      </c>
      <c r="C224" s="11" t="s">
        <v>145</v>
      </c>
      <c r="D224" s="11" t="s">
        <v>80</v>
      </c>
      <c r="E224" s="20">
        <v>37472</v>
      </c>
      <c r="F224" s="2">
        <f t="shared" ca="1" si="4"/>
        <v>16</v>
      </c>
      <c r="G224" s="17" t="s">
        <v>30</v>
      </c>
      <c r="H224" s="41">
        <v>57699</v>
      </c>
      <c r="I224" s="19">
        <v>2</v>
      </c>
    </row>
    <row r="225" spans="1:9" x14ac:dyDescent="0.2">
      <c r="A225" s="11" t="s">
        <v>761</v>
      </c>
      <c r="B225" s="14" t="s">
        <v>51</v>
      </c>
      <c r="C225" s="11" t="s">
        <v>254</v>
      </c>
      <c r="D225" s="11" t="s">
        <v>21</v>
      </c>
      <c r="E225" s="20">
        <v>42404</v>
      </c>
      <c r="F225" s="2">
        <f t="shared" ca="1" si="4"/>
        <v>3</v>
      </c>
      <c r="G225" s="17"/>
      <c r="H225" s="41">
        <v>113805</v>
      </c>
      <c r="I225" s="19">
        <v>1</v>
      </c>
    </row>
    <row r="226" spans="1:9" x14ac:dyDescent="0.2">
      <c r="A226" s="11" t="s">
        <v>118</v>
      </c>
      <c r="B226" s="14" t="s">
        <v>27</v>
      </c>
      <c r="C226" s="11" t="s">
        <v>145</v>
      </c>
      <c r="D226" s="11" t="s">
        <v>29</v>
      </c>
      <c r="E226" s="20">
        <v>38310</v>
      </c>
      <c r="F226" s="2">
        <f t="shared" ca="1" si="4"/>
        <v>14</v>
      </c>
      <c r="G226" s="17" t="s">
        <v>47</v>
      </c>
      <c r="H226" s="41">
        <v>39501</v>
      </c>
      <c r="I226" s="19">
        <v>4</v>
      </c>
    </row>
    <row r="227" spans="1:9" x14ac:dyDescent="0.2">
      <c r="A227" s="11" t="s">
        <v>954</v>
      </c>
      <c r="B227" s="14" t="s">
        <v>43</v>
      </c>
      <c r="C227" s="11" t="s">
        <v>336</v>
      </c>
      <c r="D227" s="11" t="s">
        <v>29</v>
      </c>
      <c r="E227" s="20">
        <v>42184</v>
      </c>
      <c r="F227" s="2">
        <f t="shared" ca="1" si="4"/>
        <v>3</v>
      </c>
      <c r="G227" s="17" t="s">
        <v>30</v>
      </c>
      <c r="H227" s="41">
        <v>106853</v>
      </c>
      <c r="I227" s="19">
        <v>2</v>
      </c>
    </row>
    <row r="228" spans="1:9" x14ac:dyDescent="0.2">
      <c r="A228" s="11" t="s">
        <v>156</v>
      </c>
      <c r="B228" s="14" t="s">
        <v>83</v>
      </c>
      <c r="C228" s="11" t="s">
        <v>152</v>
      </c>
      <c r="D228" s="11" t="s">
        <v>29</v>
      </c>
      <c r="E228" s="20">
        <v>40955</v>
      </c>
      <c r="F228" s="2">
        <f t="shared" ca="1" si="4"/>
        <v>7</v>
      </c>
      <c r="G228" s="17" t="s">
        <v>38</v>
      </c>
      <c r="H228" s="41">
        <v>34682</v>
      </c>
      <c r="I228" s="19">
        <v>2</v>
      </c>
    </row>
    <row r="229" spans="1:9" x14ac:dyDescent="0.2">
      <c r="A229" s="11" t="s">
        <v>1016</v>
      </c>
      <c r="B229" s="14" t="s">
        <v>19</v>
      </c>
      <c r="C229" s="11" t="s">
        <v>214</v>
      </c>
      <c r="D229" s="11" t="s">
        <v>21</v>
      </c>
      <c r="E229" s="20">
        <v>42254</v>
      </c>
      <c r="F229" s="2">
        <f t="shared" ca="1" si="4"/>
        <v>3</v>
      </c>
      <c r="G229" s="17"/>
      <c r="H229" s="41">
        <v>51084</v>
      </c>
      <c r="I229" s="19">
        <v>1</v>
      </c>
    </row>
    <row r="230" spans="1:9" x14ac:dyDescent="0.2">
      <c r="A230" s="11" t="s">
        <v>1070</v>
      </c>
      <c r="B230" s="14" t="s">
        <v>19</v>
      </c>
      <c r="C230" s="11" t="s">
        <v>145</v>
      </c>
      <c r="D230" s="11" t="s">
        <v>21</v>
      </c>
      <c r="E230" s="20">
        <v>38190</v>
      </c>
      <c r="F230" s="2">
        <f t="shared" ca="1" si="4"/>
        <v>14</v>
      </c>
      <c r="G230" s="17"/>
      <c r="H230" s="41">
        <v>82080</v>
      </c>
      <c r="I230" s="19">
        <v>4</v>
      </c>
    </row>
    <row r="231" spans="1:9" x14ac:dyDescent="0.2">
      <c r="A231" s="11" t="s">
        <v>1222</v>
      </c>
      <c r="B231" s="14" t="s">
        <v>19</v>
      </c>
      <c r="C231" s="11" t="s">
        <v>86</v>
      </c>
      <c r="D231" s="11" t="s">
        <v>80</v>
      </c>
      <c r="E231" s="20">
        <v>38950</v>
      </c>
      <c r="F231" s="2">
        <f t="shared" ca="1" si="4"/>
        <v>12</v>
      </c>
      <c r="G231" s="17" t="s">
        <v>87</v>
      </c>
      <c r="H231" s="41">
        <v>63848</v>
      </c>
      <c r="I231" s="19">
        <v>4</v>
      </c>
    </row>
    <row r="232" spans="1:9" x14ac:dyDescent="0.2">
      <c r="A232" s="11" t="s">
        <v>594</v>
      </c>
      <c r="B232" s="14" t="s">
        <v>27</v>
      </c>
      <c r="C232" s="11" t="s">
        <v>136</v>
      </c>
      <c r="D232" s="11" t="s">
        <v>29</v>
      </c>
      <c r="E232" s="20">
        <v>35357</v>
      </c>
      <c r="F232" s="2">
        <f t="shared" ca="1" si="4"/>
        <v>22</v>
      </c>
      <c r="G232" s="17" t="s">
        <v>71</v>
      </c>
      <c r="H232" s="41">
        <v>96768</v>
      </c>
      <c r="I232" s="19">
        <v>4</v>
      </c>
    </row>
    <row r="233" spans="1:9" x14ac:dyDescent="0.2">
      <c r="A233" s="11" t="s">
        <v>1356</v>
      </c>
      <c r="B233" s="14" t="s">
        <v>19</v>
      </c>
      <c r="C233" s="11" t="s">
        <v>214</v>
      </c>
      <c r="D233" s="11" t="s">
        <v>29</v>
      </c>
      <c r="E233" s="20">
        <v>35935</v>
      </c>
      <c r="F233" s="2">
        <f t="shared" ca="1" si="4"/>
        <v>21</v>
      </c>
      <c r="G233" s="17" t="s">
        <v>30</v>
      </c>
      <c r="H233" s="41">
        <v>110673</v>
      </c>
      <c r="I233" s="19">
        <v>2</v>
      </c>
    </row>
    <row r="234" spans="1:9" x14ac:dyDescent="0.2">
      <c r="A234" s="11" t="s">
        <v>1204</v>
      </c>
      <c r="B234" s="14" t="s">
        <v>36</v>
      </c>
      <c r="C234" s="11" t="s">
        <v>20</v>
      </c>
      <c r="D234" s="11" t="s">
        <v>80</v>
      </c>
      <c r="E234" s="20">
        <v>38680</v>
      </c>
      <c r="F234" s="2">
        <f t="shared" ca="1" si="4"/>
        <v>13</v>
      </c>
      <c r="G234" s="17" t="s">
        <v>47</v>
      </c>
      <c r="H234" s="41">
        <v>47628</v>
      </c>
      <c r="I234" s="19">
        <v>3</v>
      </c>
    </row>
    <row r="235" spans="1:9" x14ac:dyDescent="0.2">
      <c r="A235" s="11" t="s">
        <v>928</v>
      </c>
      <c r="B235" s="14" t="s">
        <v>19</v>
      </c>
      <c r="C235" s="11" t="s">
        <v>52</v>
      </c>
      <c r="D235" s="11" t="s">
        <v>29</v>
      </c>
      <c r="E235" s="20">
        <v>35397</v>
      </c>
      <c r="F235" s="2">
        <f t="shared" ca="1" si="4"/>
        <v>22</v>
      </c>
      <c r="G235" s="17" t="s">
        <v>38</v>
      </c>
      <c r="H235" s="41">
        <v>111375</v>
      </c>
      <c r="I235" s="19">
        <v>5</v>
      </c>
    </row>
    <row r="236" spans="1:9" x14ac:dyDescent="0.2">
      <c r="A236" s="11" t="s">
        <v>998</v>
      </c>
      <c r="B236" s="14" t="s">
        <v>27</v>
      </c>
      <c r="C236" s="11" t="s">
        <v>52</v>
      </c>
      <c r="D236" s="11" t="s">
        <v>80</v>
      </c>
      <c r="E236" s="20">
        <v>35778</v>
      </c>
      <c r="F236" s="2">
        <f t="shared" ca="1" si="4"/>
        <v>21</v>
      </c>
      <c r="G236" s="17" t="s">
        <v>71</v>
      </c>
      <c r="H236" s="41">
        <v>25184</v>
      </c>
      <c r="I236" s="19">
        <v>4</v>
      </c>
    </row>
    <row r="237" spans="1:9" x14ac:dyDescent="0.2">
      <c r="A237" s="11" t="s">
        <v>849</v>
      </c>
      <c r="B237" s="14" t="s">
        <v>51</v>
      </c>
      <c r="C237" s="11" t="s">
        <v>214</v>
      </c>
      <c r="D237" s="11" t="s">
        <v>21</v>
      </c>
      <c r="E237" s="20">
        <v>39110</v>
      </c>
      <c r="F237" s="2">
        <f t="shared" ca="1" si="4"/>
        <v>12</v>
      </c>
      <c r="G237" s="17"/>
      <c r="H237" s="41">
        <v>71240</v>
      </c>
      <c r="I237" s="19">
        <v>2</v>
      </c>
    </row>
    <row r="238" spans="1:9" x14ac:dyDescent="0.2">
      <c r="A238" s="11" t="s">
        <v>1248</v>
      </c>
      <c r="B238" s="14" t="s">
        <v>43</v>
      </c>
      <c r="C238" s="11" t="s">
        <v>145</v>
      </c>
      <c r="D238" s="11" t="s">
        <v>29</v>
      </c>
      <c r="E238" s="20">
        <v>40021</v>
      </c>
      <c r="F238" s="2">
        <f t="shared" ca="1" si="4"/>
        <v>9</v>
      </c>
      <c r="G238" s="17" t="s">
        <v>30</v>
      </c>
      <c r="H238" s="41">
        <v>43079</v>
      </c>
      <c r="I238" s="19">
        <v>5</v>
      </c>
    </row>
    <row r="239" spans="1:9" x14ac:dyDescent="0.2">
      <c r="A239" s="11" t="s">
        <v>685</v>
      </c>
      <c r="B239" s="14" t="s">
        <v>19</v>
      </c>
      <c r="C239" s="11" t="s">
        <v>145</v>
      </c>
      <c r="D239" s="11" t="s">
        <v>56</v>
      </c>
      <c r="E239" s="20">
        <v>37186</v>
      </c>
      <c r="F239" s="2">
        <f t="shared" ca="1" si="4"/>
        <v>17</v>
      </c>
      <c r="G239" s="17"/>
      <c r="H239" s="41">
        <v>45236</v>
      </c>
      <c r="I239" s="19">
        <v>4</v>
      </c>
    </row>
    <row r="240" spans="1:9" x14ac:dyDescent="0.2">
      <c r="A240" s="11" t="s">
        <v>604</v>
      </c>
      <c r="B240" s="14" t="s">
        <v>43</v>
      </c>
      <c r="C240" s="11" t="s">
        <v>145</v>
      </c>
      <c r="D240" s="11" t="s">
        <v>56</v>
      </c>
      <c r="E240" s="20">
        <v>35040</v>
      </c>
      <c r="F240" s="2">
        <f t="shared" ca="1" si="4"/>
        <v>23</v>
      </c>
      <c r="G240" s="17"/>
      <c r="H240" s="41">
        <v>41132</v>
      </c>
      <c r="I240" s="19">
        <v>2</v>
      </c>
    </row>
    <row r="241" spans="1:9" x14ac:dyDescent="0.2">
      <c r="A241" s="11" t="s">
        <v>554</v>
      </c>
      <c r="B241" s="14" t="s">
        <v>43</v>
      </c>
      <c r="C241" s="11" t="s">
        <v>86</v>
      </c>
      <c r="D241" s="11" t="s">
        <v>80</v>
      </c>
      <c r="E241" s="20">
        <v>40882</v>
      </c>
      <c r="F241" s="2">
        <f t="shared" ca="1" si="4"/>
        <v>7</v>
      </c>
      <c r="G241" s="17" t="s">
        <v>30</v>
      </c>
      <c r="H241" s="41">
        <v>64402</v>
      </c>
      <c r="I241" s="19">
        <v>5</v>
      </c>
    </row>
    <row r="242" spans="1:9" x14ac:dyDescent="0.2">
      <c r="A242" s="11" t="s">
        <v>833</v>
      </c>
      <c r="B242" s="14" t="s">
        <v>83</v>
      </c>
      <c r="C242" s="11" t="s">
        <v>59</v>
      </c>
      <c r="D242" s="11" t="s">
        <v>29</v>
      </c>
      <c r="E242" s="20">
        <v>34863</v>
      </c>
      <c r="F242" s="2">
        <f t="shared" ca="1" si="4"/>
        <v>23</v>
      </c>
      <c r="G242" s="17" t="s">
        <v>71</v>
      </c>
      <c r="H242" s="41">
        <v>43686</v>
      </c>
      <c r="I242" s="19">
        <v>4</v>
      </c>
    </row>
    <row r="243" spans="1:9" x14ac:dyDescent="0.2">
      <c r="A243" s="11" t="s">
        <v>1112</v>
      </c>
      <c r="B243" s="14" t="s">
        <v>27</v>
      </c>
      <c r="C243" s="11" t="s">
        <v>136</v>
      </c>
      <c r="D243" s="11" t="s">
        <v>80</v>
      </c>
      <c r="E243" s="20">
        <v>39957</v>
      </c>
      <c r="F243" s="2">
        <f t="shared" ca="1" si="4"/>
        <v>10</v>
      </c>
      <c r="G243" s="17" t="s">
        <v>30</v>
      </c>
      <c r="H243" s="41">
        <v>44415</v>
      </c>
      <c r="I243" s="19">
        <v>2</v>
      </c>
    </row>
    <row r="244" spans="1:9" x14ac:dyDescent="0.2">
      <c r="A244" s="11" t="s">
        <v>162</v>
      </c>
      <c r="B244" s="14" t="s">
        <v>27</v>
      </c>
      <c r="C244" s="11" t="s">
        <v>214</v>
      </c>
      <c r="D244" s="11" t="s">
        <v>29</v>
      </c>
      <c r="E244" s="20">
        <v>35397</v>
      </c>
      <c r="F244" s="2">
        <f t="shared" ca="1" si="4"/>
        <v>22</v>
      </c>
      <c r="G244" s="17" t="s">
        <v>215</v>
      </c>
      <c r="H244" s="41">
        <v>76815</v>
      </c>
      <c r="I244" s="19">
        <v>5</v>
      </c>
    </row>
    <row r="245" spans="1:9" x14ac:dyDescent="0.2">
      <c r="A245" s="11" t="s">
        <v>1106</v>
      </c>
      <c r="B245" s="14" t="s">
        <v>19</v>
      </c>
      <c r="C245" s="11" t="s">
        <v>152</v>
      </c>
      <c r="D245" s="11" t="s">
        <v>29</v>
      </c>
      <c r="E245" s="20">
        <v>36454</v>
      </c>
      <c r="F245" s="2">
        <f t="shared" ca="1" si="4"/>
        <v>19</v>
      </c>
      <c r="G245" s="17" t="s">
        <v>47</v>
      </c>
      <c r="H245" s="41">
        <v>93839</v>
      </c>
      <c r="I245" s="19">
        <v>5</v>
      </c>
    </row>
    <row r="246" spans="1:9" x14ac:dyDescent="0.2">
      <c r="A246" s="11" t="s">
        <v>1076</v>
      </c>
      <c r="B246" s="14" t="s">
        <v>83</v>
      </c>
      <c r="C246" s="11" t="s">
        <v>86</v>
      </c>
      <c r="D246" s="11" t="s">
        <v>80</v>
      </c>
      <c r="E246" s="20">
        <v>38155</v>
      </c>
      <c r="F246" s="2">
        <f t="shared" ca="1" si="4"/>
        <v>14</v>
      </c>
      <c r="G246" s="17" t="s">
        <v>30</v>
      </c>
      <c r="H246" s="41">
        <v>36167</v>
      </c>
      <c r="I246" s="19">
        <v>2</v>
      </c>
    </row>
    <row r="247" spans="1:9" x14ac:dyDescent="0.2">
      <c r="A247" s="11" t="s">
        <v>884</v>
      </c>
      <c r="B247" s="14" t="s">
        <v>19</v>
      </c>
      <c r="C247" s="11" t="s">
        <v>265</v>
      </c>
      <c r="D247" s="11" t="s">
        <v>21</v>
      </c>
      <c r="E247" s="20">
        <v>41313</v>
      </c>
      <c r="F247" s="2">
        <f t="shared" ca="1" si="4"/>
        <v>6</v>
      </c>
      <c r="G247" s="17"/>
      <c r="H247" s="41">
        <v>48087</v>
      </c>
      <c r="I247" s="19">
        <v>4</v>
      </c>
    </row>
    <row r="248" spans="1:9" x14ac:dyDescent="0.2">
      <c r="A248" s="11" t="s">
        <v>1038</v>
      </c>
      <c r="B248" s="14" t="s">
        <v>19</v>
      </c>
      <c r="C248" s="11" t="s">
        <v>136</v>
      </c>
      <c r="D248" s="11" t="s">
        <v>29</v>
      </c>
      <c r="E248" s="20">
        <v>37979</v>
      </c>
      <c r="F248" s="2">
        <f t="shared" ca="1" si="4"/>
        <v>15</v>
      </c>
      <c r="G248" s="17" t="s">
        <v>38</v>
      </c>
      <c r="H248" s="41">
        <v>62586</v>
      </c>
      <c r="I248" s="19">
        <v>5</v>
      </c>
    </row>
    <row r="249" spans="1:9" x14ac:dyDescent="0.2">
      <c r="A249" s="11" t="s">
        <v>480</v>
      </c>
      <c r="B249" s="14" t="s">
        <v>19</v>
      </c>
      <c r="C249" s="11" t="s">
        <v>136</v>
      </c>
      <c r="D249" s="11" t="s">
        <v>29</v>
      </c>
      <c r="E249" s="20">
        <v>35845</v>
      </c>
      <c r="F249" s="2">
        <f t="shared" ca="1" si="4"/>
        <v>21</v>
      </c>
      <c r="G249" s="17" t="s">
        <v>47</v>
      </c>
      <c r="H249" s="41">
        <v>31482</v>
      </c>
      <c r="I249" s="19">
        <v>4</v>
      </c>
    </row>
    <row r="250" spans="1:9" x14ac:dyDescent="0.2">
      <c r="A250" s="11" t="s">
        <v>548</v>
      </c>
      <c r="B250" s="14" t="s">
        <v>43</v>
      </c>
      <c r="C250" s="11" t="s">
        <v>52</v>
      </c>
      <c r="D250" s="11" t="s">
        <v>21</v>
      </c>
      <c r="E250" s="20">
        <v>36934</v>
      </c>
      <c r="F250" s="2">
        <f t="shared" ca="1" si="4"/>
        <v>18</v>
      </c>
      <c r="G250" s="17"/>
      <c r="H250" s="41">
        <v>47601</v>
      </c>
      <c r="I250" s="19">
        <v>2</v>
      </c>
    </row>
    <row r="251" spans="1:9" x14ac:dyDescent="0.2">
      <c r="A251" s="11" t="s">
        <v>1252</v>
      </c>
      <c r="B251" s="14" t="s">
        <v>27</v>
      </c>
      <c r="C251" s="11" t="s">
        <v>101</v>
      </c>
      <c r="D251" s="11" t="s">
        <v>29</v>
      </c>
      <c r="E251" s="20">
        <v>35030</v>
      </c>
      <c r="F251" s="2">
        <f t="shared" ca="1" si="4"/>
        <v>23</v>
      </c>
      <c r="G251" s="17" t="s">
        <v>47</v>
      </c>
      <c r="H251" s="41">
        <v>96836</v>
      </c>
      <c r="I251" s="19">
        <v>1</v>
      </c>
    </row>
    <row r="252" spans="1:9" x14ac:dyDescent="0.2">
      <c r="A252" s="11" t="s">
        <v>1086</v>
      </c>
      <c r="B252" s="14" t="s">
        <v>27</v>
      </c>
      <c r="C252" s="11" t="s">
        <v>20</v>
      </c>
      <c r="D252" s="11" t="s">
        <v>29</v>
      </c>
      <c r="E252" s="20">
        <v>39569</v>
      </c>
      <c r="F252" s="2">
        <f t="shared" ca="1" si="4"/>
        <v>11</v>
      </c>
      <c r="G252" s="17" t="s">
        <v>30</v>
      </c>
      <c r="H252" s="41">
        <v>117828</v>
      </c>
      <c r="I252" s="19">
        <v>4</v>
      </c>
    </row>
    <row r="253" spans="1:9" x14ac:dyDescent="0.2">
      <c r="A253" s="11" t="s">
        <v>1454</v>
      </c>
      <c r="B253" s="14" t="s">
        <v>51</v>
      </c>
      <c r="C253" s="11" t="s">
        <v>145</v>
      </c>
      <c r="D253" s="11" t="s">
        <v>29</v>
      </c>
      <c r="E253" s="20">
        <v>35238</v>
      </c>
      <c r="F253" s="2">
        <f t="shared" ca="1" si="4"/>
        <v>22</v>
      </c>
      <c r="G253" s="17" t="s">
        <v>47</v>
      </c>
      <c r="H253" s="41">
        <v>91692</v>
      </c>
      <c r="I253" s="19">
        <v>4</v>
      </c>
    </row>
    <row r="254" spans="1:9" x14ac:dyDescent="0.2">
      <c r="A254" s="11" t="s">
        <v>1156</v>
      </c>
      <c r="B254" s="14" t="s">
        <v>19</v>
      </c>
      <c r="C254" s="11" t="s">
        <v>145</v>
      </c>
      <c r="D254" s="11" t="s">
        <v>29</v>
      </c>
      <c r="E254" s="20">
        <v>37157</v>
      </c>
      <c r="F254" s="2">
        <f t="shared" ca="1" si="4"/>
        <v>17</v>
      </c>
      <c r="G254" s="17" t="s">
        <v>30</v>
      </c>
      <c r="H254" s="41">
        <v>89694</v>
      </c>
      <c r="I254" s="19">
        <v>3</v>
      </c>
    </row>
    <row r="255" spans="1:9" x14ac:dyDescent="0.2">
      <c r="A255" s="11" t="s">
        <v>1450</v>
      </c>
      <c r="B255" s="14" t="s">
        <v>43</v>
      </c>
      <c r="C255" s="11" t="s">
        <v>864</v>
      </c>
      <c r="D255" s="11" t="s">
        <v>21</v>
      </c>
      <c r="E255" s="20">
        <v>37235</v>
      </c>
      <c r="F255" s="2">
        <f t="shared" ca="1" si="4"/>
        <v>17</v>
      </c>
      <c r="G255" s="17"/>
      <c r="H255" s="41">
        <v>33912</v>
      </c>
      <c r="I255" s="19">
        <v>2</v>
      </c>
    </row>
    <row r="256" spans="1:9" x14ac:dyDescent="0.2">
      <c r="A256" s="11" t="s">
        <v>1556</v>
      </c>
      <c r="B256" s="14" t="s">
        <v>43</v>
      </c>
      <c r="C256" s="11" t="s">
        <v>136</v>
      </c>
      <c r="D256" s="11" t="s">
        <v>56</v>
      </c>
      <c r="E256" s="20">
        <v>37730</v>
      </c>
      <c r="F256" s="2">
        <f t="shared" ca="1" si="4"/>
        <v>16</v>
      </c>
      <c r="G256" s="17"/>
      <c r="H256" s="41">
        <v>19348</v>
      </c>
      <c r="I256" s="19">
        <v>5</v>
      </c>
    </row>
    <row r="257" spans="1:9" x14ac:dyDescent="0.2">
      <c r="A257" s="11" t="s">
        <v>1380</v>
      </c>
      <c r="B257" s="14" t="s">
        <v>19</v>
      </c>
      <c r="C257" s="11" t="s">
        <v>136</v>
      </c>
      <c r="D257" s="11" t="s">
        <v>80</v>
      </c>
      <c r="E257" s="20">
        <v>41950</v>
      </c>
      <c r="F257" s="2">
        <f t="shared" ca="1" si="4"/>
        <v>4</v>
      </c>
      <c r="G257" s="17" t="s">
        <v>71</v>
      </c>
      <c r="H257" s="41">
        <v>34081</v>
      </c>
      <c r="I257" s="19">
        <v>5</v>
      </c>
    </row>
    <row r="258" spans="1:9" x14ac:dyDescent="0.2">
      <c r="A258" s="11" t="s">
        <v>1138</v>
      </c>
      <c r="B258" s="14" t="s">
        <v>27</v>
      </c>
      <c r="C258" s="11" t="s">
        <v>265</v>
      </c>
      <c r="D258" s="11" t="s">
        <v>29</v>
      </c>
      <c r="E258" s="20">
        <v>41707</v>
      </c>
      <c r="F258" s="2">
        <f t="shared" ca="1" si="4"/>
        <v>5</v>
      </c>
      <c r="G258" s="17" t="s">
        <v>47</v>
      </c>
      <c r="H258" s="41">
        <v>103194</v>
      </c>
      <c r="I258" s="19">
        <v>3</v>
      </c>
    </row>
    <row r="259" spans="1:9" x14ac:dyDescent="0.2">
      <c r="A259" s="11" t="s">
        <v>624</v>
      </c>
      <c r="B259" s="14" t="s">
        <v>27</v>
      </c>
      <c r="C259" s="11" t="s">
        <v>20</v>
      </c>
      <c r="D259" s="11" t="s">
        <v>21</v>
      </c>
      <c r="E259" s="20">
        <v>41743</v>
      </c>
      <c r="F259" s="2">
        <f t="shared" ref="F259:F322" ca="1" si="5">DATEDIF(E259,TODAY(),"Y")</f>
        <v>5</v>
      </c>
      <c r="G259" s="17"/>
      <c r="H259" s="41">
        <v>107271</v>
      </c>
      <c r="I259" s="19">
        <v>5</v>
      </c>
    </row>
    <row r="260" spans="1:9" x14ac:dyDescent="0.2">
      <c r="A260" s="11" t="s">
        <v>811</v>
      </c>
      <c r="B260" s="14" t="s">
        <v>27</v>
      </c>
      <c r="C260" s="11" t="s">
        <v>20</v>
      </c>
      <c r="D260" s="11" t="s">
        <v>21</v>
      </c>
      <c r="E260" s="20">
        <v>37039</v>
      </c>
      <c r="F260" s="2">
        <f t="shared" ca="1" si="5"/>
        <v>18</v>
      </c>
      <c r="G260" s="17"/>
      <c r="H260" s="41">
        <v>120569</v>
      </c>
      <c r="I260" s="19">
        <v>5</v>
      </c>
    </row>
    <row r="261" spans="1:9" x14ac:dyDescent="0.2">
      <c r="A261" s="11" t="s">
        <v>506</v>
      </c>
      <c r="B261" s="14" t="s">
        <v>19</v>
      </c>
      <c r="C261" s="11" t="s">
        <v>152</v>
      </c>
      <c r="D261" s="11" t="s">
        <v>29</v>
      </c>
      <c r="E261" s="20">
        <v>37148</v>
      </c>
      <c r="F261" s="2">
        <f t="shared" ca="1" si="5"/>
        <v>17</v>
      </c>
      <c r="G261" s="17" t="s">
        <v>47</v>
      </c>
      <c r="H261" s="41">
        <v>36626</v>
      </c>
      <c r="I261" s="19">
        <v>5</v>
      </c>
    </row>
    <row r="262" spans="1:9" x14ac:dyDescent="0.2">
      <c r="A262" s="11" t="s">
        <v>1360</v>
      </c>
      <c r="B262" s="14" t="s">
        <v>51</v>
      </c>
      <c r="C262" s="11" t="s">
        <v>152</v>
      </c>
      <c r="D262" s="11" t="s">
        <v>29</v>
      </c>
      <c r="E262" s="20">
        <v>38793</v>
      </c>
      <c r="F262" s="2">
        <f t="shared" ca="1" si="5"/>
        <v>13</v>
      </c>
      <c r="G262" s="17" t="s">
        <v>30</v>
      </c>
      <c r="H262" s="41">
        <v>106259</v>
      </c>
      <c r="I262" s="19">
        <v>2</v>
      </c>
    </row>
    <row r="263" spans="1:9" x14ac:dyDescent="0.2">
      <c r="A263" s="11" t="s">
        <v>82</v>
      </c>
      <c r="B263" s="14" t="s">
        <v>51</v>
      </c>
      <c r="C263" s="11" t="s">
        <v>145</v>
      </c>
      <c r="D263" s="11" t="s">
        <v>21</v>
      </c>
      <c r="E263" s="20">
        <v>39811</v>
      </c>
      <c r="F263" s="2">
        <f t="shared" ca="1" si="5"/>
        <v>10</v>
      </c>
      <c r="G263" s="17"/>
      <c r="H263" s="41">
        <v>87197</v>
      </c>
      <c r="I263" s="19">
        <v>1</v>
      </c>
    </row>
    <row r="264" spans="1:9" x14ac:dyDescent="0.2">
      <c r="A264" s="11" t="s">
        <v>103</v>
      </c>
      <c r="B264" s="14" t="s">
        <v>27</v>
      </c>
      <c r="C264" s="11" t="s">
        <v>20</v>
      </c>
      <c r="D264" s="11" t="s">
        <v>29</v>
      </c>
      <c r="E264" s="20">
        <v>38802</v>
      </c>
      <c r="F264" s="2">
        <f t="shared" ca="1" si="5"/>
        <v>13</v>
      </c>
      <c r="G264" s="17" t="s">
        <v>30</v>
      </c>
      <c r="H264" s="41">
        <v>38678</v>
      </c>
      <c r="I264" s="19">
        <v>4</v>
      </c>
    </row>
    <row r="265" spans="1:9" x14ac:dyDescent="0.2">
      <c r="A265" s="11" t="s">
        <v>789</v>
      </c>
      <c r="B265" s="14" t="s">
        <v>27</v>
      </c>
      <c r="C265" s="11" t="s">
        <v>86</v>
      </c>
      <c r="D265" s="11" t="s">
        <v>29</v>
      </c>
      <c r="E265" s="20">
        <v>35961</v>
      </c>
      <c r="F265" s="2">
        <f t="shared" ca="1" si="5"/>
        <v>20</v>
      </c>
      <c r="G265" s="17" t="s">
        <v>30</v>
      </c>
      <c r="H265" s="41">
        <v>88088</v>
      </c>
      <c r="I265" s="19">
        <v>2</v>
      </c>
    </row>
    <row r="266" spans="1:9" x14ac:dyDescent="0.2">
      <c r="A266" s="11" t="s">
        <v>843</v>
      </c>
      <c r="B266" s="14" t="s">
        <v>19</v>
      </c>
      <c r="C266" s="11" t="s">
        <v>59</v>
      </c>
      <c r="D266" s="11" t="s">
        <v>29</v>
      </c>
      <c r="E266" s="20">
        <v>37389</v>
      </c>
      <c r="F266" s="2">
        <f t="shared" ca="1" si="5"/>
        <v>17</v>
      </c>
      <c r="G266" s="17" t="s">
        <v>30</v>
      </c>
      <c r="H266" s="41">
        <v>76775</v>
      </c>
      <c r="I266" s="19">
        <v>1</v>
      </c>
    </row>
    <row r="267" spans="1:9" x14ac:dyDescent="0.2">
      <c r="A267" s="11" t="s">
        <v>1358</v>
      </c>
      <c r="B267" s="14" t="s">
        <v>27</v>
      </c>
      <c r="C267" s="11" t="s">
        <v>254</v>
      </c>
      <c r="D267" s="11" t="s">
        <v>29</v>
      </c>
      <c r="E267" s="20">
        <v>35662</v>
      </c>
      <c r="F267" s="2">
        <f t="shared" ca="1" si="5"/>
        <v>21</v>
      </c>
      <c r="G267" s="17" t="s">
        <v>71</v>
      </c>
      <c r="H267" s="41">
        <v>101750</v>
      </c>
      <c r="I267" s="19">
        <v>2</v>
      </c>
    </row>
    <row r="268" spans="1:9" x14ac:dyDescent="0.2">
      <c r="A268" s="11" t="s">
        <v>1044</v>
      </c>
      <c r="B268" s="14" t="s">
        <v>36</v>
      </c>
      <c r="C268" s="11" t="s">
        <v>152</v>
      </c>
      <c r="D268" s="11" t="s">
        <v>29</v>
      </c>
      <c r="E268" s="20">
        <v>37560</v>
      </c>
      <c r="F268" s="2">
        <f t="shared" ca="1" si="5"/>
        <v>16</v>
      </c>
      <c r="G268" s="17" t="s">
        <v>47</v>
      </c>
      <c r="H268" s="41">
        <v>116532</v>
      </c>
      <c r="I268" s="19">
        <v>4</v>
      </c>
    </row>
    <row r="269" spans="1:9" x14ac:dyDescent="0.2">
      <c r="A269" s="11" t="s">
        <v>1332</v>
      </c>
      <c r="B269" s="14" t="s">
        <v>19</v>
      </c>
      <c r="C269" s="11" t="s">
        <v>20</v>
      </c>
      <c r="D269" s="11" t="s">
        <v>29</v>
      </c>
      <c r="E269" s="20">
        <v>41869</v>
      </c>
      <c r="F269" s="2">
        <f t="shared" ca="1" si="5"/>
        <v>4</v>
      </c>
      <c r="G269" s="17" t="s">
        <v>47</v>
      </c>
      <c r="H269" s="41">
        <v>56012</v>
      </c>
      <c r="I269" s="19">
        <v>5</v>
      </c>
    </row>
    <row r="270" spans="1:9" x14ac:dyDescent="0.2">
      <c r="A270" s="11" t="s">
        <v>600</v>
      </c>
      <c r="B270" s="14" t="s">
        <v>27</v>
      </c>
      <c r="C270" s="11" t="s">
        <v>145</v>
      </c>
      <c r="D270" s="11" t="s">
        <v>29</v>
      </c>
      <c r="E270" s="20">
        <v>37680</v>
      </c>
      <c r="F270" s="2">
        <f t="shared" ca="1" si="5"/>
        <v>16</v>
      </c>
      <c r="G270" s="17" t="s">
        <v>30</v>
      </c>
      <c r="H270" s="41">
        <v>94878</v>
      </c>
      <c r="I270" s="19">
        <v>3</v>
      </c>
    </row>
    <row r="271" spans="1:9" x14ac:dyDescent="0.2">
      <c r="A271" s="11" t="s">
        <v>793</v>
      </c>
      <c r="B271" s="14" t="s">
        <v>27</v>
      </c>
      <c r="C271" s="11" t="s">
        <v>136</v>
      </c>
      <c r="D271" s="11" t="s">
        <v>56</v>
      </c>
      <c r="E271" s="20">
        <v>37812</v>
      </c>
      <c r="F271" s="2">
        <f t="shared" ca="1" si="5"/>
        <v>15</v>
      </c>
      <c r="G271" s="17"/>
      <c r="H271" s="41">
        <v>22529</v>
      </c>
      <c r="I271" s="19">
        <v>3</v>
      </c>
    </row>
    <row r="272" spans="1:9" x14ac:dyDescent="0.2">
      <c r="A272" s="11" t="s">
        <v>914</v>
      </c>
      <c r="B272" s="14" t="s">
        <v>43</v>
      </c>
      <c r="C272" s="11" t="s">
        <v>145</v>
      </c>
      <c r="D272" s="11" t="s">
        <v>29</v>
      </c>
      <c r="E272" s="20">
        <v>37235</v>
      </c>
      <c r="F272" s="2">
        <f t="shared" ca="1" si="5"/>
        <v>17</v>
      </c>
      <c r="G272" s="17" t="s">
        <v>71</v>
      </c>
      <c r="H272" s="41">
        <v>85003</v>
      </c>
      <c r="I272" s="19">
        <v>1</v>
      </c>
    </row>
    <row r="273" spans="1:9" x14ac:dyDescent="0.2">
      <c r="A273" s="11" t="s">
        <v>1518</v>
      </c>
      <c r="B273" s="14" t="s">
        <v>43</v>
      </c>
      <c r="C273" s="11" t="s">
        <v>136</v>
      </c>
      <c r="D273" s="11" t="s">
        <v>21</v>
      </c>
      <c r="E273" s="20">
        <v>37325</v>
      </c>
      <c r="F273" s="2">
        <f t="shared" ca="1" si="5"/>
        <v>17</v>
      </c>
      <c r="G273" s="17"/>
      <c r="H273" s="41">
        <v>66866</v>
      </c>
      <c r="I273" s="19">
        <v>4</v>
      </c>
    </row>
    <row r="274" spans="1:9" x14ac:dyDescent="0.2">
      <c r="A274" s="11" t="s">
        <v>1532</v>
      </c>
      <c r="B274" s="14" t="s">
        <v>19</v>
      </c>
      <c r="C274" s="11" t="s">
        <v>136</v>
      </c>
      <c r="D274" s="11" t="s">
        <v>21</v>
      </c>
      <c r="E274" s="20">
        <v>39188</v>
      </c>
      <c r="F274" s="2">
        <f t="shared" ca="1" si="5"/>
        <v>12</v>
      </c>
      <c r="G274" s="17"/>
      <c r="H274" s="41">
        <v>81095</v>
      </c>
      <c r="I274" s="19">
        <v>3</v>
      </c>
    </row>
    <row r="275" spans="1:9" x14ac:dyDescent="0.2">
      <c r="A275" s="11" t="s">
        <v>649</v>
      </c>
      <c r="B275" s="14" t="s">
        <v>27</v>
      </c>
      <c r="C275" s="11" t="s">
        <v>152</v>
      </c>
      <c r="D275" s="11" t="s">
        <v>29</v>
      </c>
      <c r="E275" s="20">
        <v>38751</v>
      </c>
      <c r="F275" s="2">
        <f t="shared" ca="1" si="5"/>
        <v>13</v>
      </c>
      <c r="G275" s="17" t="s">
        <v>47</v>
      </c>
      <c r="H275" s="41">
        <v>85131</v>
      </c>
      <c r="I275" s="19">
        <v>4</v>
      </c>
    </row>
    <row r="276" spans="1:9" x14ac:dyDescent="0.2">
      <c r="A276" s="11" t="s">
        <v>1212</v>
      </c>
      <c r="B276" s="14" t="s">
        <v>19</v>
      </c>
      <c r="C276" s="11" t="s">
        <v>136</v>
      </c>
      <c r="D276" s="11" t="s">
        <v>29</v>
      </c>
      <c r="E276" s="20">
        <v>35294</v>
      </c>
      <c r="F276" s="2">
        <f t="shared" ca="1" si="5"/>
        <v>22</v>
      </c>
      <c r="G276" s="17" t="s">
        <v>87</v>
      </c>
      <c r="H276" s="41">
        <v>73575</v>
      </c>
      <c r="I276" s="19">
        <v>5</v>
      </c>
    </row>
    <row r="277" spans="1:9" x14ac:dyDescent="0.2">
      <c r="A277" s="11" t="s">
        <v>469</v>
      </c>
      <c r="B277" s="14" t="s">
        <v>83</v>
      </c>
      <c r="C277" s="11" t="s">
        <v>254</v>
      </c>
      <c r="D277" s="11" t="s">
        <v>29</v>
      </c>
      <c r="E277" s="20">
        <v>36486</v>
      </c>
      <c r="F277" s="2">
        <f t="shared" ca="1" si="5"/>
        <v>19</v>
      </c>
      <c r="G277" s="17" t="s">
        <v>47</v>
      </c>
      <c r="H277" s="41">
        <v>117491</v>
      </c>
      <c r="I277" s="19">
        <v>3</v>
      </c>
    </row>
    <row r="278" spans="1:9" x14ac:dyDescent="0.2">
      <c r="A278" s="11" t="s">
        <v>544</v>
      </c>
      <c r="B278" s="14" t="s">
        <v>83</v>
      </c>
      <c r="C278" s="11" t="s">
        <v>145</v>
      </c>
      <c r="D278" s="11" t="s">
        <v>80</v>
      </c>
      <c r="E278" s="20">
        <v>37626</v>
      </c>
      <c r="F278" s="2">
        <f t="shared" ca="1" si="5"/>
        <v>16</v>
      </c>
      <c r="G278" s="17" t="s">
        <v>38</v>
      </c>
      <c r="H278" s="41">
        <v>53366</v>
      </c>
      <c r="I278" s="19">
        <v>5</v>
      </c>
    </row>
    <row r="279" spans="1:9" x14ac:dyDescent="0.2">
      <c r="A279" s="11" t="s">
        <v>253</v>
      </c>
      <c r="B279" s="14" t="s">
        <v>43</v>
      </c>
      <c r="C279" s="11" t="s">
        <v>214</v>
      </c>
      <c r="D279" s="11" t="s">
        <v>29</v>
      </c>
      <c r="E279" s="20">
        <v>36325</v>
      </c>
      <c r="F279" s="2">
        <f t="shared" ca="1" si="5"/>
        <v>19</v>
      </c>
      <c r="G279" s="17" t="s">
        <v>71</v>
      </c>
      <c r="H279" s="41">
        <v>46548</v>
      </c>
      <c r="I279" s="19">
        <v>3</v>
      </c>
    </row>
    <row r="280" spans="1:9" x14ac:dyDescent="0.2">
      <c r="A280" s="11" t="s">
        <v>1336</v>
      </c>
      <c r="B280" s="14" t="s">
        <v>19</v>
      </c>
      <c r="C280" s="11" t="s">
        <v>59</v>
      </c>
      <c r="D280" s="11" t="s">
        <v>29</v>
      </c>
      <c r="E280" s="20">
        <v>39072</v>
      </c>
      <c r="F280" s="2">
        <f t="shared" ca="1" si="5"/>
        <v>12</v>
      </c>
      <c r="G280" s="17" t="s">
        <v>47</v>
      </c>
      <c r="H280" s="41">
        <v>57348</v>
      </c>
      <c r="I280" s="19">
        <v>3</v>
      </c>
    </row>
    <row r="281" spans="1:9" x14ac:dyDescent="0.2">
      <c r="A281" s="11" t="s">
        <v>992</v>
      </c>
      <c r="B281" s="14" t="s">
        <v>51</v>
      </c>
      <c r="C281" s="11" t="s">
        <v>265</v>
      </c>
      <c r="D281" s="11" t="s">
        <v>80</v>
      </c>
      <c r="E281" s="20">
        <v>42289</v>
      </c>
      <c r="F281" s="2">
        <f t="shared" ca="1" si="5"/>
        <v>3</v>
      </c>
      <c r="G281" s="17" t="s">
        <v>30</v>
      </c>
      <c r="H281" s="41">
        <v>62411</v>
      </c>
      <c r="I281" s="19">
        <v>2</v>
      </c>
    </row>
    <row r="282" spans="1:9" x14ac:dyDescent="0.2">
      <c r="A282" s="11" t="s">
        <v>586</v>
      </c>
      <c r="B282" s="14" t="s">
        <v>36</v>
      </c>
      <c r="C282" s="11" t="s">
        <v>254</v>
      </c>
      <c r="D282" s="11" t="s">
        <v>29</v>
      </c>
      <c r="E282" s="20">
        <v>36524</v>
      </c>
      <c r="F282" s="2">
        <f t="shared" ca="1" si="5"/>
        <v>19</v>
      </c>
      <c r="G282" s="17" t="s">
        <v>38</v>
      </c>
      <c r="H282" s="41">
        <v>105084</v>
      </c>
      <c r="I282" s="19">
        <v>2</v>
      </c>
    </row>
    <row r="283" spans="1:9" x14ac:dyDescent="0.2">
      <c r="A283" s="11" t="s">
        <v>942</v>
      </c>
      <c r="B283" s="14" t="s">
        <v>43</v>
      </c>
      <c r="C283" s="11" t="s">
        <v>104</v>
      </c>
      <c r="D283" s="11" t="s">
        <v>29</v>
      </c>
      <c r="E283" s="20">
        <v>38677</v>
      </c>
      <c r="F283" s="2">
        <f t="shared" ca="1" si="5"/>
        <v>13</v>
      </c>
      <c r="G283" s="17" t="s">
        <v>30</v>
      </c>
      <c r="H283" s="41">
        <v>45414</v>
      </c>
      <c r="I283" s="19">
        <v>3</v>
      </c>
    </row>
    <row r="284" spans="1:9" x14ac:dyDescent="0.2">
      <c r="A284" s="11" t="s">
        <v>1741</v>
      </c>
      <c r="B284" s="14" t="s">
        <v>19</v>
      </c>
      <c r="C284" s="11" t="s">
        <v>28</v>
      </c>
      <c r="D284" s="11" t="s">
        <v>56</v>
      </c>
      <c r="E284" s="20">
        <v>42097</v>
      </c>
      <c r="F284" s="2">
        <f t="shared" ca="1" si="5"/>
        <v>4</v>
      </c>
      <c r="G284" s="17"/>
      <c r="H284" s="41">
        <v>37103</v>
      </c>
      <c r="I284" s="19">
        <v>4</v>
      </c>
    </row>
    <row r="285" spans="1:9" x14ac:dyDescent="0.2">
      <c r="A285" s="11" t="s">
        <v>190</v>
      </c>
      <c r="B285" s="14" t="s">
        <v>83</v>
      </c>
      <c r="C285" s="11" t="s">
        <v>214</v>
      </c>
      <c r="D285" s="11" t="s">
        <v>56</v>
      </c>
      <c r="E285" s="20">
        <v>35535</v>
      </c>
      <c r="F285" s="2">
        <f t="shared" ca="1" si="5"/>
        <v>22</v>
      </c>
      <c r="G285" s="17"/>
      <c r="H285" s="41">
        <v>30164</v>
      </c>
      <c r="I285" s="19">
        <v>4</v>
      </c>
    </row>
    <row r="286" spans="1:9" x14ac:dyDescent="0.2">
      <c r="A286" s="11" t="s">
        <v>693</v>
      </c>
      <c r="B286" s="14" t="s">
        <v>43</v>
      </c>
      <c r="C286" s="11" t="s">
        <v>254</v>
      </c>
      <c r="D286" s="11" t="s">
        <v>29</v>
      </c>
      <c r="E286" s="20">
        <v>37123</v>
      </c>
      <c r="F286" s="2">
        <f t="shared" ca="1" si="5"/>
        <v>17</v>
      </c>
      <c r="G286" s="17" t="s">
        <v>30</v>
      </c>
      <c r="H286" s="41">
        <v>58604</v>
      </c>
      <c r="I286" s="19">
        <v>1</v>
      </c>
    </row>
    <row r="287" spans="1:9" x14ac:dyDescent="0.2">
      <c r="A287" s="11" t="s">
        <v>1256</v>
      </c>
      <c r="B287" s="14" t="s">
        <v>19</v>
      </c>
      <c r="C287" s="11" t="s">
        <v>28</v>
      </c>
      <c r="D287" s="11" t="s">
        <v>29</v>
      </c>
      <c r="E287" s="20">
        <v>37233</v>
      </c>
      <c r="F287" s="2">
        <f t="shared" ca="1" si="5"/>
        <v>17</v>
      </c>
      <c r="G287" s="17" t="s">
        <v>30</v>
      </c>
      <c r="H287" s="41">
        <v>30942</v>
      </c>
      <c r="I287" s="19">
        <v>3</v>
      </c>
    </row>
    <row r="288" spans="1:9" x14ac:dyDescent="0.2">
      <c r="A288" s="11" t="s">
        <v>996</v>
      </c>
      <c r="B288" s="14" t="s">
        <v>19</v>
      </c>
      <c r="C288" s="11" t="s">
        <v>52</v>
      </c>
      <c r="D288" s="11" t="s">
        <v>21</v>
      </c>
      <c r="E288" s="20">
        <v>37743</v>
      </c>
      <c r="F288" s="2">
        <f t="shared" ca="1" si="5"/>
        <v>16</v>
      </c>
      <c r="G288" s="17"/>
      <c r="H288" s="41">
        <v>87035</v>
      </c>
      <c r="I288" s="19">
        <v>3</v>
      </c>
    </row>
    <row r="289" spans="1:9" x14ac:dyDescent="0.2">
      <c r="A289" s="11" t="s">
        <v>861</v>
      </c>
      <c r="B289" s="14" t="s">
        <v>27</v>
      </c>
      <c r="C289" s="11" t="s">
        <v>20</v>
      </c>
      <c r="D289" s="11" t="s">
        <v>56</v>
      </c>
      <c r="E289" s="20">
        <v>35404</v>
      </c>
      <c r="F289" s="2">
        <f t="shared" ca="1" si="5"/>
        <v>22</v>
      </c>
      <c r="G289" s="17"/>
      <c r="H289" s="41">
        <v>19667</v>
      </c>
      <c r="I289" s="19">
        <v>3</v>
      </c>
    </row>
    <row r="290" spans="1:9" x14ac:dyDescent="0.2">
      <c r="A290" s="11" t="s">
        <v>244</v>
      </c>
      <c r="B290" s="14" t="s">
        <v>19</v>
      </c>
      <c r="C290" s="11" t="s">
        <v>214</v>
      </c>
      <c r="D290" s="11" t="s">
        <v>29</v>
      </c>
      <c r="E290" s="20">
        <v>37304</v>
      </c>
      <c r="F290" s="2">
        <f t="shared" ca="1" si="5"/>
        <v>17</v>
      </c>
      <c r="G290" s="17" t="s">
        <v>47</v>
      </c>
      <c r="H290" s="41">
        <v>107636</v>
      </c>
      <c r="I290" s="19">
        <v>2</v>
      </c>
    </row>
    <row r="291" spans="1:9" x14ac:dyDescent="0.2">
      <c r="A291" s="11" t="s">
        <v>133</v>
      </c>
      <c r="B291" s="14" t="s">
        <v>43</v>
      </c>
      <c r="C291" s="11" t="s">
        <v>214</v>
      </c>
      <c r="D291" s="11" t="s">
        <v>56</v>
      </c>
      <c r="E291" s="20">
        <v>37613</v>
      </c>
      <c r="F291" s="2">
        <f t="shared" ca="1" si="5"/>
        <v>16</v>
      </c>
      <c r="G291" s="17"/>
      <c r="H291" s="41">
        <v>39388</v>
      </c>
      <c r="I291" s="19">
        <v>3</v>
      </c>
    </row>
    <row r="292" spans="1:9" x14ac:dyDescent="0.2">
      <c r="A292" s="11" t="s">
        <v>821</v>
      </c>
      <c r="B292" s="14" t="s">
        <v>51</v>
      </c>
      <c r="C292" s="11" t="s">
        <v>152</v>
      </c>
      <c r="D292" s="11" t="s">
        <v>29</v>
      </c>
      <c r="E292" s="20">
        <v>37091</v>
      </c>
      <c r="F292" s="2">
        <f t="shared" ca="1" si="5"/>
        <v>17</v>
      </c>
      <c r="G292" s="17" t="s">
        <v>47</v>
      </c>
      <c r="H292" s="41">
        <v>42782</v>
      </c>
      <c r="I292" s="19">
        <v>4</v>
      </c>
    </row>
    <row r="293" spans="1:9" x14ac:dyDescent="0.2">
      <c r="A293" s="11" t="s">
        <v>1028</v>
      </c>
      <c r="B293" s="14" t="s">
        <v>27</v>
      </c>
      <c r="C293" s="11" t="s">
        <v>59</v>
      </c>
      <c r="D293" s="11" t="s">
        <v>80</v>
      </c>
      <c r="E293" s="20">
        <v>36854</v>
      </c>
      <c r="F293" s="2">
        <f t="shared" ca="1" si="5"/>
        <v>18</v>
      </c>
      <c r="G293" s="17" t="s">
        <v>71</v>
      </c>
      <c r="H293" s="41">
        <v>28647</v>
      </c>
      <c r="I293" s="19">
        <v>3</v>
      </c>
    </row>
    <row r="294" spans="1:9" x14ac:dyDescent="0.2">
      <c r="A294" s="11" t="s">
        <v>1272</v>
      </c>
      <c r="B294" s="14" t="s">
        <v>43</v>
      </c>
      <c r="C294" s="11" t="s">
        <v>214</v>
      </c>
      <c r="D294" s="11" t="s">
        <v>56</v>
      </c>
      <c r="E294" s="20">
        <v>40871</v>
      </c>
      <c r="F294" s="2">
        <f t="shared" ca="1" si="5"/>
        <v>7</v>
      </c>
      <c r="G294" s="17"/>
      <c r="H294" s="41">
        <v>19462</v>
      </c>
      <c r="I294" s="19">
        <v>4</v>
      </c>
    </row>
    <row r="295" spans="1:9" x14ac:dyDescent="0.2">
      <c r="A295" s="11" t="s">
        <v>415</v>
      </c>
      <c r="B295" s="14" t="s">
        <v>83</v>
      </c>
      <c r="C295" s="11" t="s">
        <v>136</v>
      </c>
      <c r="D295" s="11" t="s">
        <v>29</v>
      </c>
      <c r="E295" s="20">
        <v>36477</v>
      </c>
      <c r="F295" s="2">
        <f t="shared" ca="1" si="5"/>
        <v>19</v>
      </c>
      <c r="G295" s="17" t="s">
        <v>87</v>
      </c>
      <c r="H295" s="41">
        <v>119907</v>
      </c>
      <c r="I295" s="19">
        <v>2</v>
      </c>
    </row>
    <row r="296" spans="1:9" x14ac:dyDescent="0.2">
      <c r="A296" s="11" t="s">
        <v>1170</v>
      </c>
      <c r="B296" s="14" t="s">
        <v>51</v>
      </c>
      <c r="C296" s="11" t="s">
        <v>249</v>
      </c>
      <c r="D296" s="11" t="s">
        <v>21</v>
      </c>
      <c r="E296" s="20">
        <v>42117</v>
      </c>
      <c r="F296" s="2">
        <f t="shared" ca="1" si="5"/>
        <v>4</v>
      </c>
      <c r="G296" s="17"/>
      <c r="H296" s="41">
        <v>99927</v>
      </c>
      <c r="I296" s="19">
        <v>2</v>
      </c>
    </row>
    <row r="297" spans="1:9" x14ac:dyDescent="0.2">
      <c r="A297" s="11" t="s">
        <v>1366</v>
      </c>
      <c r="B297" s="14" t="s">
        <v>27</v>
      </c>
      <c r="C297" s="11" t="s">
        <v>20</v>
      </c>
      <c r="D297" s="11" t="s">
        <v>29</v>
      </c>
      <c r="E297" s="20">
        <v>36258</v>
      </c>
      <c r="F297" s="2">
        <f t="shared" ca="1" si="5"/>
        <v>20</v>
      </c>
      <c r="G297" s="17" t="s">
        <v>87</v>
      </c>
      <c r="H297" s="41">
        <v>100805</v>
      </c>
      <c r="I297" s="19">
        <v>5</v>
      </c>
    </row>
    <row r="298" spans="1:9" x14ac:dyDescent="0.2">
      <c r="A298" s="11" t="s">
        <v>679</v>
      </c>
      <c r="B298" s="14" t="s">
        <v>19</v>
      </c>
      <c r="C298" s="11" t="s">
        <v>145</v>
      </c>
      <c r="D298" s="11" t="s">
        <v>21</v>
      </c>
      <c r="E298" s="20">
        <v>42134</v>
      </c>
      <c r="F298" s="2">
        <f t="shared" ca="1" si="5"/>
        <v>4</v>
      </c>
      <c r="G298" s="17"/>
      <c r="H298" s="41">
        <v>29133</v>
      </c>
      <c r="I298" s="19">
        <v>3</v>
      </c>
    </row>
    <row r="299" spans="1:9" x14ac:dyDescent="0.2">
      <c r="A299" s="11" t="s">
        <v>1432</v>
      </c>
      <c r="B299" s="14" t="s">
        <v>27</v>
      </c>
      <c r="C299" s="11" t="s">
        <v>59</v>
      </c>
      <c r="D299" s="11" t="s">
        <v>21</v>
      </c>
      <c r="E299" s="20">
        <v>39425</v>
      </c>
      <c r="F299" s="2">
        <f t="shared" ca="1" si="5"/>
        <v>11</v>
      </c>
      <c r="G299" s="17"/>
      <c r="H299" s="41">
        <v>43160</v>
      </c>
      <c r="I299" s="19">
        <v>5</v>
      </c>
    </row>
    <row r="300" spans="1:9" x14ac:dyDescent="0.2">
      <c r="A300" s="11" t="s">
        <v>220</v>
      </c>
      <c r="B300" s="14" t="s">
        <v>83</v>
      </c>
      <c r="C300" s="11" t="s">
        <v>127</v>
      </c>
      <c r="D300" s="11" t="s">
        <v>21</v>
      </c>
      <c r="E300" s="20">
        <v>37179</v>
      </c>
      <c r="F300" s="2">
        <f t="shared" ca="1" si="5"/>
        <v>17</v>
      </c>
      <c r="G300" s="17"/>
      <c r="H300" s="41">
        <v>78476</v>
      </c>
      <c r="I300" s="19">
        <v>2</v>
      </c>
    </row>
    <row r="301" spans="1:9" x14ac:dyDescent="0.2">
      <c r="A301" s="11" t="s">
        <v>681</v>
      </c>
      <c r="B301" s="14" t="s">
        <v>27</v>
      </c>
      <c r="C301" s="11" t="s">
        <v>145</v>
      </c>
      <c r="D301" s="11" t="s">
        <v>21</v>
      </c>
      <c r="E301" s="20">
        <v>37998</v>
      </c>
      <c r="F301" s="2">
        <f t="shared" ca="1" si="5"/>
        <v>15</v>
      </c>
      <c r="G301" s="17"/>
      <c r="H301" s="41">
        <v>71969</v>
      </c>
      <c r="I301" s="19">
        <v>5</v>
      </c>
    </row>
    <row r="302" spans="1:9" x14ac:dyDescent="0.2">
      <c r="A302" s="11" t="s">
        <v>1288</v>
      </c>
      <c r="B302" s="14" t="s">
        <v>43</v>
      </c>
      <c r="C302" s="11" t="s">
        <v>136</v>
      </c>
      <c r="D302" s="11" t="s">
        <v>21</v>
      </c>
      <c r="E302" s="20">
        <v>37870</v>
      </c>
      <c r="F302" s="2">
        <f t="shared" ca="1" si="5"/>
        <v>15</v>
      </c>
      <c r="G302" s="17"/>
      <c r="H302" s="41">
        <v>64152</v>
      </c>
      <c r="I302" s="19">
        <v>1</v>
      </c>
    </row>
    <row r="303" spans="1:9" x14ac:dyDescent="0.2">
      <c r="A303" s="11" t="s">
        <v>859</v>
      </c>
      <c r="B303" s="14" t="s">
        <v>83</v>
      </c>
      <c r="C303" s="11" t="s">
        <v>86</v>
      </c>
      <c r="D303" s="11" t="s">
        <v>21</v>
      </c>
      <c r="E303" s="20">
        <v>36731</v>
      </c>
      <c r="F303" s="2">
        <f t="shared" ca="1" si="5"/>
        <v>18</v>
      </c>
      <c r="G303" s="17"/>
      <c r="H303" s="41">
        <v>110606</v>
      </c>
      <c r="I303" s="19">
        <v>5</v>
      </c>
    </row>
    <row r="304" spans="1:9" x14ac:dyDescent="0.2">
      <c r="A304" s="11" t="s">
        <v>797</v>
      </c>
      <c r="B304" s="14" t="s">
        <v>19</v>
      </c>
      <c r="C304" s="11" t="s">
        <v>20</v>
      </c>
      <c r="D304" s="11" t="s">
        <v>29</v>
      </c>
      <c r="E304" s="20">
        <v>39025</v>
      </c>
      <c r="F304" s="2">
        <f t="shared" ca="1" si="5"/>
        <v>12</v>
      </c>
      <c r="G304" s="17" t="s">
        <v>47</v>
      </c>
      <c r="H304" s="41">
        <v>97133</v>
      </c>
      <c r="I304" s="19">
        <v>5</v>
      </c>
    </row>
    <row r="305" spans="1:9" x14ac:dyDescent="0.2">
      <c r="A305" s="11" t="s">
        <v>404</v>
      </c>
      <c r="B305" s="14" t="s">
        <v>83</v>
      </c>
      <c r="C305" s="11" t="s">
        <v>145</v>
      </c>
      <c r="D305" s="11" t="s">
        <v>29</v>
      </c>
      <c r="E305" s="20">
        <v>41862</v>
      </c>
      <c r="F305" s="2">
        <f t="shared" ca="1" si="5"/>
        <v>4</v>
      </c>
      <c r="G305" s="17" t="s">
        <v>30</v>
      </c>
      <c r="H305" s="41">
        <v>31307</v>
      </c>
      <c r="I305" s="19">
        <v>5</v>
      </c>
    </row>
    <row r="306" spans="1:9" x14ac:dyDescent="0.2">
      <c r="A306" s="11" t="s">
        <v>1220</v>
      </c>
      <c r="B306" s="14" t="s">
        <v>83</v>
      </c>
      <c r="C306" s="11" t="s">
        <v>152</v>
      </c>
      <c r="D306" s="11" t="s">
        <v>80</v>
      </c>
      <c r="E306" s="20">
        <v>41319</v>
      </c>
      <c r="F306" s="2">
        <f t="shared" ca="1" si="5"/>
        <v>6</v>
      </c>
      <c r="G306" s="17" t="s">
        <v>71</v>
      </c>
      <c r="H306" s="41">
        <v>66258</v>
      </c>
      <c r="I306" s="19">
        <v>5</v>
      </c>
    </row>
    <row r="307" spans="1:9" x14ac:dyDescent="0.2">
      <c r="A307" s="11" t="s">
        <v>1254</v>
      </c>
      <c r="B307" s="14" t="s">
        <v>36</v>
      </c>
      <c r="C307" s="11" t="s">
        <v>214</v>
      </c>
      <c r="D307" s="11" t="s">
        <v>21</v>
      </c>
      <c r="E307" s="20">
        <v>37144</v>
      </c>
      <c r="F307" s="2">
        <f t="shared" ca="1" si="5"/>
        <v>17</v>
      </c>
      <c r="G307" s="17"/>
      <c r="H307" s="41">
        <v>38151</v>
      </c>
      <c r="I307" s="19">
        <v>5</v>
      </c>
    </row>
    <row r="308" spans="1:9" x14ac:dyDescent="0.2">
      <c r="A308" s="11" t="s">
        <v>628</v>
      </c>
      <c r="B308" s="14" t="s">
        <v>19</v>
      </c>
      <c r="C308" s="11" t="s">
        <v>145</v>
      </c>
      <c r="D308" s="11" t="s">
        <v>21</v>
      </c>
      <c r="E308" s="20">
        <v>38426</v>
      </c>
      <c r="F308" s="2">
        <f t="shared" ca="1" si="5"/>
        <v>14</v>
      </c>
      <c r="G308" s="17"/>
      <c r="H308" s="41">
        <v>104976</v>
      </c>
      <c r="I308" s="19">
        <v>3</v>
      </c>
    </row>
    <row r="309" spans="1:9" x14ac:dyDescent="0.2">
      <c r="A309" s="11" t="s">
        <v>1424</v>
      </c>
      <c r="B309" s="14" t="s">
        <v>27</v>
      </c>
      <c r="C309" s="11" t="s">
        <v>152</v>
      </c>
      <c r="D309" s="11" t="s">
        <v>29</v>
      </c>
      <c r="E309" s="20">
        <v>38740</v>
      </c>
      <c r="F309" s="2">
        <f t="shared" ca="1" si="5"/>
        <v>13</v>
      </c>
      <c r="G309" s="17" t="s">
        <v>71</v>
      </c>
      <c r="H309" s="41">
        <v>67406</v>
      </c>
      <c r="I309" s="19">
        <v>1</v>
      </c>
    </row>
    <row r="310" spans="1:9" x14ac:dyDescent="0.2">
      <c r="A310" s="11" t="s">
        <v>366</v>
      </c>
      <c r="B310" s="14" t="s">
        <v>36</v>
      </c>
      <c r="C310" s="11" t="s">
        <v>214</v>
      </c>
      <c r="D310" s="11" t="s">
        <v>29</v>
      </c>
      <c r="E310" s="20">
        <v>37145</v>
      </c>
      <c r="F310" s="2">
        <f t="shared" ca="1" si="5"/>
        <v>17</v>
      </c>
      <c r="G310" s="17" t="s">
        <v>47</v>
      </c>
      <c r="H310" s="41">
        <v>80082</v>
      </c>
      <c r="I310" s="19">
        <v>4</v>
      </c>
    </row>
    <row r="311" spans="1:9" x14ac:dyDescent="0.2">
      <c r="A311" s="11" t="s">
        <v>520</v>
      </c>
      <c r="B311" s="14" t="s">
        <v>51</v>
      </c>
      <c r="C311" s="11" t="s">
        <v>152</v>
      </c>
      <c r="D311" s="11" t="s">
        <v>29</v>
      </c>
      <c r="E311" s="20">
        <v>39279</v>
      </c>
      <c r="F311" s="2">
        <f t="shared" ca="1" si="5"/>
        <v>11</v>
      </c>
      <c r="G311" s="17" t="s">
        <v>71</v>
      </c>
      <c r="H311" s="41">
        <v>81405</v>
      </c>
      <c r="I311" s="19">
        <v>2</v>
      </c>
    </row>
    <row r="312" spans="1:9" x14ac:dyDescent="0.2">
      <c r="A312" s="11" t="s">
        <v>614</v>
      </c>
      <c r="B312" s="14" t="s">
        <v>19</v>
      </c>
      <c r="C312" s="11" t="s">
        <v>136</v>
      </c>
      <c r="D312" s="11" t="s">
        <v>29</v>
      </c>
      <c r="E312" s="20">
        <v>37003</v>
      </c>
      <c r="F312" s="2">
        <f t="shared" ca="1" si="5"/>
        <v>18</v>
      </c>
      <c r="G312" s="17" t="s">
        <v>47</v>
      </c>
      <c r="H312" s="41">
        <v>63909</v>
      </c>
      <c r="I312" s="19">
        <v>2</v>
      </c>
    </row>
    <row r="313" spans="1:9" x14ac:dyDescent="0.2">
      <c r="A313" s="11" t="s">
        <v>1538</v>
      </c>
      <c r="B313" s="14" t="s">
        <v>43</v>
      </c>
      <c r="C313" s="11" t="s">
        <v>136</v>
      </c>
      <c r="D313" s="11" t="s">
        <v>29</v>
      </c>
      <c r="E313" s="20">
        <v>37605</v>
      </c>
      <c r="F313" s="2">
        <f t="shared" ca="1" si="5"/>
        <v>16</v>
      </c>
      <c r="G313" s="17" t="s">
        <v>38</v>
      </c>
      <c r="H313" s="41">
        <v>30875</v>
      </c>
      <c r="I313" s="19">
        <v>3</v>
      </c>
    </row>
    <row r="314" spans="1:9" x14ac:dyDescent="0.2">
      <c r="A314" s="11" t="s">
        <v>209</v>
      </c>
      <c r="B314" s="14" t="s">
        <v>51</v>
      </c>
      <c r="C314" s="11" t="s">
        <v>214</v>
      </c>
      <c r="D314" s="11" t="s">
        <v>29</v>
      </c>
      <c r="E314" s="20">
        <v>36267</v>
      </c>
      <c r="F314" s="2">
        <f t="shared" ca="1" si="5"/>
        <v>20</v>
      </c>
      <c r="G314" s="17" t="s">
        <v>47</v>
      </c>
      <c r="H314" s="41">
        <v>109364</v>
      </c>
      <c r="I314" s="19">
        <v>4</v>
      </c>
    </row>
    <row r="315" spans="1:9" x14ac:dyDescent="0.2">
      <c r="A315" s="11" t="s">
        <v>1528</v>
      </c>
      <c r="B315" s="14" t="s">
        <v>19</v>
      </c>
      <c r="C315" s="11" t="s">
        <v>249</v>
      </c>
      <c r="D315" s="11" t="s">
        <v>29</v>
      </c>
      <c r="E315" s="20">
        <v>37959</v>
      </c>
      <c r="F315" s="2">
        <f t="shared" ca="1" si="5"/>
        <v>15</v>
      </c>
      <c r="G315" s="17" t="s">
        <v>30</v>
      </c>
      <c r="H315" s="41">
        <v>31752</v>
      </c>
      <c r="I315" s="19">
        <v>2</v>
      </c>
    </row>
    <row r="316" spans="1:9" x14ac:dyDescent="0.2">
      <c r="A316" s="11" t="s">
        <v>620</v>
      </c>
      <c r="B316" s="14" t="s">
        <v>19</v>
      </c>
      <c r="C316" s="11" t="s">
        <v>145</v>
      </c>
      <c r="D316" s="11" t="s">
        <v>80</v>
      </c>
      <c r="E316" s="20">
        <v>37980</v>
      </c>
      <c r="F316" s="2">
        <f t="shared" ca="1" si="5"/>
        <v>15</v>
      </c>
      <c r="G316" s="17" t="s">
        <v>47</v>
      </c>
      <c r="H316" s="41">
        <v>47223</v>
      </c>
      <c r="I316" s="19">
        <v>2</v>
      </c>
    </row>
    <row r="317" spans="1:9" x14ac:dyDescent="0.2">
      <c r="A317" s="11" t="s">
        <v>528</v>
      </c>
      <c r="B317" s="14" t="s">
        <v>27</v>
      </c>
      <c r="C317" s="11" t="s">
        <v>59</v>
      </c>
      <c r="D317" s="11" t="s">
        <v>80</v>
      </c>
      <c r="E317" s="20">
        <v>36539</v>
      </c>
      <c r="F317" s="2">
        <f t="shared" ca="1" si="5"/>
        <v>19</v>
      </c>
      <c r="G317" s="17" t="s">
        <v>38</v>
      </c>
      <c r="H317" s="41">
        <v>20257</v>
      </c>
      <c r="I317" s="19">
        <v>4</v>
      </c>
    </row>
    <row r="318" spans="1:9" x14ac:dyDescent="0.2">
      <c r="A318" s="11" t="s">
        <v>1274</v>
      </c>
      <c r="B318" s="14" t="s">
        <v>27</v>
      </c>
      <c r="C318" s="11" t="s">
        <v>214</v>
      </c>
      <c r="D318" s="11" t="s">
        <v>21</v>
      </c>
      <c r="E318" s="20">
        <v>42233</v>
      </c>
      <c r="F318" s="2">
        <f t="shared" ca="1" si="5"/>
        <v>3</v>
      </c>
      <c r="G318" s="17"/>
      <c r="H318" s="41">
        <v>119934</v>
      </c>
      <c r="I318" s="19">
        <v>5</v>
      </c>
    </row>
    <row r="319" spans="1:9" x14ac:dyDescent="0.2">
      <c r="A319" s="11" t="s">
        <v>1186</v>
      </c>
      <c r="B319" s="14" t="s">
        <v>19</v>
      </c>
      <c r="C319" s="11" t="s">
        <v>145</v>
      </c>
      <c r="D319" s="11" t="s">
        <v>21</v>
      </c>
      <c r="E319" s="20">
        <v>37590</v>
      </c>
      <c r="F319" s="2">
        <f t="shared" ca="1" si="5"/>
        <v>16</v>
      </c>
      <c r="G319" s="17"/>
      <c r="H319" s="41">
        <v>116235</v>
      </c>
      <c r="I319" s="19">
        <v>4</v>
      </c>
    </row>
    <row r="320" spans="1:9" x14ac:dyDescent="0.2">
      <c r="A320" s="11" t="s">
        <v>242</v>
      </c>
      <c r="B320" s="14" t="s">
        <v>43</v>
      </c>
      <c r="C320" s="11" t="s">
        <v>145</v>
      </c>
      <c r="D320" s="11" t="s">
        <v>29</v>
      </c>
      <c r="E320" s="20">
        <v>38144</v>
      </c>
      <c r="F320" s="2">
        <f t="shared" ca="1" si="5"/>
        <v>14</v>
      </c>
      <c r="G320" s="17" t="s">
        <v>30</v>
      </c>
      <c r="H320" s="41">
        <v>90477</v>
      </c>
      <c r="I320" s="19">
        <v>1</v>
      </c>
    </row>
    <row r="321" spans="1:9" x14ac:dyDescent="0.2">
      <c r="A321" s="11" t="s">
        <v>427</v>
      </c>
      <c r="B321" s="14" t="s">
        <v>19</v>
      </c>
      <c r="C321" s="11" t="s">
        <v>145</v>
      </c>
      <c r="D321" s="11" t="s">
        <v>56</v>
      </c>
      <c r="E321" s="20">
        <v>36129</v>
      </c>
      <c r="F321" s="2">
        <f t="shared" ca="1" si="5"/>
        <v>20</v>
      </c>
      <c r="G321" s="17"/>
      <c r="H321" s="41">
        <v>49664</v>
      </c>
      <c r="I321" s="19">
        <v>4</v>
      </c>
    </row>
    <row r="322" spans="1:9" x14ac:dyDescent="0.2">
      <c r="A322" s="11" t="s">
        <v>719</v>
      </c>
      <c r="B322" s="14" t="s">
        <v>36</v>
      </c>
      <c r="C322" s="11" t="s">
        <v>249</v>
      </c>
      <c r="D322" s="11" t="s">
        <v>29</v>
      </c>
      <c r="E322" s="20">
        <v>38250</v>
      </c>
      <c r="F322" s="2">
        <f t="shared" ca="1" si="5"/>
        <v>14</v>
      </c>
      <c r="G322" s="17" t="s">
        <v>30</v>
      </c>
      <c r="H322" s="41">
        <v>92354</v>
      </c>
      <c r="I322" s="19">
        <v>5</v>
      </c>
    </row>
    <row r="323" spans="1:9" x14ac:dyDescent="0.2">
      <c r="A323" s="11" t="s">
        <v>841</v>
      </c>
      <c r="B323" s="14" t="s">
        <v>27</v>
      </c>
      <c r="C323" s="11" t="s">
        <v>214</v>
      </c>
      <c r="D323" s="11" t="s">
        <v>29</v>
      </c>
      <c r="E323" s="20">
        <v>40605</v>
      </c>
      <c r="F323" s="2">
        <f t="shared" ref="F323:F386" ca="1" si="6">DATEDIF(E323,TODAY(),"Y")</f>
        <v>8</v>
      </c>
      <c r="G323" s="17" t="s">
        <v>30</v>
      </c>
      <c r="H323" s="41">
        <v>88722</v>
      </c>
      <c r="I323" s="19">
        <v>1</v>
      </c>
    </row>
    <row r="324" spans="1:9" x14ac:dyDescent="0.2">
      <c r="A324" s="11" t="s">
        <v>1344</v>
      </c>
      <c r="B324" s="14" t="s">
        <v>27</v>
      </c>
      <c r="C324" s="11" t="s">
        <v>152</v>
      </c>
      <c r="D324" s="11" t="s">
        <v>80</v>
      </c>
      <c r="E324" s="20">
        <v>35175</v>
      </c>
      <c r="F324" s="2">
        <f t="shared" ca="1" si="6"/>
        <v>23</v>
      </c>
      <c r="G324" s="17" t="s">
        <v>30</v>
      </c>
      <c r="H324" s="41">
        <v>18164</v>
      </c>
      <c r="I324" s="19">
        <v>2</v>
      </c>
    </row>
    <row r="325" spans="1:9" x14ac:dyDescent="0.2">
      <c r="A325" s="11" t="s">
        <v>1122</v>
      </c>
      <c r="B325" s="14" t="s">
        <v>19</v>
      </c>
      <c r="C325" s="11" t="s">
        <v>145</v>
      </c>
      <c r="D325" s="11" t="s">
        <v>29</v>
      </c>
      <c r="E325" s="20">
        <v>36538</v>
      </c>
      <c r="F325" s="2">
        <f t="shared" ca="1" si="6"/>
        <v>19</v>
      </c>
      <c r="G325" s="17" t="s">
        <v>47</v>
      </c>
      <c r="H325" s="41">
        <v>52650</v>
      </c>
      <c r="I325" s="19">
        <v>5</v>
      </c>
    </row>
    <row r="326" spans="1:9" x14ac:dyDescent="0.2">
      <c r="A326" s="11" t="s">
        <v>518</v>
      </c>
      <c r="B326" s="14" t="s">
        <v>43</v>
      </c>
      <c r="C326" s="11" t="s">
        <v>336</v>
      </c>
      <c r="D326" s="11" t="s">
        <v>29</v>
      </c>
      <c r="E326" s="20">
        <v>38353</v>
      </c>
      <c r="F326" s="2">
        <f t="shared" ca="1" si="6"/>
        <v>14</v>
      </c>
      <c r="G326" s="17" t="s">
        <v>30</v>
      </c>
      <c r="H326" s="41">
        <v>101331</v>
      </c>
      <c r="I326" s="19">
        <v>5</v>
      </c>
    </row>
    <row r="327" spans="1:9" x14ac:dyDescent="0.2">
      <c r="A327" s="11" t="s">
        <v>1442</v>
      </c>
      <c r="B327" s="14" t="s">
        <v>27</v>
      </c>
      <c r="C327" s="11" t="s">
        <v>152</v>
      </c>
      <c r="D327" s="11" t="s">
        <v>56</v>
      </c>
      <c r="E327" s="20">
        <v>37031</v>
      </c>
      <c r="F327" s="2">
        <f t="shared" ca="1" si="6"/>
        <v>18</v>
      </c>
      <c r="G327" s="17"/>
      <c r="H327" s="41">
        <v>45565</v>
      </c>
      <c r="I327" s="19">
        <v>3</v>
      </c>
    </row>
    <row r="328" spans="1:9" x14ac:dyDescent="0.2">
      <c r="A328" s="11" t="s">
        <v>1498</v>
      </c>
      <c r="B328" s="14" t="s">
        <v>27</v>
      </c>
      <c r="C328" s="11" t="s">
        <v>214</v>
      </c>
      <c r="D328" s="11" t="s">
        <v>29</v>
      </c>
      <c r="E328" s="20">
        <v>37716</v>
      </c>
      <c r="F328" s="2">
        <f t="shared" ca="1" si="6"/>
        <v>16</v>
      </c>
      <c r="G328" s="17" t="s">
        <v>30</v>
      </c>
      <c r="H328" s="41">
        <v>121149</v>
      </c>
      <c r="I328" s="19">
        <v>5</v>
      </c>
    </row>
    <row r="329" spans="1:9" x14ac:dyDescent="0.2">
      <c r="A329" s="11" t="s">
        <v>709</v>
      </c>
      <c r="B329" s="14" t="s">
        <v>83</v>
      </c>
      <c r="C329" s="11" t="s">
        <v>152</v>
      </c>
      <c r="D329" s="11" t="s">
        <v>21</v>
      </c>
      <c r="E329" s="20">
        <v>40222</v>
      </c>
      <c r="F329" s="2">
        <f t="shared" ca="1" si="6"/>
        <v>9</v>
      </c>
      <c r="G329" s="17"/>
      <c r="H329" s="41">
        <v>44388</v>
      </c>
      <c r="I329" s="19">
        <v>3</v>
      </c>
    </row>
    <row r="330" spans="1:9" x14ac:dyDescent="0.2">
      <c r="A330" s="11" t="s">
        <v>1742</v>
      </c>
      <c r="B330" s="14" t="s">
        <v>19</v>
      </c>
      <c r="C330" s="11" t="s">
        <v>86</v>
      </c>
      <c r="D330" s="11" t="s">
        <v>21</v>
      </c>
      <c r="E330" s="20">
        <v>41067</v>
      </c>
      <c r="F330" s="2">
        <f t="shared" ca="1" si="6"/>
        <v>6</v>
      </c>
      <c r="G330" s="17"/>
      <c r="H330" s="41">
        <v>100535</v>
      </c>
      <c r="I330" s="19">
        <v>3</v>
      </c>
    </row>
    <row r="331" spans="1:9" x14ac:dyDescent="0.2">
      <c r="A331" s="11" t="s">
        <v>813</v>
      </c>
      <c r="B331" s="14" t="s">
        <v>27</v>
      </c>
      <c r="C331" s="11" t="s">
        <v>152</v>
      </c>
      <c r="D331" s="11" t="s">
        <v>21</v>
      </c>
      <c r="E331" s="20">
        <v>36318</v>
      </c>
      <c r="F331" s="2">
        <f t="shared" ca="1" si="6"/>
        <v>19</v>
      </c>
      <c r="G331" s="17"/>
      <c r="H331" s="41">
        <v>60892</v>
      </c>
      <c r="I331" s="19">
        <v>1</v>
      </c>
    </row>
    <row r="332" spans="1:9" x14ac:dyDescent="0.2">
      <c r="A332" s="11" t="s">
        <v>329</v>
      </c>
      <c r="B332" s="14" t="s">
        <v>83</v>
      </c>
      <c r="C332" s="11" t="s">
        <v>205</v>
      </c>
      <c r="D332" s="11" t="s">
        <v>21</v>
      </c>
      <c r="E332" s="20">
        <v>38457</v>
      </c>
      <c r="F332" s="2">
        <f t="shared" ca="1" si="6"/>
        <v>14</v>
      </c>
      <c r="G332" s="17" t="s">
        <v>30</v>
      </c>
      <c r="H332" s="41">
        <v>93704</v>
      </c>
      <c r="I332" s="19">
        <v>4</v>
      </c>
    </row>
    <row r="333" spans="1:9" x14ac:dyDescent="0.2">
      <c r="A333" s="11" t="s">
        <v>946</v>
      </c>
      <c r="B333" s="14" t="s">
        <v>43</v>
      </c>
      <c r="C333" s="11" t="s">
        <v>37</v>
      </c>
      <c r="D333" s="11" t="s">
        <v>21</v>
      </c>
      <c r="E333" s="20">
        <v>40201</v>
      </c>
      <c r="F333" s="2">
        <f t="shared" ca="1" si="6"/>
        <v>9</v>
      </c>
      <c r="G333" s="17"/>
      <c r="H333" s="41">
        <v>57429</v>
      </c>
      <c r="I333" s="19">
        <v>5</v>
      </c>
    </row>
    <row r="334" spans="1:9" x14ac:dyDescent="0.2">
      <c r="A334" s="11" t="s">
        <v>1182</v>
      </c>
      <c r="B334" s="14" t="s">
        <v>27</v>
      </c>
      <c r="C334" s="11" t="s">
        <v>152</v>
      </c>
      <c r="D334" s="11" t="s">
        <v>21</v>
      </c>
      <c r="E334" s="20">
        <v>35910</v>
      </c>
      <c r="F334" s="2">
        <f t="shared" ca="1" si="6"/>
        <v>21</v>
      </c>
      <c r="G334" s="17"/>
      <c r="H334" s="41">
        <v>101993</v>
      </c>
      <c r="I334" s="19">
        <v>3</v>
      </c>
    </row>
    <row r="335" spans="1:9" x14ac:dyDescent="0.2">
      <c r="A335" s="11" t="s">
        <v>1402</v>
      </c>
      <c r="B335" s="14" t="s">
        <v>27</v>
      </c>
      <c r="C335" s="11" t="s">
        <v>59</v>
      </c>
      <c r="D335" s="11" t="s">
        <v>80</v>
      </c>
      <c r="E335" s="20">
        <v>36970</v>
      </c>
      <c r="F335" s="2">
        <f t="shared" ca="1" si="6"/>
        <v>18</v>
      </c>
      <c r="G335" s="17" t="s">
        <v>71</v>
      </c>
      <c r="H335" s="41">
        <v>44327</v>
      </c>
      <c r="I335" s="19">
        <v>2</v>
      </c>
    </row>
    <row r="336" spans="1:9" x14ac:dyDescent="0.2">
      <c r="A336" s="11" t="s">
        <v>1420</v>
      </c>
      <c r="B336" s="14" t="s">
        <v>51</v>
      </c>
      <c r="C336" s="11" t="s">
        <v>62</v>
      </c>
      <c r="D336" s="11" t="s">
        <v>29</v>
      </c>
      <c r="E336" s="20">
        <v>37927</v>
      </c>
      <c r="F336" s="2">
        <f t="shared" ca="1" si="6"/>
        <v>15</v>
      </c>
      <c r="G336" s="17" t="s">
        <v>30</v>
      </c>
      <c r="H336" s="41">
        <v>97322</v>
      </c>
      <c r="I336" s="19">
        <v>5</v>
      </c>
    </row>
    <row r="337" spans="1:9" x14ac:dyDescent="0.2">
      <c r="A337" s="11" t="s">
        <v>421</v>
      </c>
      <c r="B337" s="14" t="s">
        <v>27</v>
      </c>
      <c r="C337" s="11" t="s">
        <v>214</v>
      </c>
      <c r="D337" s="11" t="s">
        <v>29</v>
      </c>
      <c r="E337" s="20">
        <v>36665</v>
      </c>
      <c r="F337" s="2">
        <f t="shared" ca="1" si="6"/>
        <v>19</v>
      </c>
      <c r="G337" s="17" t="s">
        <v>87</v>
      </c>
      <c r="H337" s="41">
        <v>85145</v>
      </c>
      <c r="I337" s="19">
        <v>1</v>
      </c>
    </row>
    <row r="338" spans="1:9" x14ac:dyDescent="0.2">
      <c r="A338" s="11" t="s">
        <v>1488</v>
      </c>
      <c r="B338" s="14" t="s">
        <v>27</v>
      </c>
      <c r="C338" s="11" t="s">
        <v>254</v>
      </c>
      <c r="D338" s="11" t="s">
        <v>29</v>
      </c>
      <c r="E338" s="20">
        <v>35712</v>
      </c>
      <c r="F338" s="2">
        <f t="shared" ca="1" si="6"/>
        <v>21</v>
      </c>
      <c r="G338" s="17" t="s">
        <v>87</v>
      </c>
      <c r="H338" s="41">
        <v>91814</v>
      </c>
      <c r="I338" s="19">
        <v>1</v>
      </c>
    </row>
    <row r="339" spans="1:9" x14ac:dyDescent="0.2">
      <c r="A339" s="11" t="s">
        <v>572</v>
      </c>
      <c r="B339" s="14" t="s">
        <v>43</v>
      </c>
      <c r="C339" s="11" t="s">
        <v>20</v>
      </c>
      <c r="D339" s="11" t="s">
        <v>21</v>
      </c>
      <c r="E339" s="20">
        <v>35765</v>
      </c>
      <c r="F339" s="2">
        <f t="shared" ca="1" si="6"/>
        <v>21</v>
      </c>
      <c r="G339" s="17"/>
      <c r="H339" s="41">
        <v>112077</v>
      </c>
      <c r="I339" s="19">
        <v>4</v>
      </c>
    </row>
    <row r="340" spans="1:9" x14ac:dyDescent="0.2">
      <c r="A340" s="11" t="s">
        <v>1242</v>
      </c>
      <c r="B340" s="14" t="s">
        <v>51</v>
      </c>
      <c r="C340" s="11" t="s">
        <v>254</v>
      </c>
      <c r="D340" s="11" t="s">
        <v>21</v>
      </c>
      <c r="E340" s="20">
        <v>36286</v>
      </c>
      <c r="F340" s="2">
        <f t="shared" ca="1" si="6"/>
        <v>20</v>
      </c>
      <c r="G340" s="17"/>
      <c r="H340" s="41">
        <v>90059</v>
      </c>
      <c r="I340" s="19">
        <v>2</v>
      </c>
    </row>
    <row r="341" spans="1:9" x14ac:dyDescent="0.2">
      <c r="A341" s="11" t="s">
        <v>775</v>
      </c>
      <c r="B341" s="14" t="s">
        <v>27</v>
      </c>
      <c r="C341" s="11" t="s">
        <v>145</v>
      </c>
      <c r="D341" s="11" t="s">
        <v>29</v>
      </c>
      <c r="E341" s="20">
        <v>36584</v>
      </c>
      <c r="F341" s="2">
        <f t="shared" ca="1" si="6"/>
        <v>19</v>
      </c>
      <c r="G341" s="17" t="s">
        <v>87</v>
      </c>
      <c r="H341" s="41">
        <v>111645</v>
      </c>
      <c r="I341" s="19">
        <v>3</v>
      </c>
    </row>
    <row r="342" spans="1:9" x14ac:dyDescent="0.2">
      <c r="A342" s="11" t="s">
        <v>962</v>
      </c>
      <c r="B342" s="14" t="s">
        <v>19</v>
      </c>
      <c r="C342" s="11" t="s">
        <v>20</v>
      </c>
      <c r="D342" s="11" t="s">
        <v>29</v>
      </c>
      <c r="E342" s="20">
        <v>36616</v>
      </c>
      <c r="F342" s="2">
        <f t="shared" ca="1" si="6"/>
        <v>19</v>
      </c>
      <c r="G342" s="17" t="s">
        <v>47</v>
      </c>
      <c r="H342" s="41">
        <v>43079</v>
      </c>
      <c r="I342" s="19">
        <v>5</v>
      </c>
    </row>
    <row r="343" spans="1:9" x14ac:dyDescent="0.2">
      <c r="A343" s="11" t="s">
        <v>892</v>
      </c>
      <c r="B343" s="14" t="s">
        <v>19</v>
      </c>
      <c r="C343" s="11" t="s">
        <v>214</v>
      </c>
      <c r="D343" s="11" t="s">
        <v>29</v>
      </c>
      <c r="E343" s="20">
        <v>38319</v>
      </c>
      <c r="F343" s="2">
        <f t="shared" ca="1" si="6"/>
        <v>14</v>
      </c>
      <c r="G343" s="17" t="s">
        <v>47</v>
      </c>
      <c r="H343" s="41">
        <v>102859</v>
      </c>
      <c r="I343" s="19">
        <v>4</v>
      </c>
    </row>
    <row r="344" spans="1:9" x14ac:dyDescent="0.2">
      <c r="A344" s="11" t="s">
        <v>246</v>
      </c>
      <c r="B344" s="14" t="s">
        <v>43</v>
      </c>
      <c r="C344" s="11" t="s">
        <v>152</v>
      </c>
      <c r="D344" s="11" t="s">
        <v>21</v>
      </c>
      <c r="E344" s="20">
        <v>35185</v>
      </c>
      <c r="F344" s="2">
        <f t="shared" ca="1" si="6"/>
        <v>23</v>
      </c>
      <c r="G344" s="17"/>
      <c r="H344" s="41">
        <v>46818</v>
      </c>
      <c r="I344" s="19">
        <v>5</v>
      </c>
    </row>
    <row r="345" spans="1:9" x14ac:dyDescent="0.2">
      <c r="A345" s="11" t="s">
        <v>1404</v>
      </c>
      <c r="B345" s="14" t="s">
        <v>51</v>
      </c>
      <c r="C345" s="11" t="s">
        <v>136</v>
      </c>
      <c r="D345" s="11" t="s">
        <v>21</v>
      </c>
      <c r="E345" s="20">
        <v>37483</v>
      </c>
      <c r="F345" s="2">
        <f t="shared" ca="1" si="6"/>
        <v>16</v>
      </c>
      <c r="G345" s="17"/>
      <c r="H345" s="41">
        <v>48911</v>
      </c>
      <c r="I345" s="19">
        <v>2</v>
      </c>
    </row>
    <row r="346" spans="1:9" x14ac:dyDescent="0.2">
      <c r="A346" s="11" t="s">
        <v>1458</v>
      </c>
      <c r="B346" s="14" t="s">
        <v>27</v>
      </c>
      <c r="C346" s="11" t="s">
        <v>136</v>
      </c>
      <c r="D346" s="11" t="s">
        <v>21</v>
      </c>
      <c r="E346" s="20">
        <v>36930</v>
      </c>
      <c r="F346" s="2">
        <f t="shared" ca="1" si="6"/>
        <v>18</v>
      </c>
      <c r="G346" s="17"/>
      <c r="H346" s="41">
        <v>98807</v>
      </c>
      <c r="I346" s="19">
        <v>1</v>
      </c>
    </row>
    <row r="347" spans="1:9" x14ac:dyDescent="0.2">
      <c r="A347" s="11" t="s">
        <v>315</v>
      </c>
      <c r="B347" s="14" t="s">
        <v>51</v>
      </c>
      <c r="C347" s="11" t="s">
        <v>152</v>
      </c>
      <c r="D347" s="11" t="s">
        <v>80</v>
      </c>
      <c r="E347" s="20">
        <v>38149</v>
      </c>
      <c r="F347" s="2">
        <f t="shared" ca="1" si="6"/>
        <v>14</v>
      </c>
      <c r="G347" s="17" t="s">
        <v>38</v>
      </c>
      <c r="H347" s="41">
        <v>26764</v>
      </c>
      <c r="I347" s="19">
        <v>2</v>
      </c>
    </row>
    <row r="348" spans="1:9" x14ac:dyDescent="0.2">
      <c r="A348" s="11" t="s">
        <v>1046</v>
      </c>
      <c r="B348" s="14" t="s">
        <v>27</v>
      </c>
      <c r="C348" s="11" t="s">
        <v>254</v>
      </c>
      <c r="D348" s="11" t="s">
        <v>29</v>
      </c>
      <c r="E348" s="20">
        <v>37163</v>
      </c>
      <c r="F348" s="2">
        <f t="shared" ca="1" si="6"/>
        <v>17</v>
      </c>
      <c r="G348" s="17" t="s">
        <v>71</v>
      </c>
      <c r="H348" s="41">
        <v>90761</v>
      </c>
      <c r="I348" s="19">
        <v>4</v>
      </c>
    </row>
    <row r="349" spans="1:9" x14ac:dyDescent="0.2">
      <c r="A349" s="11" t="s">
        <v>1743</v>
      </c>
      <c r="B349" s="14" t="s">
        <v>36</v>
      </c>
      <c r="C349" s="11" t="s">
        <v>86</v>
      </c>
      <c r="D349" s="11" t="s">
        <v>29</v>
      </c>
      <c r="E349" s="20">
        <v>38081</v>
      </c>
      <c r="F349" s="2">
        <f t="shared" ca="1" si="6"/>
        <v>15</v>
      </c>
      <c r="G349" s="17" t="s">
        <v>47</v>
      </c>
      <c r="H349" s="41">
        <v>62141</v>
      </c>
      <c r="I349" s="19">
        <v>2</v>
      </c>
    </row>
    <row r="350" spans="1:9" x14ac:dyDescent="0.2">
      <c r="A350" s="11" t="s">
        <v>1460</v>
      </c>
      <c r="B350" s="14" t="s">
        <v>27</v>
      </c>
      <c r="C350" s="11" t="s">
        <v>59</v>
      </c>
      <c r="D350" s="11" t="s">
        <v>29</v>
      </c>
      <c r="E350" s="20">
        <v>40537</v>
      </c>
      <c r="F350" s="2">
        <f t="shared" ca="1" si="6"/>
        <v>8</v>
      </c>
      <c r="G350" s="17" t="s">
        <v>47</v>
      </c>
      <c r="H350" s="41">
        <v>30254</v>
      </c>
      <c r="I350" s="19">
        <v>4</v>
      </c>
    </row>
    <row r="351" spans="1:9" x14ac:dyDescent="0.2">
      <c r="A351" s="11" t="s">
        <v>663</v>
      </c>
      <c r="B351" s="14" t="s">
        <v>27</v>
      </c>
      <c r="C351" s="11" t="s">
        <v>152</v>
      </c>
      <c r="D351" s="11" t="s">
        <v>29</v>
      </c>
      <c r="E351" s="20">
        <v>35465</v>
      </c>
      <c r="F351" s="2">
        <f t="shared" ca="1" si="6"/>
        <v>22</v>
      </c>
      <c r="G351" s="17" t="s">
        <v>87</v>
      </c>
      <c r="H351" s="41">
        <v>62843</v>
      </c>
      <c r="I351" s="19">
        <v>4</v>
      </c>
    </row>
    <row r="352" spans="1:9" x14ac:dyDescent="0.2">
      <c r="A352" s="11" t="s">
        <v>490</v>
      </c>
      <c r="B352" s="14" t="s">
        <v>27</v>
      </c>
      <c r="C352" s="11" t="s">
        <v>145</v>
      </c>
      <c r="D352" s="11" t="s">
        <v>29</v>
      </c>
      <c r="E352" s="20">
        <v>37192</v>
      </c>
      <c r="F352" s="2">
        <f t="shared" ca="1" si="6"/>
        <v>17</v>
      </c>
      <c r="G352" s="17" t="s">
        <v>30</v>
      </c>
      <c r="H352" s="41">
        <v>46346</v>
      </c>
      <c r="I352" s="19">
        <v>3</v>
      </c>
    </row>
    <row r="353" spans="1:9" x14ac:dyDescent="0.2">
      <c r="A353" s="11" t="s">
        <v>920</v>
      </c>
      <c r="B353" s="14" t="s">
        <v>51</v>
      </c>
      <c r="C353" s="11" t="s">
        <v>214</v>
      </c>
      <c r="D353" s="11" t="s">
        <v>29</v>
      </c>
      <c r="E353" s="20">
        <v>37095</v>
      </c>
      <c r="F353" s="2">
        <f t="shared" ca="1" si="6"/>
        <v>17</v>
      </c>
      <c r="G353" s="17" t="s">
        <v>38</v>
      </c>
      <c r="H353" s="41">
        <v>53352</v>
      </c>
      <c r="I353" s="19">
        <v>5</v>
      </c>
    </row>
    <row r="354" spans="1:9" x14ac:dyDescent="0.2">
      <c r="A354" s="11" t="s">
        <v>568</v>
      </c>
      <c r="B354" s="14" t="s">
        <v>19</v>
      </c>
      <c r="C354" s="11" t="s">
        <v>214</v>
      </c>
      <c r="D354" s="11" t="s">
        <v>21</v>
      </c>
      <c r="E354" s="20">
        <v>37133</v>
      </c>
      <c r="F354" s="2">
        <f t="shared" ca="1" si="6"/>
        <v>17</v>
      </c>
      <c r="G354" s="17"/>
      <c r="H354" s="41">
        <v>71469</v>
      </c>
      <c r="I354" s="19">
        <v>4</v>
      </c>
    </row>
    <row r="355" spans="1:9" x14ac:dyDescent="0.2">
      <c r="A355" s="11" t="s">
        <v>230</v>
      </c>
      <c r="B355" s="14" t="s">
        <v>43</v>
      </c>
      <c r="C355" s="11" t="s">
        <v>104</v>
      </c>
      <c r="D355" s="11" t="s">
        <v>29</v>
      </c>
      <c r="E355" s="20">
        <v>41890</v>
      </c>
      <c r="F355" s="2">
        <f t="shared" ca="1" si="6"/>
        <v>4</v>
      </c>
      <c r="G355" s="17" t="s">
        <v>87</v>
      </c>
      <c r="H355" s="41">
        <v>69093</v>
      </c>
      <c r="I355" s="19">
        <v>3</v>
      </c>
    </row>
    <row r="356" spans="1:9" x14ac:dyDescent="0.2">
      <c r="A356" s="11" t="s">
        <v>1232</v>
      </c>
      <c r="B356" s="14" t="s">
        <v>19</v>
      </c>
      <c r="C356" s="11" t="s">
        <v>214</v>
      </c>
      <c r="D356" s="11" t="s">
        <v>29</v>
      </c>
      <c r="E356" s="20">
        <v>36940</v>
      </c>
      <c r="F356" s="2">
        <f t="shared" ca="1" si="6"/>
        <v>18</v>
      </c>
      <c r="G356" s="17" t="s">
        <v>30</v>
      </c>
      <c r="H356" s="41">
        <v>116451</v>
      </c>
      <c r="I356" s="19">
        <v>3</v>
      </c>
    </row>
    <row r="357" spans="1:9" x14ac:dyDescent="0.2">
      <c r="A357" s="11" t="s">
        <v>1318</v>
      </c>
      <c r="B357" s="14" t="s">
        <v>83</v>
      </c>
      <c r="C357" s="11" t="s">
        <v>152</v>
      </c>
      <c r="D357" s="11" t="s">
        <v>21</v>
      </c>
      <c r="E357" s="20">
        <v>35197</v>
      </c>
      <c r="F357" s="2">
        <f t="shared" ca="1" si="6"/>
        <v>23</v>
      </c>
      <c r="G357" s="17"/>
      <c r="H357" s="41">
        <v>35127</v>
      </c>
      <c r="I357" s="19">
        <v>5</v>
      </c>
    </row>
    <row r="358" spans="1:9" x14ac:dyDescent="0.2">
      <c r="A358" s="11" t="s">
        <v>610</v>
      </c>
      <c r="B358" s="14" t="s">
        <v>19</v>
      </c>
      <c r="C358" s="11" t="s">
        <v>136</v>
      </c>
      <c r="D358" s="11" t="s">
        <v>29</v>
      </c>
      <c r="E358" s="20">
        <v>38177</v>
      </c>
      <c r="F358" s="2">
        <f t="shared" ca="1" si="6"/>
        <v>14</v>
      </c>
      <c r="G358" s="17" t="s">
        <v>30</v>
      </c>
      <c r="H358" s="41">
        <v>88979</v>
      </c>
      <c r="I358" s="19">
        <v>5</v>
      </c>
    </row>
    <row r="359" spans="1:9" x14ac:dyDescent="0.2">
      <c r="A359" s="11" t="s">
        <v>1522</v>
      </c>
      <c r="B359" s="14" t="s">
        <v>36</v>
      </c>
      <c r="C359" s="11" t="s">
        <v>214</v>
      </c>
      <c r="D359" s="11" t="s">
        <v>21</v>
      </c>
      <c r="E359" s="20">
        <v>39683</v>
      </c>
      <c r="F359" s="2">
        <f t="shared" ca="1" si="6"/>
        <v>10</v>
      </c>
      <c r="G359" s="17"/>
      <c r="H359" s="41">
        <v>86697</v>
      </c>
      <c r="I359" s="19">
        <v>5</v>
      </c>
    </row>
    <row r="360" spans="1:9" x14ac:dyDescent="0.2">
      <c r="A360" s="11" t="s">
        <v>1480</v>
      </c>
      <c r="B360" s="14" t="s">
        <v>19</v>
      </c>
      <c r="C360" s="11" t="s">
        <v>136</v>
      </c>
      <c r="D360" s="11" t="s">
        <v>56</v>
      </c>
      <c r="E360" s="20">
        <v>38164</v>
      </c>
      <c r="F360" s="2">
        <f t="shared" ca="1" si="6"/>
        <v>14</v>
      </c>
      <c r="G360" s="17"/>
      <c r="H360" s="41">
        <v>48670</v>
      </c>
      <c r="I360" s="19">
        <v>5</v>
      </c>
    </row>
    <row r="361" spans="1:9" x14ac:dyDescent="0.2">
      <c r="A361" s="11" t="s">
        <v>411</v>
      </c>
      <c r="B361" s="14" t="s">
        <v>43</v>
      </c>
      <c r="C361" s="11" t="s">
        <v>214</v>
      </c>
      <c r="D361" s="11" t="s">
        <v>29</v>
      </c>
      <c r="E361" s="20">
        <v>40593</v>
      </c>
      <c r="F361" s="2">
        <f t="shared" ca="1" si="6"/>
        <v>8</v>
      </c>
      <c r="G361" s="17" t="s">
        <v>87</v>
      </c>
      <c r="H361" s="41">
        <v>103388</v>
      </c>
      <c r="I361" s="19">
        <v>1</v>
      </c>
    </row>
    <row r="362" spans="1:9" x14ac:dyDescent="0.2">
      <c r="A362" s="11" t="s">
        <v>1038</v>
      </c>
      <c r="B362" s="14" t="s">
        <v>19</v>
      </c>
      <c r="C362" s="11" t="s">
        <v>136</v>
      </c>
      <c r="D362" s="11" t="s">
        <v>29</v>
      </c>
      <c r="E362" s="20">
        <v>37979</v>
      </c>
      <c r="F362" s="2">
        <f t="shared" ca="1" si="6"/>
        <v>15</v>
      </c>
      <c r="G362" s="17" t="s">
        <v>38</v>
      </c>
      <c r="H362" s="41">
        <v>62586</v>
      </c>
      <c r="I362" s="19">
        <v>5</v>
      </c>
    </row>
    <row r="363" spans="1:9" x14ac:dyDescent="0.2">
      <c r="A363" s="11" t="s">
        <v>1262</v>
      </c>
      <c r="B363" s="14" t="s">
        <v>83</v>
      </c>
      <c r="C363" s="11" t="s">
        <v>152</v>
      </c>
      <c r="D363" s="11" t="s">
        <v>21</v>
      </c>
      <c r="E363" s="20">
        <v>35919</v>
      </c>
      <c r="F363" s="2">
        <f t="shared" ca="1" si="6"/>
        <v>21</v>
      </c>
      <c r="G363" s="17"/>
      <c r="H363" s="41">
        <v>106097</v>
      </c>
      <c r="I363" s="19">
        <v>1</v>
      </c>
    </row>
    <row r="364" spans="1:9" x14ac:dyDescent="0.2">
      <c r="A364" s="11" t="s">
        <v>1408</v>
      </c>
      <c r="B364" s="14" t="s">
        <v>19</v>
      </c>
      <c r="C364" s="11" t="s">
        <v>136</v>
      </c>
      <c r="D364" s="11" t="s">
        <v>29</v>
      </c>
      <c r="E364" s="20">
        <v>41921</v>
      </c>
      <c r="F364" s="2">
        <f t="shared" ca="1" si="6"/>
        <v>4</v>
      </c>
      <c r="G364" s="17" t="s">
        <v>47</v>
      </c>
      <c r="H364" s="41">
        <v>73157</v>
      </c>
      <c r="I364" s="19">
        <v>4</v>
      </c>
    </row>
    <row r="365" spans="1:9" x14ac:dyDescent="0.2">
      <c r="A365" s="11" t="s">
        <v>1148</v>
      </c>
      <c r="B365" s="14" t="s">
        <v>27</v>
      </c>
      <c r="C365" s="11" t="s">
        <v>249</v>
      </c>
      <c r="D365" s="11" t="s">
        <v>29</v>
      </c>
      <c r="E365" s="20">
        <v>36905</v>
      </c>
      <c r="F365" s="2">
        <f t="shared" ca="1" si="6"/>
        <v>18</v>
      </c>
      <c r="G365" s="17" t="s">
        <v>30</v>
      </c>
      <c r="H365" s="41">
        <v>30861</v>
      </c>
      <c r="I365" s="19">
        <v>5</v>
      </c>
    </row>
    <row r="366" spans="1:9" x14ac:dyDescent="0.2">
      <c r="A366" s="11" t="s">
        <v>396</v>
      </c>
      <c r="B366" s="14" t="s">
        <v>36</v>
      </c>
      <c r="C366" s="11" t="s">
        <v>152</v>
      </c>
      <c r="D366" s="11" t="s">
        <v>21</v>
      </c>
      <c r="E366" s="20">
        <v>39237</v>
      </c>
      <c r="F366" s="2">
        <f t="shared" ca="1" si="6"/>
        <v>12</v>
      </c>
      <c r="G366" s="17"/>
      <c r="H366" s="41">
        <v>66272</v>
      </c>
      <c r="I366" s="19">
        <v>4</v>
      </c>
    </row>
    <row r="367" spans="1:9" x14ac:dyDescent="0.2">
      <c r="A367" s="11" t="s">
        <v>258</v>
      </c>
      <c r="B367" s="14" t="s">
        <v>19</v>
      </c>
      <c r="C367" s="11" t="s">
        <v>145</v>
      </c>
      <c r="D367" s="11" t="s">
        <v>29</v>
      </c>
      <c r="E367" s="20">
        <v>36069</v>
      </c>
      <c r="F367" s="2">
        <f t="shared" ca="1" si="6"/>
        <v>20</v>
      </c>
      <c r="G367" s="17" t="s">
        <v>38</v>
      </c>
      <c r="H367" s="41">
        <v>65462</v>
      </c>
      <c r="I367" s="19">
        <v>2</v>
      </c>
    </row>
    <row r="368" spans="1:9" x14ac:dyDescent="0.2">
      <c r="A368" s="11" t="s">
        <v>1440</v>
      </c>
      <c r="B368" s="14" t="s">
        <v>19</v>
      </c>
      <c r="C368" s="11" t="s">
        <v>136</v>
      </c>
      <c r="D368" s="11" t="s">
        <v>21</v>
      </c>
      <c r="E368" s="20">
        <v>35018</v>
      </c>
      <c r="F368" s="2">
        <f t="shared" ca="1" si="6"/>
        <v>23</v>
      </c>
      <c r="G368" s="17"/>
      <c r="H368" s="41">
        <v>79178</v>
      </c>
      <c r="I368" s="19">
        <v>4</v>
      </c>
    </row>
    <row r="369" spans="1:9" x14ac:dyDescent="0.2">
      <c r="A369" s="11" t="s">
        <v>1524</v>
      </c>
      <c r="B369" s="14" t="s">
        <v>43</v>
      </c>
      <c r="C369" s="11" t="s">
        <v>59</v>
      </c>
      <c r="D369" s="11" t="s">
        <v>80</v>
      </c>
      <c r="E369" s="20">
        <v>35493</v>
      </c>
      <c r="F369" s="2">
        <f t="shared" ca="1" si="6"/>
        <v>22</v>
      </c>
      <c r="G369" s="17" t="s">
        <v>47</v>
      </c>
      <c r="H369" s="41">
        <v>46049</v>
      </c>
      <c r="I369" s="19">
        <v>4</v>
      </c>
    </row>
    <row r="370" spans="1:9" x14ac:dyDescent="0.2">
      <c r="A370" s="11" t="s">
        <v>1470</v>
      </c>
      <c r="B370" s="14" t="s">
        <v>83</v>
      </c>
      <c r="C370" s="11" t="s">
        <v>145</v>
      </c>
      <c r="D370" s="11" t="s">
        <v>29</v>
      </c>
      <c r="E370" s="20">
        <v>39577</v>
      </c>
      <c r="F370" s="2">
        <f t="shared" ca="1" si="6"/>
        <v>11</v>
      </c>
      <c r="G370" s="17" t="s">
        <v>47</v>
      </c>
      <c r="H370" s="41">
        <v>39434</v>
      </c>
      <c r="I370" s="19">
        <v>5</v>
      </c>
    </row>
    <row r="371" spans="1:9" x14ac:dyDescent="0.2">
      <c r="A371" s="11" t="s">
        <v>1238</v>
      </c>
      <c r="B371" s="14" t="s">
        <v>19</v>
      </c>
      <c r="C371" s="11" t="s">
        <v>136</v>
      </c>
      <c r="D371" s="11" t="s">
        <v>29</v>
      </c>
      <c r="E371" s="20">
        <v>35145</v>
      </c>
      <c r="F371" s="2">
        <f t="shared" ca="1" si="6"/>
        <v>23</v>
      </c>
      <c r="G371" s="17" t="s">
        <v>47</v>
      </c>
      <c r="H371" s="41">
        <v>32522</v>
      </c>
      <c r="I371" s="19">
        <v>4</v>
      </c>
    </row>
    <row r="372" spans="1:9" x14ac:dyDescent="0.2">
      <c r="A372" s="11" t="s">
        <v>787</v>
      </c>
      <c r="B372" s="14" t="s">
        <v>27</v>
      </c>
      <c r="C372" s="11" t="s">
        <v>104</v>
      </c>
      <c r="D372" s="11" t="s">
        <v>29</v>
      </c>
      <c r="E372" s="20">
        <v>37998</v>
      </c>
      <c r="F372" s="2">
        <f t="shared" ca="1" si="6"/>
        <v>15</v>
      </c>
      <c r="G372" s="17" t="s">
        <v>71</v>
      </c>
      <c r="H372" s="41">
        <v>64598</v>
      </c>
      <c r="I372" s="19">
        <v>1</v>
      </c>
    </row>
    <row r="373" spans="1:9" x14ac:dyDescent="0.2">
      <c r="A373" s="11" t="s">
        <v>85</v>
      </c>
      <c r="B373" s="14" t="s">
        <v>83</v>
      </c>
      <c r="C373" s="11" t="s">
        <v>59</v>
      </c>
      <c r="D373" s="11" t="s">
        <v>56</v>
      </c>
      <c r="E373" s="20">
        <v>38047</v>
      </c>
      <c r="F373" s="2">
        <f t="shared" ca="1" si="6"/>
        <v>15</v>
      </c>
      <c r="G373" s="17"/>
      <c r="H373" s="41">
        <v>52337</v>
      </c>
      <c r="I373" s="19">
        <v>4</v>
      </c>
    </row>
    <row r="374" spans="1:9" x14ac:dyDescent="0.2">
      <c r="A374" s="11" t="s">
        <v>344</v>
      </c>
      <c r="B374" s="14" t="s">
        <v>27</v>
      </c>
      <c r="C374" s="11" t="s">
        <v>59</v>
      </c>
      <c r="D374" s="11" t="s">
        <v>21</v>
      </c>
      <c r="E374" s="20">
        <v>35208</v>
      </c>
      <c r="F374" s="2">
        <f t="shared" ca="1" si="6"/>
        <v>23</v>
      </c>
      <c r="G374" s="17"/>
      <c r="H374" s="41">
        <v>30132</v>
      </c>
      <c r="I374" s="19">
        <v>2</v>
      </c>
    </row>
    <row r="375" spans="1:9" x14ac:dyDescent="0.2">
      <c r="A375" s="11" t="s">
        <v>196</v>
      </c>
      <c r="B375" s="14" t="s">
        <v>27</v>
      </c>
      <c r="C375" s="11" t="s">
        <v>101</v>
      </c>
      <c r="D375" s="11" t="s">
        <v>56</v>
      </c>
      <c r="E375" s="20">
        <v>34942</v>
      </c>
      <c r="F375" s="2">
        <f t="shared" ca="1" si="6"/>
        <v>23</v>
      </c>
      <c r="G375" s="17"/>
      <c r="H375" s="41">
        <v>44863</v>
      </c>
      <c r="I375" s="19">
        <v>4</v>
      </c>
    </row>
    <row r="376" spans="1:9" x14ac:dyDescent="0.2">
      <c r="A376" s="11" t="s">
        <v>1526</v>
      </c>
      <c r="B376" s="14" t="s">
        <v>27</v>
      </c>
      <c r="C376" s="11" t="s">
        <v>254</v>
      </c>
      <c r="D376" s="11" t="s">
        <v>29</v>
      </c>
      <c r="E376" s="20">
        <v>36521</v>
      </c>
      <c r="F376" s="2">
        <f t="shared" ca="1" si="6"/>
        <v>19</v>
      </c>
      <c r="G376" s="17" t="s">
        <v>47</v>
      </c>
      <c r="H376" s="41">
        <v>119948</v>
      </c>
      <c r="I376" s="19">
        <v>3</v>
      </c>
    </row>
    <row r="377" spans="1:9" x14ac:dyDescent="0.2">
      <c r="A377" s="11" t="s">
        <v>853</v>
      </c>
      <c r="B377" s="14" t="s">
        <v>19</v>
      </c>
      <c r="C377" s="11" t="s">
        <v>214</v>
      </c>
      <c r="D377" s="11" t="s">
        <v>29</v>
      </c>
      <c r="E377" s="20">
        <v>37793</v>
      </c>
      <c r="F377" s="2">
        <f t="shared" ca="1" si="6"/>
        <v>15</v>
      </c>
      <c r="G377" s="17" t="s">
        <v>47</v>
      </c>
      <c r="H377" s="41">
        <v>101412</v>
      </c>
      <c r="I377" s="19">
        <v>5</v>
      </c>
    </row>
    <row r="378" spans="1:9" x14ac:dyDescent="0.2">
      <c r="A378" s="11" t="s">
        <v>1550</v>
      </c>
      <c r="B378" s="14" t="s">
        <v>19</v>
      </c>
      <c r="C378" s="11" t="s">
        <v>52</v>
      </c>
      <c r="D378" s="11" t="s">
        <v>80</v>
      </c>
      <c r="E378" s="20">
        <v>38141</v>
      </c>
      <c r="F378" s="2">
        <f t="shared" ca="1" si="6"/>
        <v>15</v>
      </c>
      <c r="G378" s="17" t="s">
        <v>71</v>
      </c>
      <c r="H378" s="41">
        <v>57922</v>
      </c>
      <c r="I378" s="19">
        <v>1</v>
      </c>
    </row>
    <row r="379" spans="1:9" x14ac:dyDescent="0.2">
      <c r="A379" s="11" t="s">
        <v>711</v>
      </c>
      <c r="B379" s="14" t="s">
        <v>36</v>
      </c>
      <c r="C379" s="11" t="s">
        <v>152</v>
      </c>
      <c r="D379" s="11" t="s">
        <v>56</v>
      </c>
      <c r="E379" s="20">
        <v>38242</v>
      </c>
      <c r="F379" s="2">
        <f t="shared" ca="1" si="6"/>
        <v>14</v>
      </c>
      <c r="G379" s="17"/>
      <c r="H379" s="41">
        <v>43924</v>
      </c>
      <c r="I379" s="19">
        <v>2</v>
      </c>
    </row>
    <row r="380" spans="1:9" x14ac:dyDescent="0.2">
      <c r="A380" s="11" t="s">
        <v>655</v>
      </c>
      <c r="B380" s="14" t="s">
        <v>27</v>
      </c>
      <c r="C380" s="11" t="s">
        <v>214</v>
      </c>
      <c r="D380" s="11" t="s">
        <v>29</v>
      </c>
      <c r="E380" s="20">
        <v>36755</v>
      </c>
      <c r="F380" s="2">
        <f t="shared" ca="1" si="6"/>
        <v>18</v>
      </c>
      <c r="G380" s="17" t="s">
        <v>30</v>
      </c>
      <c r="H380" s="41">
        <v>90518</v>
      </c>
      <c r="I380" s="19">
        <v>4</v>
      </c>
    </row>
    <row r="381" spans="1:9" x14ac:dyDescent="0.2">
      <c r="A381" s="11" t="s">
        <v>110</v>
      </c>
      <c r="B381" s="14" t="s">
        <v>43</v>
      </c>
      <c r="C381" s="11" t="s">
        <v>214</v>
      </c>
      <c r="D381" s="11" t="s">
        <v>29</v>
      </c>
      <c r="E381" s="20">
        <v>42362</v>
      </c>
      <c r="F381" s="2">
        <f t="shared" ca="1" si="6"/>
        <v>3</v>
      </c>
      <c r="G381" s="17" t="s">
        <v>47</v>
      </c>
      <c r="H381" s="41">
        <v>59157</v>
      </c>
      <c r="I381" s="19">
        <v>2</v>
      </c>
    </row>
    <row r="382" spans="1:9" x14ac:dyDescent="0.2">
      <c r="A382" s="11" t="s">
        <v>823</v>
      </c>
      <c r="B382" s="14" t="s">
        <v>19</v>
      </c>
      <c r="C382" s="11" t="s">
        <v>62</v>
      </c>
      <c r="D382" s="11" t="s">
        <v>80</v>
      </c>
      <c r="E382" s="20">
        <v>35258</v>
      </c>
      <c r="F382" s="2">
        <f t="shared" ca="1" si="6"/>
        <v>22</v>
      </c>
      <c r="G382" s="17" t="s">
        <v>87</v>
      </c>
      <c r="H382" s="41">
        <v>41101</v>
      </c>
      <c r="I382" s="19">
        <v>1</v>
      </c>
    </row>
    <row r="383" spans="1:9" x14ac:dyDescent="0.2">
      <c r="A383" s="11" t="s">
        <v>1412</v>
      </c>
      <c r="B383" s="14" t="s">
        <v>83</v>
      </c>
      <c r="C383" s="11" t="s">
        <v>214</v>
      </c>
      <c r="D383" s="11" t="s">
        <v>29</v>
      </c>
      <c r="E383" s="20">
        <v>41132</v>
      </c>
      <c r="F383" s="2">
        <f t="shared" ca="1" si="6"/>
        <v>6</v>
      </c>
      <c r="G383" s="17" t="s">
        <v>47</v>
      </c>
      <c r="H383" s="41">
        <v>62397</v>
      </c>
      <c r="I383" s="19">
        <v>2</v>
      </c>
    </row>
    <row r="384" spans="1:9" x14ac:dyDescent="0.2">
      <c r="A384" s="11" t="s">
        <v>1006</v>
      </c>
      <c r="B384" s="14" t="s">
        <v>27</v>
      </c>
      <c r="C384" s="11" t="s">
        <v>152</v>
      </c>
      <c r="D384" s="11" t="s">
        <v>21</v>
      </c>
      <c r="E384" s="20">
        <v>42019</v>
      </c>
      <c r="F384" s="2">
        <f t="shared" ca="1" si="6"/>
        <v>4</v>
      </c>
      <c r="G384" s="17"/>
      <c r="H384" s="41">
        <v>108984</v>
      </c>
      <c r="I384" s="19">
        <v>3</v>
      </c>
    </row>
    <row r="385" spans="1:9" x14ac:dyDescent="0.2">
      <c r="A385" s="11" t="s">
        <v>1376</v>
      </c>
      <c r="B385" s="14" t="s">
        <v>27</v>
      </c>
      <c r="C385" s="11" t="s">
        <v>214</v>
      </c>
      <c r="D385" s="11" t="s">
        <v>21</v>
      </c>
      <c r="E385" s="20">
        <v>36969</v>
      </c>
      <c r="F385" s="2">
        <f t="shared" ca="1" si="6"/>
        <v>18</v>
      </c>
      <c r="G385" s="17"/>
      <c r="H385" s="41">
        <v>32954</v>
      </c>
      <c r="I385" s="19">
        <v>3</v>
      </c>
    </row>
    <row r="386" spans="1:9" x14ac:dyDescent="0.2">
      <c r="A386" s="11" t="s">
        <v>1316</v>
      </c>
      <c r="B386" s="14" t="s">
        <v>19</v>
      </c>
      <c r="C386" s="11" t="s">
        <v>152</v>
      </c>
      <c r="D386" s="11" t="s">
        <v>29</v>
      </c>
      <c r="E386" s="20">
        <v>36209</v>
      </c>
      <c r="F386" s="2">
        <f t="shared" ca="1" si="6"/>
        <v>20</v>
      </c>
      <c r="G386" s="17" t="s">
        <v>30</v>
      </c>
      <c r="H386" s="41">
        <v>99698</v>
      </c>
      <c r="I386" s="19">
        <v>2</v>
      </c>
    </row>
    <row r="387" spans="1:9" x14ac:dyDescent="0.2">
      <c r="A387" s="11" t="s">
        <v>202</v>
      </c>
      <c r="B387" s="14" t="s">
        <v>27</v>
      </c>
      <c r="C387" s="11" t="s">
        <v>104</v>
      </c>
      <c r="D387" s="11" t="s">
        <v>29</v>
      </c>
      <c r="E387" s="20">
        <v>36085</v>
      </c>
      <c r="F387" s="2">
        <f t="shared" ref="F387:F450" ca="1" si="7">DATEDIF(E387,TODAY(),"Y")</f>
        <v>20</v>
      </c>
      <c r="G387" s="17" t="s">
        <v>47</v>
      </c>
      <c r="H387" s="41">
        <v>99144</v>
      </c>
      <c r="I387" s="19">
        <v>1</v>
      </c>
    </row>
    <row r="388" spans="1:9" x14ac:dyDescent="0.2">
      <c r="A388" s="11" t="s">
        <v>558</v>
      </c>
      <c r="B388" s="14" t="s">
        <v>27</v>
      </c>
      <c r="C388" s="11" t="s">
        <v>152</v>
      </c>
      <c r="D388" s="11" t="s">
        <v>80</v>
      </c>
      <c r="E388" s="20">
        <v>38246</v>
      </c>
      <c r="F388" s="2">
        <f t="shared" ca="1" si="7"/>
        <v>14</v>
      </c>
      <c r="G388" s="17" t="s">
        <v>30</v>
      </c>
      <c r="H388" s="41">
        <v>35350</v>
      </c>
      <c r="I388" s="19">
        <v>5</v>
      </c>
    </row>
    <row r="389" spans="1:9" x14ac:dyDescent="0.2">
      <c r="A389" s="11" t="s">
        <v>1090</v>
      </c>
      <c r="B389" s="14" t="s">
        <v>27</v>
      </c>
      <c r="C389" s="11" t="s">
        <v>136</v>
      </c>
      <c r="D389" s="11" t="s">
        <v>21</v>
      </c>
      <c r="E389" s="20">
        <v>37085</v>
      </c>
      <c r="F389" s="2">
        <f t="shared" ca="1" si="7"/>
        <v>17</v>
      </c>
      <c r="G389" s="17"/>
      <c r="H389" s="41">
        <v>81095</v>
      </c>
      <c r="I389" s="19">
        <v>2</v>
      </c>
    </row>
    <row r="390" spans="1:9" x14ac:dyDescent="0.2">
      <c r="A390" s="11" t="s">
        <v>1410</v>
      </c>
      <c r="B390" s="14" t="s">
        <v>19</v>
      </c>
      <c r="C390" s="11" t="s">
        <v>20</v>
      </c>
      <c r="D390" s="11" t="s">
        <v>29</v>
      </c>
      <c r="E390" s="20">
        <v>42058</v>
      </c>
      <c r="F390" s="2">
        <f t="shared" ca="1" si="7"/>
        <v>4</v>
      </c>
      <c r="G390" s="17" t="s">
        <v>87</v>
      </c>
      <c r="H390" s="41">
        <v>52286</v>
      </c>
      <c r="I390" s="19">
        <v>1</v>
      </c>
    </row>
    <row r="391" spans="1:9" x14ac:dyDescent="0.2">
      <c r="A391" s="11" t="s">
        <v>560</v>
      </c>
      <c r="B391" s="14" t="s">
        <v>27</v>
      </c>
      <c r="C391" s="11" t="s">
        <v>62</v>
      </c>
      <c r="D391" s="11" t="s">
        <v>29</v>
      </c>
      <c r="E391" s="20">
        <v>37248</v>
      </c>
      <c r="F391" s="2">
        <f t="shared" ca="1" si="7"/>
        <v>17</v>
      </c>
      <c r="G391" s="17" t="s">
        <v>47</v>
      </c>
      <c r="H391" s="41">
        <v>82121</v>
      </c>
      <c r="I391" s="19">
        <v>1</v>
      </c>
    </row>
    <row r="392" spans="1:9" x14ac:dyDescent="0.2">
      <c r="A392" s="11" t="s">
        <v>1268</v>
      </c>
      <c r="B392" s="14" t="s">
        <v>19</v>
      </c>
      <c r="C392" s="11" t="s">
        <v>86</v>
      </c>
      <c r="D392" s="11" t="s">
        <v>29</v>
      </c>
      <c r="E392" s="20">
        <v>42231</v>
      </c>
      <c r="F392" s="2">
        <f t="shared" ca="1" si="7"/>
        <v>3</v>
      </c>
      <c r="G392" s="17" t="s">
        <v>47</v>
      </c>
      <c r="H392" s="41">
        <v>45860</v>
      </c>
      <c r="I392" s="19">
        <v>4</v>
      </c>
    </row>
    <row r="393" spans="1:9" x14ac:dyDescent="0.2">
      <c r="A393" s="11" t="s">
        <v>1364</v>
      </c>
      <c r="B393" s="14" t="s">
        <v>27</v>
      </c>
      <c r="C393" s="11" t="s">
        <v>145</v>
      </c>
      <c r="D393" s="11" t="s">
        <v>29</v>
      </c>
      <c r="E393" s="20">
        <v>38191</v>
      </c>
      <c r="F393" s="2">
        <f t="shared" ca="1" si="7"/>
        <v>14</v>
      </c>
      <c r="G393" s="17" t="s">
        <v>87</v>
      </c>
      <c r="H393" s="41">
        <v>61938</v>
      </c>
      <c r="I393" s="19">
        <v>5</v>
      </c>
    </row>
    <row r="394" spans="1:9" x14ac:dyDescent="0.2">
      <c r="A394" s="11" t="s">
        <v>1258</v>
      </c>
      <c r="B394" s="14" t="s">
        <v>19</v>
      </c>
      <c r="C394" s="11" t="s">
        <v>152</v>
      </c>
      <c r="D394" s="11" t="s">
        <v>80</v>
      </c>
      <c r="E394" s="20">
        <v>35826</v>
      </c>
      <c r="F394" s="2">
        <f t="shared" ca="1" si="7"/>
        <v>21</v>
      </c>
      <c r="G394" s="17" t="s">
        <v>38</v>
      </c>
      <c r="H394" s="41">
        <v>37409</v>
      </c>
      <c r="I394" s="19">
        <v>3</v>
      </c>
    </row>
    <row r="395" spans="1:9" x14ac:dyDescent="0.2">
      <c r="A395" s="11" t="s">
        <v>1074</v>
      </c>
      <c r="B395" s="14" t="s">
        <v>83</v>
      </c>
      <c r="C395" s="11" t="s">
        <v>28</v>
      </c>
      <c r="D395" s="11" t="s">
        <v>29</v>
      </c>
      <c r="E395" s="20">
        <v>37966</v>
      </c>
      <c r="F395" s="2">
        <f t="shared" ca="1" si="7"/>
        <v>15</v>
      </c>
      <c r="G395" s="17" t="s">
        <v>30</v>
      </c>
      <c r="H395" s="41">
        <v>92205</v>
      </c>
      <c r="I395" s="19">
        <v>5</v>
      </c>
    </row>
    <row r="396" spans="1:9" x14ac:dyDescent="0.2">
      <c r="A396" s="11" t="s">
        <v>1134</v>
      </c>
      <c r="B396" s="14" t="s">
        <v>83</v>
      </c>
      <c r="C396" s="11" t="s">
        <v>214</v>
      </c>
      <c r="D396" s="11" t="s">
        <v>29</v>
      </c>
      <c r="E396" s="20">
        <v>40161</v>
      </c>
      <c r="F396" s="2">
        <f t="shared" ca="1" si="7"/>
        <v>9</v>
      </c>
      <c r="G396" s="17" t="s">
        <v>47</v>
      </c>
      <c r="H396" s="41">
        <v>55431</v>
      </c>
      <c r="I396" s="19">
        <v>3</v>
      </c>
    </row>
    <row r="397" spans="1:9" x14ac:dyDescent="0.2">
      <c r="A397" s="11" t="s">
        <v>1166</v>
      </c>
      <c r="B397" s="14" t="s">
        <v>51</v>
      </c>
      <c r="C397" s="11" t="s">
        <v>254</v>
      </c>
      <c r="D397" s="11" t="s">
        <v>80</v>
      </c>
      <c r="E397" s="20">
        <v>41083</v>
      </c>
      <c r="F397" s="2">
        <f t="shared" ca="1" si="7"/>
        <v>6</v>
      </c>
      <c r="G397" s="17" t="s">
        <v>71</v>
      </c>
      <c r="H397" s="41">
        <v>64476</v>
      </c>
      <c r="I397" s="19">
        <v>3</v>
      </c>
    </row>
    <row r="398" spans="1:9" x14ac:dyDescent="0.2">
      <c r="A398" s="11" t="s">
        <v>1050</v>
      </c>
      <c r="B398" s="14" t="s">
        <v>43</v>
      </c>
      <c r="C398" s="11" t="s">
        <v>136</v>
      </c>
      <c r="D398" s="11" t="s">
        <v>29</v>
      </c>
      <c r="E398" s="20">
        <v>37070</v>
      </c>
      <c r="F398" s="2">
        <f t="shared" ca="1" si="7"/>
        <v>17</v>
      </c>
      <c r="G398" s="17" t="s">
        <v>87</v>
      </c>
      <c r="H398" s="41">
        <v>98145</v>
      </c>
      <c r="I398" s="19">
        <v>5</v>
      </c>
    </row>
    <row r="399" spans="1:9" x14ac:dyDescent="0.2">
      <c r="A399" s="11" t="s">
        <v>1118</v>
      </c>
      <c r="B399" s="14" t="s">
        <v>27</v>
      </c>
      <c r="C399" s="11" t="s">
        <v>20</v>
      </c>
      <c r="D399" s="11" t="s">
        <v>29</v>
      </c>
      <c r="E399" s="20">
        <v>42380</v>
      </c>
      <c r="F399" s="2">
        <f t="shared" ca="1" si="7"/>
        <v>3</v>
      </c>
      <c r="G399" s="17" t="s">
        <v>38</v>
      </c>
      <c r="H399" s="41">
        <v>93029</v>
      </c>
      <c r="I399" s="19">
        <v>5</v>
      </c>
    </row>
    <row r="400" spans="1:9" x14ac:dyDescent="0.2">
      <c r="A400" s="11" t="s">
        <v>574</v>
      </c>
      <c r="B400" s="14" t="s">
        <v>43</v>
      </c>
      <c r="C400" s="11" t="s">
        <v>20</v>
      </c>
      <c r="D400" s="11" t="s">
        <v>21</v>
      </c>
      <c r="E400" s="20">
        <v>36944</v>
      </c>
      <c r="F400" s="2">
        <f t="shared" ca="1" si="7"/>
        <v>18</v>
      </c>
      <c r="G400" s="17"/>
      <c r="H400" s="41">
        <v>68243</v>
      </c>
      <c r="I400" s="19">
        <v>2</v>
      </c>
    </row>
    <row r="401" spans="1:9" x14ac:dyDescent="0.2">
      <c r="A401" s="11" t="s">
        <v>1208</v>
      </c>
      <c r="B401" s="14" t="s">
        <v>27</v>
      </c>
      <c r="C401" s="11" t="s">
        <v>249</v>
      </c>
      <c r="D401" s="11" t="s">
        <v>29</v>
      </c>
      <c r="E401" s="20">
        <v>35525</v>
      </c>
      <c r="F401" s="2">
        <f t="shared" ca="1" si="7"/>
        <v>22</v>
      </c>
      <c r="G401" s="17" t="s">
        <v>47</v>
      </c>
      <c r="H401" s="41">
        <v>65543</v>
      </c>
      <c r="I401" s="19">
        <v>5</v>
      </c>
    </row>
    <row r="402" spans="1:9" x14ac:dyDescent="0.2">
      <c r="A402" s="11" t="s">
        <v>618</v>
      </c>
      <c r="B402" s="14" t="s">
        <v>27</v>
      </c>
      <c r="C402" s="11" t="s">
        <v>265</v>
      </c>
      <c r="D402" s="11" t="s">
        <v>21</v>
      </c>
      <c r="E402" s="20">
        <v>40539</v>
      </c>
      <c r="F402" s="2">
        <f t="shared" ca="1" si="7"/>
        <v>8</v>
      </c>
      <c r="G402" s="17"/>
      <c r="H402" s="41">
        <v>106461</v>
      </c>
      <c r="I402" s="19">
        <v>2</v>
      </c>
    </row>
    <row r="403" spans="1:9" x14ac:dyDescent="0.2">
      <c r="A403" s="11" t="s">
        <v>878</v>
      </c>
      <c r="B403" s="14" t="s">
        <v>19</v>
      </c>
      <c r="C403" s="11" t="s">
        <v>101</v>
      </c>
      <c r="D403" s="11" t="s">
        <v>29</v>
      </c>
      <c r="E403" s="20">
        <v>35224</v>
      </c>
      <c r="F403" s="2">
        <f t="shared" ca="1" si="7"/>
        <v>22</v>
      </c>
      <c r="G403" s="17" t="s">
        <v>47</v>
      </c>
      <c r="H403" s="41">
        <v>93690</v>
      </c>
      <c r="I403" s="19">
        <v>5</v>
      </c>
    </row>
    <row r="404" spans="1:9" x14ac:dyDescent="0.2">
      <c r="A404" s="11" t="s">
        <v>135</v>
      </c>
      <c r="B404" s="14" t="s">
        <v>27</v>
      </c>
      <c r="C404" s="11" t="s">
        <v>127</v>
      </c>
      <c r="D404" s="11" t="s">
        <v>29</v>
      </c>
      <c r="E404" s="20">
        <v>35497</v>
      </c>
      <c r="F404" s="2">
        <f t="shared" ca="1" si="7"/>
        <v>22</v>
      </c>
      <c r="G404" s="17" t="s">
        <v>47</v>
      </c>
      <c r="H404" s="41">
        <v>62397</v>
      </c>
      <c r="I404" s="19">
        <v>3</v>
      </c>
    </row>
    <row r="405" spans="1:9" x14ac:dyDescent="0.2">
      <c r="A405" s="11" t="s">
        <v>651</v>
      </c>
      <c r="B405" s="14" t="s">
        <v>43</v>
      </c>
      <c r="C405" s="11" t="s">
        <v>136</v>
      </c>
      <c r="D405" s="11" t="s">
        <v>29</v>
      </c>
      <c r="E405" s="20">
        <v>36773</v>
      </c>
      <c r="F405" s="2">
        <f t="shared" ca="1" si="7"/>
        <v>18</v>
      </c>
      <c r="G405" s="17" t="s">
        <v>47</v>
      </c>
      <c r="H405" s="41">
        <v>68270</v>
      </c>
      <c r="I405" s="19">
        <v>4</v>
      </c>
    </row>
    <row r="406" spans="1:9" x14ac:dyDescent="0.2">
      <c r="A406" s="11" t="s">
        <v>765</v>
      </c>
      <c r="B406" s="14" t="s">
        <v>36</v>
      </c>
      <c r="C406" s="11" t="s">
        <v>214</v>
      </c>
      <c r="D406" s="11" t="s">
        <v>21</v>
      </c>
      <c r="E406" s="20">
        <v>38134</v>
      </c>
      <c r="F406" s="2">
        <f t="shared" ca="1" si="7"/>
        <v>15</v>
      </c>
      <c r="G406" s="17"/>
      <c r="H406" s="41">
        <v>36963</v>
      </c>
      <c r="I406" s="19">
        <v>3</v>
      </c>
    </row>
    <row r="407" spans="1:9" x14ac:dyDescent="0.2">
      <c r="A407" s="11" t="s">
        <v>643</v>
      </c>
      <c r="B407" s="14" t="s">
        <v>19</v>
      </c>
      <c r="C407" s="11" t="s">
        <v>136</v>
      </c>
      <c r="D407" s="11" t="s">
        <v>29</v>
      </c>
      <c r="E407" s="20">
        <v>40831</v>
      </c>
      <c r="F407" s="2">
        <f t="shared" ca="1" si="7"/>
        <v>7</v>
      </c>
      <c r="G407" s="17" t="s">
        <v>30</v>
      </c>
      <c r="H407" s="41">
        <v>88938</v>
      </c>
      <c r="I407" s="19">
        <v>5</v>
      </c>
    </row>
    <row r="408" spans="1:9" x14ac:dyDescent="0.2">
      <c r="A408" s="11" t="s">
        <v>1320</v>
      </c>
      <c r="B408" s="14" t="s">
        <v>27</v>
      </c>
      <c r="C408" s="11" t="s">
        <v>20</v>
      </c>
      <c r="D408" s="11" t="s">
        <v>80</v>
      </c>
      <c r="E408" s="20">
        <v>35256</v>
      </c>
      <c r="F408" s="2">
        <f t="shared" ca="1" si="7"/>
        <v>22</v>
      </c>
      <c r="G408" s="17" t="s">
        <v>87</v>
      </c>
      <c r="H408" s="41">
        <v>18630</v>
      </c>
      <c r="I408" s="19">
        <v>3</v>
      </c>
    </row>
    <row r="409" spans="1:9" x14ac:dyDescent="0.2">
      <c r="A409" s="11" t="s">
        <v>285</v>
      </c>
      <c r="B409" s="14" t="s">
        <v>27</v>
      </c>
      <c r="C409" s="11" t="s">
        <v>214</v>
      </c>
      <c r="D409" s="11" t="s">
        <v>21</v>
      </c>
      <c r="E409" s="20">
        <v>38502</v>
      </c>
      <c r="F409" s="2">
        <f t="shared" ca="1" si="7"/>
        <v>14</v>
      </c>
      <c r="G409" s="17"/>
      <c r="H409" s="41">
        <v>120852</v>
      </c>
      <c r="I409" s="19">
        <v>5</v>
      </c>
    </row>
    <row r="410" spans="1:9" x14ac:dyDescent="0.2">
      <c r="A410" s="11" t="s">
        <v>289</v>
      </c>
      <c r="B410" s="14" t="s">
        <v>27</v>
      </c>
      <c r="C410" s="11" t="s">
        <v>254</v>
      </c>
      <c r="D410" s="11" t="s">
        <v>29</v>
      </c>
      <c r="E410" s="20">
        <v>40591</v>
      </c>
      <c r="F410" s="2">
        <f t="shared" ca="1" si="7"/>
        <v>8</v>
      </c>
      <c r="G410" s="17" t="s">
        <v>47</v>
      </c>
      <c r="H410" s="41">
        <v>63531</v>
      </c>
      <c r="I410" s="19">
        <v>4</v>
      </c>
    </row>
    <row r="411" spans="1:9" x14ac:dyDescent="0.2">
      <c r="A411" s="11" t="s">
        <v>321</v>
      </c>
      <c r="B411" s="14" t="s">
        <v>19</v>
      </c>
      <c r="C411" s="11" t="s">
        <v>59</v>
      </c>
      <c r="D411" s="11" t="s">
        <v>29</v>
      </c>
      <c r="E411" s="20">
        <v>36868</v>
      </c>
      <c r="F411" s="2">
        <f t="shared" ca="1" si="7"/>
        <v>18</v>
      </c>
      <c r="G411" s="17" t="s">
        <v>71</v>
      </c>
      <c r="H411" s="41">
        <v>66501</v>
      </c>
      <c r="I411" s="19">
        <v>3</v>
      </c>
    </row>
    <row r="412" spans="1:9" x14ac:dyDescent="0.2">
      <c r="A412" s="11" t="s">
        <v>172</v>
      </c>
      <c r="B412" s="14" t="s">
        <v>27</v>
      </c>
      <c r="C412" s="11" t="s">
        <v>254</v>
      </c>
      <c r="D412" s="11" t="s">
        <v>29</v>
      </c>
      <c r="E412" s="20">
        <v>37687</v>
      </c>
      <c r="F412" s="2">
        <f t="shared" ca="1" si="7"/>
        <v>16</v>
      </c>
      <c r="G412" s="17" t="s">
        <v>47</v>
      </c>
      <c r="H412" s="41">
        <v>92502</v>
      </c>
      <c r="I412" s="19">
        <v>5</v>
      </c>
    </row>
    <row r="413" spans="1:9" x14ac:dyDescent="0.2">
      <c r="A413" s="11" t="s">
        <v>1286</v>
      </c>
      <c r="B413" s="14" t="s">
        <v>27</v>
      </c>
      <c r="C413" s="11" t="s">
        <v>136</v>
      </c>
      <c r="D413" s="11" t="s">
        <v>21</v>
      </c>
      <c r="E413" s="20">
        <v>36442</v>
      </c>
      <c r="F413" s="2">
        <f t="shared" ca="1" si="7"/>
        <v>19</v>
      </c>
      <c r="G413" s="17"/>
      <c r="H413" s="41">
        <v>116073</v>
      </c>
      <c r="I413" s="19">
        <v>2</v>
      </c>
    </row>
    <row r="414" spans="1:9" x14ac:dyDescent="0.2">
      <c r="A414" s="11" t="s">
        <v>281</v>
      </c>
      <c r="B414" s="14" t="s">
        <v>27</v>
      </c>
      <c r="C414" s="11" t="s">
        <v>214</v>
      </c>
      <c r="D414" s="11" t="s">
        <v>29</v>
      </c>
      <c r="E414" s="20">
        <v>36983</v>
      </c>
      <c r="F414" s="2">
        <f t="shared" ca="1" si="7"/>
        <v>18</v>
      </c>
      <c r="G414" s="17" t="s">
        <v>47</v>
      </c>
      <c r="H414" s="41">
        <v>99158</v>
      </c>
      <c r="I414" s="19">
        <v>3</v>
      </c>
    </row>
    <row r="415" spans="1:9" x14ac:dyDescent="0.2">
      <c r="A415" s="11" t="s">
        <v>950</v>
      </c>
      <c r="B415" s="14" t="s">
        <v>19</v>
      </c>
      <c r="C415" s="11" t="s">
        <v>214</v>
      </c>
      <c r="D415" s="11" t="s">
        <v>21</v>
      </c>
      <c r="E415" s="20">
        <v>37776</v>
      </c>
      <c r="F415" s="2">
        <f t="shared" ca="1" si="7"/>
        <v>16</v>
      </c>
      <c r="G415" s="17"/>
      <c r="H415" s="41">
        <v>92151</v>
      </c>
      <c r="I415" s="19">
        <v>5</v>
      </c>
    </row>
    <row r="416" spans="1:9" x14ac:dyDescent="0.2">
      <c r="A416" s="11" t="s">
        <v>538</v>
      </c>
      <c r="B416" s="14" t="s">
        <v>51</v>
      </c>
      <c r="C416" s="11" t="s">
        <v>136</v>
      </c>
      <c r="D416" s="11" t="s">
        <v>29</v>
      </c>
      <c r="E416" s="20">
        <v>37920</v>
      </c>
      <c r="F416" s="2">
        <f t="shared" ca="1" si="7"/>
        <v>15</v>
      </c>
      <c r="G416" s="17" t="s">
        <v>30</v>
      </c>
      <c r="H416" s="41">
        <v>60750</v>
      </c>
      <c r="I416" s="19">
        <v>4</v>
      </c>
    </row>
    <row r="417" spans="1:9" x14ac:dyDescent="0.2">
      <c r="A417" s="11" t="s">
        <v>916</v>
      </c>
      <c r="B417" s="14" t="s">
        <v>19</v>
      </c>
      <c r="C417" s="11" t="s">
        <v>145</v>
      </c>
      <c r="D417" s="11" t="s">
        <v>80</v>
      </c>
      <c r="E417" s="20">
        <v>38315</v>
      </c>
      <c r="F417" s="2">
        <f t="shared" ca="1" si="7"/>
        <v>14</v>
      </c>
      <c r="G417" s="17" t="s">
        <v>38</v>
      </c>
      <c r="H417" s="41">
        <v>28337</v>
      </c>
      <c r="I417" s="19">
        <v>4</v>
      </c>
    </row>
    <row r="418" spans="1:9" x14ac:dyDescent="0.2">
      <c r="A418" s="11" t="s">
        <v>1382</v>
      </c>
      <c r="B418" s="14" t="s">
        <v>19</v>
      </c>
      <c r="C418" s="11" t="s">
        <v>104</v>
      </c>
      <c r="D418" s="11" t="s">
        <v>56</v>
      </c>
      <c r="E418" s="20">
        <v>37458</v>
      </c>
      <c r="F418" s="2">
        <f t="shared" ca="1" si="7"/>
        <v>16</v>
      </c>
      <c r="G418" s="17"/>
      <c r="H418" s="41">
        <v>27038</v>
      </c>
      <c r="I418" s="19">
        <v>4</v>
      </c>
    </row>
    <row r="419" spans="1:9" x14ac:dyDescent="0.2">
      <c r="A419" s="11" t="s">
        <v>715</v>
      </c>
      <c r="B419" s="14" t="s">
        <v>27</v>
      </c>
      <c r="C419" s="11" t="s">
        <v>20</v>
      </c>
      <c r="D419" s="11" t="s">
        <v>29</v>
      </c>
      <c r="E419" s="20">
        <v>37613</v>
      </c>
      <c r="F419" s="2">
        <f t="shared" ca="1" si="7"/>
        <v>16</v>
      </c>
      <c r="G419" s="17" t="s">
        <v>47</v>
      </c>
      <c r="H419" s="41">
        <v>82391</v>
      </c>
      <c r="I419" s="19">
        <v>3</v>
      </c>
    </row>
    <row r="420" spans="1:9" x14ac:dyDescent="0.2">
      <c r="A420" s="11" t="s">
        <v>771</v>
      </c>
      <c r="B420" s="14" t="s">
        <v>19</v>
      </c>
      <c r="C420" s="11" t="s">
        <v>136</v>
      </c>
      <c r="D420" s="11" t="s">
        <v>29</v>
      </c>
      <c r="E420" s="20">
        <v>42408</v>
      </c>
      <c r="F420" s="2">
        <f t="shared" ca="1" si="7"/>
        <v>3</v>
      </c>
      <c r="G420" s="17" t="s">
        <v>71</v>
      </c>
      <c r="H420" s="41">
        <v>116775</v>
      </c>
      <c r="I420" s="19">
        <v>1</v>
      </c>
    </row>
    <row r="421" spans="1:9" x14ac:dyDescent="0.2">
      <c r="A421" s="11" t="s">
        <v>1154</v>
      </c>
      <c r="B421" s="14" t="s">
        <v>19</v>
      </c>
      <c r="C421" s="11" t="s">
        <v>20</v>
      </c>
      <c r="D421" s="11" t="s">
        <v>29</v>
      </c>
      <c r="E421" s="20">
        <v>38960</v>
      </c>
      <c r="F421" s="2">
        <f t="shared" ca="1" si="7"/>
        <v>12</v>
      </c>
      <c r="G421" s="17" t="s">
        <v>38</v>
      </c>
      <c r="H421" s="41">
        <v>84767</v>
      </c>
      <c r="I421" s="19">
        <v>2</v>
      </c>
    </row>
    <row r="422" spans="1:9" x14ac:dyDescent="0.2">
      <c r="A422" s="11" t="s">
        <v>1146</v>
      </c>
      <c r="B422" s="14" t="s">
        <v>43</v>
      </c>
      <c r="C422" s="11" t="s">
        <v>136</v>
      </c>
      <c r="D422" s="11" t="s">
        <v>80</v>
      </c>
      <c r="E422" s="20">
        <v>42205</v>
      </c>
      <c r="F422" s="2">
        <f t="shared" ca="1" si="7"/>
        <v>3</v>
      </c>
      <c r="G422" s="17" t="s">
        <v>87</v>
      </c>
      <c r="H422" s="41">
        <v>66629</v>
      </c>
      <c r="I422" s="19">
        <v>5</v>
      </c>
    </row>
    <row r="423" spans="1:9" x14ac:dyDescent="0.2">
      <c r="A423" s="11" t="s">
        <v>1352</v>
      </c>
      <c r="B423" s="14" t="s">
        <v>27</v>
      </c>
      <c r="C423" s="11" t="s">
        <v>152</v>
      </c>
      <c r="D423" s="11" t="s">
        <v>29</v>
      </c>
      <c r="E423" s="20">
        <v>40112</v>
      </c>
      <c r="F423" s="2">
        <f t="shared" ca="1" si="7"/>
        <v>9</v>
      </c>
      <c r="G423" s="17" t="s">
        <v>87</v>
      </c>
      <c r="H423" s="41">
        <v>65178</v>
      </c>
      <c r="I423" s="19">
        <v>4</v>
      </c>
    </row>
    <row r="424" spans="1:9" x14ac:dyDescent="0.2">
      <c r="A424" s="11" t="s">
        <v>1298</v>
      </c>
      <c r="B424" s="14" t="s">
        <v>27</v>
      </c>
      <c r="C424" s="11" t="s">
        <v>152</v>
      </c>
      <c r="D424" s="11" t="s">
        <v>29</v>
      </c>
      <c r="E424" s="20">
        <v>41512</v>
      </c>
      <c r="F424" s="2">
        <f t="shared" ca="1" si="7"/>
        <v>5</v>
      </c>
      <c r="G424" s="17" t="s">
        <v>47</v>
      </c>
      <c r="H424" s="41">
        <v>111200</v>
      </c>
      <c r="I424" s="19">
        <v>5</v>
      </c>
    </row>
    <row r="425" spans="1:9" x14ac:dyDescent="0.2">
      <c r="A425" s="11" t="s">
        <v>1218</v>
      </c>
      <c r="B425" s="14" t="s">
        <v>19</v>
      </c>
      <c r="C425" s="11" t="s">
        <v>136</v>
      </c>
      <c r="D425" s="11" t="s">
        <v>29</v>
      </c>
      <c r="E425" s="20">
        <v>36006</v>
      </c>
      <c r="F425" s="2">
        <f t="shared" ca="1" si="7"/>
        <v>20</v>
      </c>
      <c r="G425" s="17" t="s">
        <v>47</v>
      </c>
      <c r="H425" s="41">
        <v>84629</v>
      </c>
      <c r="I425" s="19">
        <v>2</v>
      </c>
    </row>
    <row r="426" spans="1:9" x14ac:dyDescent="0.2">
      <c r="A426" s="11" t="s">
        <v>1464</v>
      </c>
      <c r="B426" s="14" t="s">
        <v>83</v>
      </c>
      <c r="C426" s="11" t="s">
        <v>20</v>
      </c>
      <c r="D426" s="11" t="s">
        <v>21</v>
      </c>
      <c r="E426" s="20">
        <v>41706</v>
      </c>
      <c r="F426" s="2">
        <f t="shared" ca="1" si="7"/>
        <v>5</v>
      </c>
      <c r="G426" s="17"/>
      <c r="H426" s="41">
        <v>34817</v>
      </c>
      <c r="I426" s="19">
        <v>3</v>
      </c>
    </row>
    <row r="427" spans="1:9" x14ac:dyDescent="0.2">
      <c r="A427" s="11" t="s">
        <v>1406</v>
      </c>
      <c r="B427" s="14" t="s">
        <v>27</v>
      </c>
      <c r="C427" s="11" t="s">
        <v>20</v>
      </c>
      <c r="D427" s="11" t="s">
        <v>29</v>
      </c>
      <c r="E427" s="20">
        <v>38792</v>
      </c>
      <c r="F427" s="2">
        <f t="shared" ca="1" si="7"/>
        <v>13</v>
      </c>
      <c r="G427" s="17" t="s">
        <v>47</v>
      </c>
      <c r="H427" s="41">
        <v>36693</v>
      </c>
      <c r="I427" s="19">
        <v>4</v>
      </c>
    </row>
    <row r="428" spans="1:9" x14ac:dyDescent="0.2">
      <c r="A428" s="11" t="s">
        <v>868</v>
      </c>
      <c r="B428" s="14" t="s">
        <v>19</v>
      </c>
      <c r="C428" s="11" t="s">
        <v>214</v>
      </c>
      <c r="D428" s="11" t="s">
        <v>80</v>
      </c>
      <c r="E428" s="20">
        <v>38053</v>
      </c>
      <c r="F428" s="2">
        <f t="shared" ca="1" si="7"/>
        <v>15</v>
      </c>
      <c r="G428" s="17" t="s">
        <v>30</v>
      </c>
      <c r="H428" s="41">
        <v>65057</v>
      </c>
      <c r="I428" s="19">
        <v>1</v>
      </c>
    </row>
    <row r="429" spans="1:9" x14ac:dyDescent="0.2">
      <c r="A429" s="11" t="s">
        <v>968</v>
      </c>
      <c r="B429" s="14" t="s">
        <v>43</v>
      </c>
      <c r="C429" s="11" t="s">
        <v>20</v>
      </c>
      <c r="D429" s="11" t="s">
        <v>56</v>
      </c>
      <c r="E429" s="20">
        <v>38271</v>
      </c>
      <c r="F429" s="2">
        <f t="shared" ca="1" si="7"/>
        <v>14</v>
      </c>
      <c r="G429" s="17"/>
      <c r="H429" s="41">
        <v>44626</v>
      </c>
      <c r="I429" s="19">
        <v>5</v>
      </c>
    </row>
    <row r="430" spans="1:9" x14ac:dyDescent="0.2">
      <c r="A430" s="11" t="s">
        <v>725</v>
      </c>
      <c r="B430" s="14" t="s">
        <v>27</v>
      </c>
      <c r="C430" s="11" t="s">
        <v>86</v>
      </c>
      <c r="D430" s="11" t="s">
        <v>29</v>
      </c>
      <c r="E430" s="20">
        <v>37331</v>
      </c>
      <c r="F430" s="2">
        <f t="shared" ca="1" si="7"/>
        <v>17</v>
      </c>
      <c r="G430" s="17" t="s">
        <v>47</v>
      </c>
      <c r="H430" s="41">
        <v>110214</v>
      </c>
      <c r="I430" s="19">
        <v>4</v>
      </c>
    </row>
    <row r="431" spans="1:9" x14ac:dyDescent="0.2">
      <c r="A431" s="11" t="s">
        <v>180</v>
      </c>
      <c r="B431" s="14" t="s">
        <v>43</v>
      </c>
      <c r="C431" s="11" t="s">
        <v>20</v>
      </c>
      <c r="D431" s="11" t="s">
        <v>29</v>
      </c>
      <c r="E431" s="20">
        <v>39744</v>
      </c>
      <c r="F431" s="2">
        <f t="shared" ca="1" si="7"/>
        <v>10</v>
      </c>
      <c r="G431" s="17" t="s">
        <v>47</v>
      </c>
      <c r="H431" s="41">
        <v>90302</v>
      </c>
      <c r="I431" s="19">
        <v>5</v>
      </c>
    </row>
    <row r="432" spans="1:9" x14ac:dyDescent="0.2">
      <c r="A432" s="11" t="s">
        <v>1048</v>
      </c>
      <c r="B432" s="14" t="s">
        <v>51</v>
      </c>
      <c r="C432" s="11" t="s">
        <v>205</v>
      </c>
      <c r="D432" s="11" t="s">
        <v>21</v>
      </c>
      <c r="E432" s="20">
        <v>42047</v>
      </c>
      <c r="F432" s="2">
        <f t="shared" ca="1" si="7"/>
        <v>4</v>
      </c>
      <c r="G432" s="17" t="s">
        <v>38</v>
      </c>
      <c r="H432" s="41">
        <v>96107</v>
      </c>
      <c r="I432" s="19">
        <v>4</v>
      </c>
    </row>
    <row r="433" spans="1:9" x14ac:dyDescent="0.2">
      <c r="A433" s="11" t="s">
        <v>309</v>
      </c>
      <c r="B433" s="14" t="s">
        <v>27</v>
      </c>
      <c r="C433" s="11" t="s">
        <v>254</v>
      </c>
      <c r="D433" s="11" t="s">
        <v>29</v>
      </c>
      <c r="E433" s="20">
        <v>40700</v>
      </c>
      <c r="F433" s="2">
        <f t="shared" ca="1" si="7"/>
        <v>7</v>
      </c>
      <c r="G433" s="17" t="s">
        <v>87</v>
      </c>
      <c r="H433" s="41">
        <v>37206</v>
      </c>
      <c r="I433" s="19">
        <v>2</v>
      </c>
    </row>
    <row r="434" spans="1:9" x14ac:dyDescent="0.2">
      <c r="A434" s="11" t="s">
        <v>96</v>
      </c>
      <c r="B434" s="14" t="s">
        <v>27</v>
      </c>
      <c r="C434" s="11" t="s">
        <v>136</v>
      </c>
      <c r="D434" s="11" t="s">
        <v>29</v>
      </c>
      <c r="E434" s="20">
        <v>42222</v>
      </c>
      <c r="F434" s="2">
        <f t="shared" ca="1" si="7"/>
        <v>3</v>
      </c>
      <c r="G434" s="17" t="s">
        <v>38</v>
      </c>
      <c r="H434" s="41">
        <v>79853</v>
      </c>
      <c r="I434" s="19">
        <v>4</v>
      </c>
    </row>
    <row r="435" spans="1:9" x14ac:dyDescent="0.2">
      <c r="A435" s="11" t="s">
        <v>160</v>
      </c>
      <c r="B435" s="14" t="s">
        <v>43</v>
      </c>
      <c r="C435" s="11" t="s">
        <v>214</v>
      </c>
      <c r="D435" s="11" t="s">
        <v>29</v>
      </c>
      <c r="E435" s="20">
        <v>38228</v>
      </c>
      <c r="F435" s="2">
        <f t="shared" ca="1" si="7"/>
        <v>14</v>
      </c>
      <c r="G435" s="17" t="s">
        <v>47</v>
      </c>
      <c r="H435" s="41">
        <v>90828</v>
      </c>
      <c r="I435" s="19">
        <v>3</v>
      </c>
    </row>
    <row r="436" spans="1:9" x14ac:dyDescent="0.2">
      <c r="A436" s="11" t="s">
        <v>192</v>
      </c>
      <c r="B436" s="14" t="s">
        <v>36</v>
      </c>
      <c r="C436" s="11" t="s">
        <v>152</v>
      </c>
      <c r="D436" s="11" t="s">
        <v>21</v>
      </c>
      <c r="E436" s="20">
        <v>38925</v>
      </c>
      <c r="F436" s="2">
        <f t="shared" ca="1" si="7"/>
        <v>12</v>
      </c>
      <c r="G436" s="17"/>
      <c r="H436" s="41">
        <v>34466</v>
      </c>
      <c r="I436" s="19">
        <v>3</v>
      </c>
    </row>
    <row r="437" spans="1:9" x14ac:dyDescent="0.2">
      <c r="A437" s="11" t="s">
        <v>455</v>
      </c>
      <c r="B437" s="14" t="s">
        <v>51</v>
      </c>
      <c r="C437" s="11" t="s">
        <v>214</v>
      </c>
      <c r="D437" s="11" t="s">
        <v>29</v>
      </c>
      <c r="E437" s="20">
        <v>37375</v>
      </c>
      <c r="F437" s="2">
        <f t="shared" ca="1" si="7"/>
        <v>17</v>
      </c>
      <c r="G437" s="17" t="s">
        <v>30</v>
      </c>
      <c r="H437" s="41">
        <v>82553</v>
      </c>
      <c r="I437" s="19">
        <v>2</v>
      </c>
    </row>
    <row r="438" spans="1:9" x14ac:dyDescent="0.2">
      <c r="A438" s="11" t="s">
        <v>580</v>
      </c>
      <c r="B438" s="14" t="s">
        <v>19</v>
      </c>
      <c r="C438" s="11" t="s">
        <v>214</v>
      </c>
      <c r="D438" s="11" t="s">
        <v>21</v>
      </c>
      <c r="E438" s="20">
        <v>35763</v>
      </c>
      <c r="F438" s="2">
        <f t="shared" ca="1" si="7"/>
        <v>21</v>
      </c>
      <c r="G438" s="17"/>
      <c r="H438" s="41">
        <v>99887</v>
      </c>
      <c r="I438" s="19">
        <v>3</v>
      </c>
    </row>
    <row r="439" spans="1:9" x14ac:dyDescent="0.2">
      <c r="A439" s="11" t="s">
        <v>264</v>
      </c>
      <c r="B439" s="14" t="s">
        <v>51</v>
      </c>
      <c r="C439" s="11" t="s">
        <v>62</v>
      </c>
      <c r="D439" s="11" t="s">
        <v>80</v>
      </c>
      <c r="E439" s="20">
        <v>38001</v>
      </c>
      <c r="F439" s="2">
        <f t="shared" ca="1" si="7"/>
        <v>15</v>
      </c>
      <c r="G439" s="17" t="s">
        <v>47</v>
      </c>
      <c r="H439" s="41">
        <v>20574</v>
      </c>
      <c r="I439" s="19">
        <v>1</v>
      </c>
    </row>
    <row r="440" spans="1:9" x14ac:dyDescent="0.2">
      <c r="A440" s="11" t="s">
        <v>512</v>
      </c>
      <c r="B440" s="14" t="s">
        <v>19</v>
      </c>
      <c r="C440" s="11" t="s">
        <v>136</v>
      </c>
      <c r="D440" s="11" t="s">
        <v>29</v>
      </c>
      <c r="E440" s="20">
        <v>34882</v>
      </c>
      <c r="F440" s="2">
        <f t="shared" ca="1" si="7"/>
        <v>23</v>
      </c>
      <c r="G440" s="17" t="s">
        <v>47</v>
      </c>
      <c r="H440" s="41">
        <v>64908</v>
      </c>
      <c r="I440" s="19">
        <v>2</v>
      </c>
    </row>
    <row r="441" spans="1:9" x14ac:dyDescent="0.2">
      <c r="A441" s="11" t="s">
        <v>35</v>
      </c>
      <c r="B441" s="14" t="s">
        <v>27</v>
      </c>
      <c r="C441" s="11" t="s">
        <v>214</v>
      </c>
      <c r="D441" s="11" t="s">
        <v>29</v>
      </c>
      <c r="E441" s="20">
        <v>40448</v>
      </c>
      <c r="F441" s="2">
        <f t="shared" ca="1" si="7"/>
        <v>8</v>
      </c>
      <c r="G441" s="17" t="s">
        <v>47</v>
      </c>
      <c r="H441" s="41">
        <v>82431</v>
      </c>
      <c r="I441" s="19">
        <v>5</v>
      </c>
    </row>
    <row r="442" spans="1:9" x14ac:dyDescent="0.2">
      <c r="A442" s="11" t="s">
        <v>874</v>
      </c>
      <c r="B442" s="14" t="s">
        <v>27</v>
      </c>
      <c r="C442" s="11" t="s">
        <v>59</v>
      </c>
      <c r="D442" s="11" t="s">
        <v>29</v>
      </c>
      <c r="E442" s="20">
        <v>39919</v>
      </c>
      <c r="F442" s="2">
        <f t="shared" ca="1" si="7"/>
        <v>10</v>
      </c>
      <c r="G442" s="17" t="s">
        <v>38</v>
      </c>
      <c r="H442" s="41">
        <v>88506</v>
      </c>
      <c r="I442" s="19">
        <v>1</v>
      </c>
    </row>
    <row r="443" spans="1:9" x14ac:dyDescent="0.2">
      <c r="A443" s="11" t="s">
        <v>815</v>
      </c>
      <c r="B443" s="14" t="s">
        <v>19</v>
      </c>
      <c r="C443" s="11" t="s">
        <v>265</v>
      </c>
      <c r="D443" s="11" t="s">
        <v>29</v>
      </c>
      <c r="E443" s="20">
        <v>40181</v>
      </c>
      <c r="F443" s="2">
        <f t="shared" ca="1" si="7"/>
        <v>9</v>
      </c>
      <c r="G443" s="17" t="s">
        <v>47</v>
      </c>
      <c r="H443" s="41">
        <v>49451</v>
      </c>
      <c r="I443" s="19">
        <v>4</v>
      </c>
    </row>
    <row r="444" spans="1:9" x14ac:dyDescent="0.2">
      <c r="A444" s="11" t="s">
        <v>677</v>
      </c>
      <c r="B444" s="14" t="s">
        <v>27</v>
      </c>
      <c r="C444" s="11" t="s">
        <v>152</v>
      </c>
      <c r="D444" s="11" t="s">
        <v>29</v>
      </c>
      <c r="E444" s="20">
        <v>42352</v>
      </c>
      <c r="F444" s="2">
        <f t="shared" ca="1" si="7"/>
        <v>3</v>
      </c>
      <c r="G444" s="17" t="s">
        <v>47</v>
      </c>
      <c r="H444" s="41">
        <v>62627</v>
      </c>
      <c r="I444" s="19">
        <v>5</v>
      </c>
    </row>
    <row r="445" spans="1:9" x14ac:dyDescent="0.2">
      <c r="A445" s="11" t="s">
        <v>112</v>
      </c>
      <c r="B445" s="14" t="s">
        <v>83</v>
      </c>
      <c r="C445" s="11" t="s">
        <v>214</v>
      </c>
      <c r="D445" s="11" t="s">
        <v>21</v>
      </c>
      <c r="E445" s="20">
        <v>38384</v>
      </c>
      <c r="F445" s="2">
        <f t="shared" ca="1" si="7"/>
        <v>14</v>
      </c>
      <c r="G445" s="17"/>
      <c r="H445" s="41">
        <v>56484</v>
      </c>
      <c r="I445" s="19">
        <v>2</v>
      </c>
    </row>
    <row r="446" spans="1:9" x14ac:dyDescent="0.2">
      <c r="A446" s="11" t="s">
        <v>382</v>
      </c>
      <c r="B446" s="14" t="s">
        <v>19</v>
      </c>
      <c r="C446" s="11" t="s">
        <v>254</v>
      </c>
      <c r="D446" s="11" t="s">
        <v>29</v>
      </c>
      <c r="E446" s="20">
        <v>36685</v>
      </c>
      <c r="F446" s="2">
        <f t="shared" ca="1" si="7"/>
        <v>18</v>
      </c>
      <c r="G446" s="17" t="s">
        <v>47</v>
      </c>
      <c r="H446" s="41">
        <v>34871</v>
      </c>
      <c r="I446" s="19">
        <v>5</v>
      </c>
    </row>
    <row r="447" spans="1:9" x14ac:dyDescent="0.2">
      <c r="A447" s="11" t="s">
        <v>147</v>
      </c>
      <c r="B447" s="14" t="s">
        <v>27</v>
      </c>
      <c r="C447" s="11" t="s">
        <v>254</v>
      </c>
      <c r="D447" s="11" t="s">
        <v>56</v>
      </c>
      <c r="E447" s="20">
        <v>39928</v>
      </c>
      <c r="F447" s="2">
        <f t="shared" ca="1" si="7"/>
        <v>10</v>
      </c>
      <c r="G447" s="17"/>
      <c r="H447" s="41">
        <v>45241</v>
      </c>
      <c r="I447" s="19">
        <v>4</v>
      </c>
    </row>
    <row r="448" spans="1:9" x14ac:dyDescent="0.2">
      <c r="A448" s="11" t="s">
        <v>271</v>
      </c>
      <c r="B448" s="14" t="s">
        <v>83</v>
      </c>
      <c r="C448" s="11" t="s">
        <v>62</v>
      </c>
      <c r="D448" s="11" t="s">
        <v>29</v>
      </c>
      <c r="E448" s="20">
        <v>37526</v>
      </c>
      <c r="F448" s="2">
        <f t="shared" ca="1" si="7"/>
        <v>16</v>
      </c>
      <c r="G448" s="17" t="s">
        <v>30</v>
      </c>
      <c r="H448" s="41">
        <v>115155</v>
      </c>
      <c r="I448" s="19">
        <v>2</v>
      </c>
    </row>
    <row r="449" spans="1:9" x14ac:dyDescent="0.2">
      <c r="A449" s="11" t="s">
        <v>500</v>
      </c>
      <c r="B449" s="14" t="s">
        <v>27</v>
      </c>
      <c r="C449" s="11" t="s">
        <v>265</v>
      </c>
      <c r="D449" s="11" t="s">
        <v>21</v>
      </c>
      <c r="E449" s="20">
        <v>42037</v>
      </c>
      <c r="F449" s="2">
        <f t="shared" ca="1" si="7"/>
        <v>4</v>
      </c>
      <c r="G449" s="17"/>
      <c r="H449" s="41">
        <v>80123</v>
      </c>
      <c r="I449" s="19">
        <v>5</v>
      </c>
    </row>
    <row r="450" spans="1:9" x14ac:dyDescent="0.2">
      <c r="A450" s="11" t="s">
        <v>358</v>
      </c>
      <c r="B450" s="14" t="s">
        <v>19</v>
      </c>
      <c r="C450" s="11" t="s">
        <v>152</v>
      </c>
      <c r="D450" s="11" t="s">
        <v>21</v>
      </c>
      <c r="E450" s="20">
        <v>38883</v>
      </c>
      <c r="F450" s="2">
        <f t="shared" ca="1" si="7"/>
        <v>12</v>
      </c>
      <c r="G450" s="17"/>
      <c r="H450" s="41">
        <v>38165</v>
      </c>
      <c r="I450" s="19">
        <v>5</v>
      </c>
    </row>
    <row r="451" spans="1:9" x14ac:dyDescent="0.2">
      <c r="A451" s="11" t="s">
        <v>552</v>
      </c>
      <c r="B451" s="14" t="s">
        <v>19</v>
      </c>
      <c r="C451" s="11" t="s">
        <v>249</v>
      </c>
      <c r="D451" s="11" t="s">
        <v>80</v>
      </c>
      <c r="E451" s="20">
        <v>37745</v>
      </c>
      <c r="F451" s="2">
        <f t="shared" ref="F451:F514" ca="1" si="8">DATEDIF(E451,TODAY(),"Y")</f>
        <v>16</v>
      </c>
      <c r="G451" s="17" t="s">
        <v>47</v>
      </c>
      <c r="H451" s="41">
        <v>27675</v>
      </c>
      <c r="I451" s="19">
        <v>3</v>
      </c>
    </row>
    <row r="452" spans="1:9" x14ac:dyDescent="0.2">
      <c r="A452" s="11" t="s">
        <v>1176</v>
      </c>
      <c r="B452" s="14" t="s">
        <v>19</v>
      </c>
      <c r="C452" s="11" t="s">
        <v>20</v>
      </c>
      <c r="D452" s="11" t="s">
        <v>21</v>
      </c>
      <c r="E452" s="20">
        <v>37289</v>
      </c>
      <c r="F452" s="2">
        <f t="shared" ca="1" si="8"/>
        <v>17</v>
      </c>
      <c r="G452" s="17"/>
      <c r="H452" s="41">
        <v>100899</v>
      </c>
      <c r="I452" s="19">
        <v>5</v>
      </c>
    </row>
    <row r="453" spans="1:9" x14ac:dyDescent="0.2">
      <c r="A453" s="11" t="s">
        <v>398</v>
      </c>
      <c r="B453" s="14" t="s">
        <v>27</v>
      </c>
      <c r="C453" s="11" t="s">
        <v>249</v>
      </c>
      <c r="D453" s="11" t="s">
        <v>29</v>
      </c>
      <c r="E453" s="20">
        <v>35688</v>
      </c>
      <c r="F453" s="2">
        <f t="shared" ca="1" si="8"/>
        <v>21</v>
      </c>
      <c r="G453" s="17" t="s">
        <v>87</v>
      </c>
      <c r="H453" s="41">
        <v>118773</v>
      </c>
      <c r="I453" s="19">
        <v>1</v>
      </c>
    </row>
    <row r="454" spans="1:9" x14ac:dyDescent="0.2">
      <c r="A454" s="11" t="s">
        <v>73</v>
      </c>
      <c r="B454" s="14" t="s">
        <v>27</v>
      </c>
      <c r="C454" s="11" t="s">
        <v>136</v>
      </c>
      <c r="D454" s="11" t="s">
        <v>29</v>
      </c>
      <c r="E454" s="20">
        <v>34912</v>
      </c>
      <c r="F454" s="2">
        <f t="shared" ca="1" si="8"/>
        <v>23</v>
      </c>
      <c r="G454" s="17" t="s">
        <v>38</v>
      </c>
      <c r="H454" s="41">
        <v>62249</v>
      </c>
      <c r="I454" s="19">
        <v>4</v>
      </c>
    </row>
    <row r="455" spans="1:9" x14ac:dyDescent="0.2">
      <c r="A455" s="11" t="s">
        <v>1448</v>
      </c>
      <c r="B455" s="14" t="s">
        <v>19</v>
      </c>
      <c r="C455" s="11" t="s">
        <v>152</v>
      </c>
      <c r="D455" s="11" t="s">
        <v>29</v>
      </c>
      <c r="E455" s="20">
        <v>38114</v>
      </c>
      <c r="F455" s="2">
        <f t="shared" ca="1" si="8"/>
        <v>15</v>
      </c>
      <c r="G455" s="17" t="s">
        <v>71</v>
      </c>
      <c r="H455" s="41">
        <v>83498</v>
      </c>
      <c r="I455" s="19">
        <v>2</v>
      </c>
    </row>
    <row r="456" spans="1:9" x14ac:dyDescent="0.2">
      <c r="A456" s="11" t="s">
        <v>342</v>
      </c>
      <c r="B456" s="14" t="s">
        <v>27</v>
      </c>
      <c r="C456" s="11" t="s">
        <v>20</v>
      </c>
      <c r="D456" s="11" t="s">
        <v>29</v>
      </c>
      <c r="E456" s="20">
        <v>39132</v>
      </c>
      <c r="F456" s="2">
        <f t="shared" ca="1" si="8"/>
        <v>12</v>
      </c>
      <c r="G456" s="17" t="s">
        <v>87</v>
      </c>
      <c r="H456" s="41">
        <v>115938</v>
      </c>
      <c r="I456" s="19">
        <v>3</v>
      </c>
    </row>
    <row r="457" spans="1:9" x14ac:dyDescent="0.2">
      <c r="A457" s="11" t="s">
        <v>429</v>
      </c>
      <c r="B457" s="14" t="s">
        <v>27</v>
      </c>
      <c r="C457" s="11" t="s">
        <v>20</v>
      </c>
      <c r="D457" s="11" t="s">
        <v>21</v>
      </c>
      <c r="E457" s="20">
        <v>36435</v>
      </c>
      <c r="F457" s="2">
        <f t="shared" ca="1" si="8"/>
        <v>19</v>
      </c>
      <c r="G457" s="17"/>
      <c r="H457" s="41">
        <v>63005</v>
      </c>
      <c r="I457" s="19">
        <v>3</v>
      </c>
    </row>
    <row r="458" spans="1:9" x14ac:dyDescent="0.2">
      <c r="A458" s="11" t="s">
        <v>338</v>
      </c>
      <c r="B458" s="14" t="s">
        <v>19</v>
      </c>
      <c r="C458" s="11" t="s">
        <v>20</v>
      </c>
      <c r="D458" s="11" t="s">
        <v>29</v>
      </c>
      <c r="E458" s="20">
        <v>35311</v>
      </c>
      <c r="F458" s="2">
        <f t="shared" ca="1" si="8"/>
        <v>22</v>
      </c>
      <c r="G458" s="17" t="s">
        <v>30</v>
      </c>
      <c r="H458" s="41">
        <v>115992</v>
      </c>
      <c r="I458" s="19">
        <v>4</v>
      </c>
    </row>
    <row r="459" spans="1:9" x14ac:dyDescent="0.2">
      <c r="A459" s="11" t="s">
        <v>1136</v>
      </c>
      <c r="B459" s="14" t="s">
        <v>36</v>
      </c>
      <c r="C459" s="11" t="s">
        <v>152</v>
      </c>
      <c r="D459" s="11" t="s">
        <v>21</v>
      </c>
      <c r="E459" s="20">
        <v>42118</v>
      </c>
      <c r="F459" s="2">
        <f t="shared" ca="1" si="8"/>
        <v>4</v>
      </c>
      <c r="G459" s="17"/>
      <c r="H459" s="41">
        <v>63828</v>
      </c>
      <c r="I459" s="19">
        <v>1</v>
      </c>
    </row>
    <row r="460" spans="1:9" x14ac:dyDescent="0.2">
      <c r="A460" s="11" t="s">
        <v>984</v>
      </c>
      <c r="B460" s="14" t="s">
        <v>83</v>
      </c>
      <c r="C460" s="11" t="s">
        <v>254</v>
      </c>
      <c r="D460" s="11" t="s">
        <v>21</v>
      </c>
      <c r="E460" s="20">
        <v>37705</v>
      </c>
      <c r="F460" s="2">
        <f t="shared" ca="1" si="8"/>
        <v>16</v>
      </c>
      <c r="G460" s="17"/>
      <c r="H460" s="41">
        <v>85496</v>
      </c>
      <c r="I460" s="19">
        <v>4</v>
      </c>
    </row>
    <row r="461" spans="1:9" x14ac:dyDescent="0.2">
      <c r="A461" s="11" t="s">
        <v>1092</v>
      </c>
      <c r="B461" s="14" t="s">
        <v>83</v>
      </c>
      <c r="C461" s="11" t="s">
        <v>152</v>
      </c>
      <c r="D461" s="11" t="s">
        <v>21</v>
      </c>
      <c r="E461" s="20">
        <v>37122</v>
      </c>
      <c r="F461" s="2">
        <f t="shared" ca="1" si="8"/>
        <v>17</v>
      </c>
      <c r="G461" s="17"/>
      <c r="H461" s="41">
        <v>118571</v>
      </c>
      <c r="I461" s="19">
        <v>2</v>
      </c>
    </row>
    <row r="462" spans="1:9" x14ac:dyDescent="0.2">
      <c r="A462" s="11" t="s">
        <v>1354</v>
      </c>
      <c r="B462" s="14" t="s">
        <v>36</v>
      </c>
      <c r="C462" s="11" t="s">
        <v>214</v>
      </c>
      <c r="D462" s="11" t="s">
        <v>29</v>
      </c>
      <c r="E462" s="20">
        <v>40105</v>
      </c>
      <c r="F462" s="2">
        <f t="shared" ca="1" si="8"/>
        <v>9</v>
      </c>
      <c r="G462" s="17" t="s">
        <v>87</v>
      </c>
      <c r="H462" s="41">
        <v>95526</v>
      </c>
      <c r="I462" s="19">
        <v>1</v>
      </c>
    </row>
    <row r="463" spans="1:9" x14ac:dyDescent="0.2">
      <c r="A463" s="11" t="s">
        <v>791</v>
      </c>
      <c r="B463" s="14" t="s">
        <v>51</v>
      </c>
      <c r="C463" s="11" t="s">
        <v>478</v>
      </c>
      <c r="D463" s="11" t="s">
        <v>29</v>
      </c>
      <c r="E463" s="20">
        <v>39191</v>
      </c>
      <c r="F463" s="2">
        <f t="shared" ca="1" si="8"/>
        <v>12</v>
      </c>
      <c r="G463" s="17" t="s">
        <v>47</v>
      </c>
      <c r="H463" s="41">
        <v>79839</v>
      </c>
      <c r="I463" s="19">
        <v>5</v>
      </c>
    </row>
    <row r="464" spans="1:9" x14ac:dyDescent="0.2">
      <c r="A464" s="11" t="s">
        <v>1276</v>
      </c>
      <c r="B464" s="14" t="s">
        <v>36</v>
      </c>
      <c r="C464" s="11" t="s">
        <v>641</v>
      </c>
      <c r="D464" s="11" t="s">
        <v>56</v>
      </c>
      <c r="E464" s="20">
        <v>42327</v>
      </c>
      <c r="F464" s="2">
        <f t="shared" ca="1" si="8"/>
        <v>3</v>
      </c>
      <c r="G464" s="17"/>
      <c r="H464" s="41">
        <v>25709</v>
      </c>
      <c r="I464" s="19">
        <v>1</v>
      </c>
    </row>
    <row r="465" spans="1:9" x14ac:dyDescent="0.2">
      <c r="A465" s="11" t="s">
        <v>1172</v>
      </c>
      <c r="B465" s="14" t="s">
        <v>19</v>
      </c>
      <c r="C465" s="11" t="s">
        <v>214</v>
      </c>
      <c r="D465" s="11" t="s">
        <v>29</v>
      </c>
      <c r="E465" s="20">
        <v>35432</v>
      </c>
      <c r="F465" s="2">
        <f t="shared" ca="1" si="8"/>
        <v>22</v>
      </c>
      <c r="G465" s="17" t="s">
        <v>71</v>
      </c>
      <c r="H465" s="41">
        <v>81513</v>
      </c>
      <c r="I465" s="19">
        <v>4</v>
      </c>
    </row>
    <row r="466" spans="1:9" x14ac:dyDescent="0.2">
      <c r="A466" s="11" t="s">
        <v>721</v>
      </c>
      <c r="B466" s="14" t="s">
        <v>27</v>
      </c>
      <c r="C466" s="11" t="s">
        <v>136</v>
      </c>
      <c r="D466" s="11" t="s">
        <v>29</v>
      </c>
      <c r="E466" s="20">
        <v>37742</v>
      </c>
      <c r="F466" s="2">
        <f t="shared" ca="1" si="8"/>
        <v>16</v>
      </c>
      <c r="G466" s="17" t="s">
        <v>30</v>
      </c>
      <c r="H466" s="41">
        <v>82917</v>
      </c>
      <c r="I466" s="19">
        <v>4</v>
      </c>
    </row>
    <row r="467" spans="1:9" x14ac:dyDescent="0.2">
      <c r="A467" s="11" t="s">
        <v>1530</v>
      </c>
      <c r="B467" s="14" t="s">
        <v>43</v>
      </c>
      <c r="C467" s="11" t="s">
        <v>136</v>
      </c>
      <c r="D467" s="11" t="s">
        <v>29</v>
      </c>
      <c r="E467" s="20">
        <v>36935</v>
      </c>
      <c r="F467" s="2">
        <f t="shared" ca="1" si="8"/>
        <v>18</v>
      </c>
      <c r="G467" s="17" t="s">
        <v>71</v>
      </c>
      <c r="H467" s="41">
        <v>40176</v>
      </c>
      <c r="I467" s="19">
        <v>2</v>
      </c>
    </row>
    <row r="468" spans="1:9" x14ac:dyDescent="0.2">
      <c r="A468" s="11" t="s">
        <v>640</v>
      </c>
      <c r="B468" s="14" t="s">
        <v>27</v>
      </c>
      <c r="C468" s="11" t="s">
        <v>152</v>
      </c>
      <c r="D468" s="11" t="s">
        <v>29</v>
      </c>
      <c r="E468" s="20">
        <v>37411</v>
      </c>
      <c r="F468" s="2">
        <f t="shared" ca="1" si="8"/>
        <v>17</v>
      </c>
      <c r="G468" s="17" t="s">
        <v>30</v>
      </c>
      <c r="H468" s="41">
        <v>55863</v>
      </c>
      <c r="I468" s="19">
        <v>2</v>
      </c>
    </row>
    <row r="469" spans="1:9" x14ac:dyDescent="0.2">
      <c r="A469" s="11" t="s">
        <v>463</v>
      </c>
      <c r="B469" s="14" t="s">
        <v>19</v>
      </c>
      <c r="C469" s="11" t="s">
        <v>145</v>
      </c>
      <c r="D469" s="11" t="s">
        <v>29</v>
      </c>
      <c r="E469" s="20">
        <v>37862</v>
      </c>
      <c r="F469" s="2">
        <f t="shared" ca="1" si="8"/>
        <v>15</v>
      </c>
      <c r="G469" s="17" t="s">
        <v>71</v>
      </c>
      <c r="H469" s="41">
        <v>107474</v>
      </c>
      <c r="I469" s="19">
        <v>2</v>
      </c>
    </row>
    <row r="470" spans="1:9" x14ac:dyDescent="0.2">
      <c r="A470" s="11" t="s">
        <v>431</v>
      </c>
      <c r="B470" s="14" t="s">
        <v>43</v>
      </c>
      <c r="C470" s="11" t="s">
        <v>20</v>
      </c>
      <c r="D470" s="11" t="s">
        <v>29</v>
      </c>
      <c r="E470" s="20">
        <v>35132</v>
      </c>
      <c r="F470" s="2">
        <f t="shared" ca="1" si="8"/>
        <v>23</v>
      </c>
      <c r="G470" s="17" t="s">
        <v>71</v>
      </c>
      <c r="H470" s="41">
        <v>67244</v>
      </c>
      <c r="I470" s="19">
        <v>2</v>
      </c>
    </row>
    <row r="471" spans="1:9" x14ac:dyDescent="0.2">
      <c r="A471" s="11" t="s">
        <v>898</v>
      </c>
      <c r="B471" s="14" t="s">
        <v>27</v>
      </c>
      <c r="C471" s="11" t="s">
        <v>214</v>
      </c>
      <c r="D471" s="11" t="s">
        <v>29</v>
      </c>
      <c r="E471" s="20">
        <v>38116</v>
      </c>
      <c r="F471" s="2">
        <f t="shared" ca="1" si="8"/>
        <v>15</v>
      </c>
      <c r="G471" s="17" t="s">
        <v>38</v>
      </c>
      <c r="H471" s="41">
        <v>50976</v>
      </c>
      <c r="I471" s="19">
        <v>2</v>
      </c>
    </row>
    <row r="472" spans="1:9" x14ac:dyDescent="0.2">
      <c r="A472" s="11" t="s">
        <v>1132</v>
      </c>
      <c r="B472" s="14" t="s">
        <v>19</v>
      </c>
      <c r="C472" s="11" t="s">
        <v>205</v>
      </c>
      <c r="D472" s="11" t="s">
        <v>29</v>
      </c>
      <c r="E472" s="20">
        <v>35169</v>
      </c>
      <c r="F472" s="2">
        <f t="shared" ca="1" si="8"/>
        <v>23</v>
      </c>
      <c r="G472" s="17" t="s">
        <v>47</v>
      </c>
      <c r="H472" s="41">
        <v>120339</v>
      </c>
      <c r="I472" s="19">
        <v>1</v>
      </c>
    </row>
    <row r="473" spans="1:9" x14ac:dyDescent="0.2">
      <c r="A473" s="11" t="s">
        <v>1040</v>
      </c>
      <c r="B473" s="14" t="s">
        <v>43</v>
      </c>
      <c r="C473" s="11" t="s">
        <v>214</v>
      </c>
      <c r="D473" s="11" t="s">
        <v>21</v>
      </c>
      <c r="E473" s="20">
        <v>41606</v>
      </c>
      <c r="F473" s="2">
        <f t="shared" ca="1" si="8"/>
        <v>5</v>
      </c>
      <c r="G473" s="17"/>
      <c r="H473" s="41">
        <v>81054</v>
      </c>
      <c r="I473" s="19">
        <v>5</v>
      </c>
    </row>
    <row r="474" spans="1:9" x14ac:dyDescent="0.2">
      <c r="A474" s="11" t="s">
        <v>699</v>
      </c>
      <c r="B474" s="14" t="s">
        <v>27</v>
      </c>
      <c r="C474" s="11" t="s">
        <v>62</v>
      </c>
      <c r="D474" s="11" t="s">
        <v>29</v>
      </c>
      <c r="E474" s="20">
        <v>35615</v>
      </c>
      <c r="F474" s="2">
        <f t="shared" ca="1" si="8"/>
        <v>21</v>
      </c>
      <c r="G474" s="17" t="s">
        <v>47</v>
      </c>
      <c r="H474" s="41">
        <v>107676</v>
      </c>
      <c r="I474" s="19">
        <v>5</v>
      </c>
    </row>
    <row r="475" spans="1:9" x14ac:dyDescent="0.2">
      <c r="A475" s="11" t="s">
        <v>126</v>
      </c>
      <c r="B475" s="14" t="s">
        <v>83</v>
      </c>
      <c r="C475" s="11" t="s">
        <v>152</v>
      </c>
      <c r="D475" s="11" t="s">
        <v>29</v>
      </c>
      <c r="E475" s="20">
        <v>41463</v>
      </c>
      <c r="F475" s="2">
        <f t="shared" ca="1" si="8"/>
        <v>5</v>
      </c>
      <c r="G475" s="17" t="s">
        <v>47</v>
      </c>
      <c r="H475" s="41">
        <v>30807</v>
      </c>
      <c r="I475" s="19">
        <v>5</v>
      </c>
    </row>
    <row r="476" spans="1:9" x14ac:dyDescent="0.2">
      <c r="A476" s="11" t="s">
        <v>986</v>
      </c>
      <c r="B476" s="14" t="s">
        <v>19</v>
      </c>
      <c r="C476" s="11" t="s">
        <v>136</v>
      </c>
      <c r="D476" s="11" t="s">
        <v>21</v>
      </c>
      <c r="E476" s="20">
        <v>36510</v>
      </c>
      <c r="F476" s="2">
        <f t="shared" ca="1" si="8"/>
        <v>19</v>
      </c>
      <c r="G476" s="17"/>
      <c r="H476" s="41">
        <v>44712</v>
      </c>
      <c r="I476" s="19">
        <v>2</v>
      </c>
    </row>
    <row r="477" spans="1:9" x14ac:dyDescent="0.2">
      <c r="A477" s="11" t="s">
        <v>1088</v>
      </c>
      <c r="B477" s="14" t="s">
        <v>43</v>
      </c>
      <c r="C477" s="11" t="s">
        <v>52</v>
      </c>
      <c r="D477" s="11" t="s">
        <v>29</v>
      </c>
      <c r="E477" s="20">
        <v>35231</v>
      </c>
      <c r="F477" s="2">
        <f t="shared" ca="1" si="8"/>
        <v>22</v>
      </c>
      <c r="G477" s="17" t="s">
        <v>30</v>
      </c>
      <c r="H477" s="41">
        <v>50787</v>
      </c>
      <c r="I477" s="19">
        <v>5</v>
      </c>
    </row>
    <row r="478" spans="1:9" x14ac:dyDescent="0.2">
      <c r="A478" s="11" t="s">
        <v>1032</v>
      </c>
      <c r="B478" s="14" t="s">
        <v>19</v>
      </c>
      <c r="C478" s="11" t="s">
        <v>254</v>
      </c>
      <c r="D478" s="11" t="s">
        <v>29</v>
      </c>
      <c r="E478" s="20">
        <v>35665</v>
      </c>
      <c r="F478" s="2">
        <f t="shared" ca="1" si="8"/>
        <v>21</v>
      </c>
      <c r="G478" s="17" t="s">
        <v>71</v>
      </c>
      <c r="H478" s="41">
        <v>63329</v>
      </c>
      <c r="I478" s="19">
        <v>3</v>
      </c>
    </row>
    <row r="479" spans="1:9" x14ac:dyDescent="0.2">
      <c r="A479" s="11" t="s">
        <v>632</v>
      </c>
      <c r="B479" s="14" t="s">
        <v>43</v>
      </c>
      <c r="C479" s="11" t="s">
        <v>214</v>
      </c>
      <c r="D479" s="11" t="s">
        <v>29</v>
      </c>
      <c r="E479" s="20">
        <v>37722</v>
      </c>
      <c r="F479" s="2">
        <f t="shared" ca="1" si="8"/>
        <v>16</v>
      </c>
      <c r="G479" s="17" t="s">
        <v>38</v>
      </c>
      <c r="H479" s="41">
        <v>74858</v>
      </c>
      <c r="I479" s="19">
        <v>5</v>
      </c>
    </row>
    <row r="480" spans="1:9" x14ac:dyDescent="0.2">
      <c r="A480" s="11" t="s">
        <v>492</v>
      </c>
      <c r="B480" s="14" t="s">
        <v>19</v>
      </c>
      <c r="C480" s="11" t="s">
        <v>86</v>
      </c>
      <c r="D480" s="11" t="s">
        <v>80</v>
      </c>
      <c r="E480" s="20">
        <v>42135</v>
      </c>
      <c r="F480" s="2">
        <f t="shared" ca="1" si="8"/>
        <v>4</v>
      </c>
      <c r="G480" s="17" t="s">
        <v>30</v>
      </c>
      <c r="H480" s="41">
        <v>27054</v>
      </c>
      <c r="I480" s="19">
        <v>3</v>
      </c>
    </row>
    <row r="481" spans="1:9" x14ac:dyDescent="0.2">
      <c r="A481" s="11" t="s">
        <v>807</v>
      </c>
      <c r="B481" s="14" t="s">
        <v>27</v>
      </c>
      <c r="C481" s="11" t="s">
        <v>152</v>
      </c>
      <c r="D481" s="11" t="s">
        <v>29</v>
      </c>
      <c r="E481" s="20">
        <v>41067</v>
      </c>
      <c r="F481" s="2">
        <f t="shared" ca="1" si="8"/>
        <v>6</v>
      </c>
      <c r="G481" s="17" t="s">
        <v>47</v>
      </c>
      <c r="H481" s="41">
        <v>33723</v>
      </c>
      <c r="I481" s="19">
        <v>3</v>
      </c>
    </row>
    <row r="482" spans="1:9" x14ac:dyDescent="0.2">
      <c r="A482" s="11" t="s">
        <v>1110</v>
      </c>
      <c r="B482" s="14" t="s">
        <v>51</v>
      </c>
      <c r="C482" s="11" t="s">
        <v>59</v>
      </c>
      <c r="D482" s="11" t="s">
        <v>29</v>
      </c>
      <c r="E482" s="20">
        <v>37866</v>
      </c>
      <c r="F482" s="2">
        <f t="shared" ca="1" si="8"/>
        <v>15</v>
      </c>
      <c r="G482" s="17" t="s">
        <v>30</v>
      </c>
      <c r="H482" s="41">
        <v>111240</v>
      </c>
      <c r="I482" s="19">
        <v>2</v>
      </c>
    </row>
    <row r="483" spans="1:9" x14ac:dyDescent="0.2">
      <c r="A483" s="11" t="s">
        <v>767</v>
      </c>
      <c r="B483" s="14" t="s">
        <v>19</v>
      </c>
      <c r="C483" s="11" t="s">
        <v>136</v>
      </c>
      <c r="D483" s="11" t="s">
        <v>29</v>
      </c>
      <c r="E483" s="20">
        <v>38320</v>
      </c>
      <c r="F483" s="2">
        <f t="shared" ca="1" si="8"/>
        <v>14</v>
      </c>
      <c r="G483" s="17" t="s">
        <v>47</v>
      </c>
      <c r="H483" s="41">
        <v>84240</v>
      </c>
      <c r="I483" s="19">
        <v>4</v>
      </c>
    </row>
    <row r="484" spans="1:9" x14ac:dyDescent="0.2">
      <c r="A484" s="11" t="s">
        <v>1446</v>
      </c>
      <c r="B484" s="14" t="s">
        <v>36</v>
      </c>
      <c r="C484" s="11" t="s">
        <v>478</v>
      </c>
      <c r="D484" s="11" t="s">
        <v>21</v>
      </c>
      <c r="E484" s="20">
        <v>42076</v>
      </c>
      <c r="F484" s="2">
        <f t="shared" ca="1" si="8"/>
        <v>4</v>
      </c>
      <c r="G484" s="17"/>
      <c r="H484" s="41">
        <v>83552</v>
      </c>
      <c r="I484" s="19">
        <v>2</v>
      </c>
    </row>
    <row r="485" spans="1:9" x14ac:dyDescent="0.2">
      <c r="A485" s="11" t="s">
        <v>441</v>
      </c>
      <c r="B485" s="14" t="s">
        <v>27</v>
      </c>
      <c r="C485" s="11" t="s">
        <v>145</v>
      </c>
      <c r="D485" s="11" t="s">
        <v>80</v>
      </c>
      <c r="E485" s="20">
        <v>38207</v>
      </c>
      <c r="F485" s="2">
        <f t="shared" ca="1" si="8"/>
        <v>14</v>
      </c>
      <c r="G485" s="17" t="s">
        <v>71</v>
      </c>
      <c r="H485" s="41">
        <v>63923</v>
      </c>
      <c r="I485" s="19">
        <v>1</v>
      </c>
    </row>
    <row r="486" spans="1:9" x14ac:dyDescent="0.2">
      <c r="A486" s="11" t="s">
        <v>1466</v>
      </c>
      <c r="B486" s="14" t="s">
        <v>27</v>
      </c>
      <c r="C486" s="11" t="s">
        <v>136</v>
      </c>
      <c r="D486" s="11" t="s">
        <v>29</v>
      </c>
      <c r="E486" s="20">
        <v>37400</v>
      </c>
      <c r="F486" s="2">
        <f t="shared" ca="1" si="8"/>
        <v>17</v>
      </c>
      <c r="G486" s="17" t="s">
        <v>30</v>
      </c>
      <c r="H486" s="41">
        <v>45981</v>
      </c>
      <c r="I486" s="19">
        <v>2</v>
      </c>
    </row>
    <row r="487" spans="1:9" x14ac:dyDescent="0.2">
      <c r="A487" s="11" t="s">
        <v>1346</v>
      </c>
      <c r="B487" s="14" t="s">
        <v>19</v>
      </c>
      <c r="C487" s="11" t="s">
        <v>214</v>
      </c>
      <c r="D487" s="11" t="s">
        <v>29</v>
      </c>
      <c r="E487" s="20">
        <v>37780</v>
      </c>
      <c r="F487" s="2">
        <f t="shared" ca="1" si="8"/>
        <v>15</v>
      </c>
      <c r="G487" s="17" t="s">
        <v>47</v>
      </c>
      <c r="H487" s="41">
        <v>54459</v>
      </c>
      <c r="I487" s="19">
        <v>2</v>
      </c>
    </row>
    <row r="488" spans="1:9" x14ac:dyDescent="0.2">
      <c r="A488" s="11" t="s">
        <v>634</v>
      </c>
      <c r="B488" s="14" t="s">
        <v>27</v>
      </c>
      <c r="C488" s="11" t="s">
        <v>249</v>
      </c>
      <c r="D488" s="11" t="s">
        <v>21</v>
      </c>
      <c r="E488" s="20">
        <v>39587</v>
      </c>
      <c r="F488" s="2">
        <f t="shared" ca="1" si="8"/>
        <v>11</v>
      </c>
      <c r="G488" s="17"/>
      <c r="H488" s="41">
        <v>105435</v>
      </c>
      <c r="I488" s="19">
        <v>3</v>
      </c>
    </row>
    <row r="489" spans="1:9" x14ac:dyDescent="0.2">
      <c r="A489" s="11" t="s">
        <v>1744</v>
      </c>
      <c r="B489" s="14" t="s">
        <v>51</v>
      </c>
      <c r="C489" s="11" t="s">
        <v>86</v>
      </c>
      <c r="D489" s="11" t="s">
        <v>21</v>
      </c>
      <c r="E489" s="20">
        <v>40280</v>
      </c>
      <c r="F489" s="2">
        <f t="shared" ca="1" si="8"/>
        <v>9</v>
      </c>
      <c r="G489" s="17"/>
      <c r="H489" s="41">
        <v>77652</v>
      </c>
      <c r="I489" s="19">
        <v>3</v>
      </c>
    </row>
    <row r="490" spans="1:9" x14ac:dyDescent="0.2">
      <c r="A490" s="11" t="s">
        <v>1184</v>
      </c>
      <c r="B490" s="14" t="s">
        <v>36</v>
      </c>
      <c r="C490" s="11" t="s">
        <v>152</v>
      </c>
      <c r="D490" s="11" t="s">
        <v>29</v>
      </c>
      <c r="E490" s="20">
        <v>35705</v>
      </c>
      <c r="F490" s="2">
        <f t="shared" ca="1" si="8"/>
        <v>21</v>
      </c>
      <c r="G490" s="17" t="s">
        <v>38</v>
      </c>
      <c r="H490" s="41">
        <v>43416</v>
      </c>
      <c r="I490" s="19">
        <v>3</v>
      </c>
    </row>
    <row r="491" spans="1:9" x14ac:dyDescent="0.2">
      <c r="A491" s="11" t="s">
        <v>645</v>
      </c>
      <c r="B491" s="14" t="s">
        <v>19</v>
      </c>
      <c r="C491" s="11" t="s">
        <v>249</v>
      </c>
      <c r="D491" s="11" t="s">
        <v>21</v>
      </c>
      <c r="E491" s="20">
        <v>42156</v>
      </c>
      <c r="F491" s="2">
        <f t="shared" ca="1" si="8"/>
        <v>4</v>
      </c>
      <c r="G491" s="17"/>
      <c r="H491" s="41">
        <v>101385</v>
      </c>
      <c r="I491" s="19">
        <v>4</v>
      </c>
    </row>
    <row r="492" spans="1:9" x14ac:dyDescent="0.2">
      <c r="A492" s="11" t="s">
        <v>753</v>
      </c>
      <c r="B492" s="14" t="s">
        <v>36</v>
      </c>
      <c r="C492" s="11" t="s">
        <v>52</v>
      </c>
      <c r="D492" s="11" t="s">
        <v>29</v>
      </c>
      <c r="E492" s="20">
        <v>39396</v>
      </c>
      <c r="F492" s="2">
        <f t="shared" ca="1" si="8"/>
        <v>11</v>
      </c>
      <c r="G492" s="17" t="s">
        <v>38</v>
      </c>
      <c r="H492" s="41">
        <v>53649</v>
      </c>
      <c r="I492" s="19">
        <v>1</v>
      </c>
    </row>
    <row r="493" spans="1:9" x14ac:dyDescent="0.2">
      <c r="A493" s="11" t="s">
        <v>437</v>
      </c>
      <c r="B493" s="14" t="s">
        <v>27</v>
      </c>
      <c r="C493" s="11" t="s">
        <v>214</v>
      </c>
      <c r="D493" s="11" t="s">
        <v>29</v>
      </c>
      <c r="E493" s="20">
        <v>38215</v>
      </c>
      <c r="F493" s="2">
        <f t="shared" ca="1" si="8"/>
        <v>14</v>
      </c>
      <c r="G493" s="17" t="s">
        <v>47</v>
      </c>
      <c r="H493" s="41">
        <v>48357</v>
      </c>
      <c r="I493" s="19">
        <v>2</v>
      </c>
    </row>
    <row r="494" spans="1:9" x14ac:dyDescent="0.2">
      <c r="A494" s="11" t="s">
        <v>1282</v>
      </c>
      <c r="B494" s="14" t="s">
        <v>27</v>
      </c>
      <c r="C494" s="11" t="s">
        <v>145</v>
      </c>
      <c r="D494" s="11" t="s">
        <v>29</v>
      </c>
      <c r="E494" s="20">
        <v>38096</v>
      </c>
      <c r="F494" s="2">
        <f t="shared" ca="1" si="8"/>
        <v>15</v>
      </c>
      <c r="G494" s="17" t="s">
        <v>47</v>
      </c>
      <c r="H494" s="41">
        <v>93420</v>
      </c>
      <c r="I494" s="19">
        <v>4</v>
      </c>
    </row>
    <row r="495" spans="1:9" x14ac:dyDescent="0.2">
      <c r="A495" s="11" t="s">
        <v>904</v>
      </c>
      <c r="B495" s="14" t="s">
        <v>51</v>
      </c>
      <c r="C495" s="11" t="s">
        <v>59</v>
      </c>
      <c r="D495" s="11" t="s">
        <v>29</v>
      </c>
      <c r="E495" s="20">
        <v>37773</v>
      </c>
      <c r="F495" s="2">
        <f t="shared" ca="1" si="8"/>
        <v>16</v>
      </c>
      <c r="G495" s="17" t="s">
        <v>87</v>
      </c>
      <c r="H495" s="41">
        <v>95864</v>
      </c>
      <c r="I495" s="19">
        <v>5</v>
      </c>
    </row>
    <row r="496" spans="1:9" x14ac:dyDescent="0.2">
      <c r="A496" s="11" t="s">
        <v>108</v>
      </c>
      <c r="B496" s="14" t="s">
        <v>19</v>
      </c>
      <c r="C496" s="11" t="s">
        <v>249</v>
      </c>
      <c r="D496" s="11" t="s">
        <v>56</v>
      </c>
      <c r="E496" s="20">
        <v>37868</v>
      </c>
      <c r="F496" s="2">
        <f t="shared" ca="1" si="8"/>
        <v>15</v>
      </c>
      <c r="G496" s="17"/>
      <c r="H496" s="41">
        <v>29252</v>
      </c>
      <c r="I496" s="19">
        <v>4</v>
      </c>
    </row>
    <row r="497" spans="1:9" x14ac:dyDescent="0.2">
      <c r="A497" s="11" t="s">
        <v>906</v>
      </c>
      <c r="B497" s="14" t="s">
        <v>19</v>
      </c>
      <c r="C497" s="11" t="s">
        <v>152</v>
      </c>
      <c r="D497" s="11" t="s">
        <v>21</v>
      </c>
      <c r="E497" s="20">
        <v>36507</v>
      </c>
      <c r="F497" s="2">
        <f t="shared" ca="1" si="8"/>
        <v>19</v>
      </c>
      <c r="G497" s="17"/>
      <c r="H497" s="41">
        <v>86755</v>
      </c>
      <c r="I497" s="19">
        <v>3</v>
      </c>
    </row>
    <row r="498" spans="1:9" x14ac:dyDescent="0.2">
      <c r="A498" s="11" t="s">
        <v>1416</v>
      </c>
      <c r="B498" s="14" t="s">
        <v>83</v>
      </c>
      <c r="C498" s="11" t="s">
        <v>214</v>
      </c>
      <c r="D498" s="11" t="s">
        <v>29</v>
      </c>
      <c r="E498" s="20">
        <v>41756</v>
      </c>
      <c r="F498" s="2">
        <f t="shared" ca="1" si="8"/>
        <v>5</v>
      </c>
      <c r="G498" s="17" t="s">
        <v>47</v>
      </c>
      <c r="H498" s="41">
        <v>105530</v>
      </c>
      <c r="I498" s="19">
        <v>5</v>
      </c>
    </row>
    <row r="499" spans="1:9" x14ac:dyDescent="0.2">
      <c r="A499" s="11" t="s">
        <v>1104</v>
      </c>
      <c r="B499" s="14" t="s">
        <v>43</v>
      </c>
      <c r="C499" s="11" t="s">
        <v>62</v>
      </c>
      <c r="D499" s="11" t="s">
        <v>29</v>
      </c>
      <c r="E499" s="20">
        <v>41488</v>
      </c>
      <c r="F499" s="2">
        <f t="shared" ca="1" si="8"/>
        <v>5</v>
      </c>
      <c r="G499" s="17" t="s">
        <v>71</v>
      </c>
      <c r="H499" s="41">
        <v>78692</v>
      </c>
      <c r="I499" s="19">
        <v>5</v>
      </c>
    </row>
    <row r="500" spans="1:9" x14ac:dyDescent="0.2">
      <c r="A500" s="11" t="s">
        <v>1338</v>
      </c>
      <c r="B500" s="14" t="s">
        <v>43</v>
      </c>
      <c r="C500" s="11" t="s">
        <v>86</v>
      </c>
      <c r="D500" s="11" t="s">
        <v>29</v>
      </c>
      <c r="E500" s="20">
        <v>37004</v>
      </c>
      <c r="F500" s="2">
        <f t="shared" ca="1" si="8"/>
        <v>18</v>
      </c>
      <c r="G500" s="17" t="s">
        <v>38</v>
      </c>
      <c r="H500" s="41">
        <v>95148</v>
      </c>
      <c r="I500" s="19">
        <v>4</v>
      </c>
    </row>
    <row r="501" spans="1:9" x14ac:dyDescent="0.2">
      <c r="A501" s="11" t="s">
        <v>447</v>
      </c>
      <c r="B501" s="14" t="s">
        <v>19</v>
      </c>
      <c r="C501" s="11" t="s">
        <v>214</v>
      </c>
      <c r="D501" s="11" t="s">
        <v>29</v>
      </c>
      <c r="E501" s="20">
        <v>39727</v>
      </c>
      <c r="F501" s="2">
        <f t="shared" ca="1" si="8"/>
        <v>10</v>
      </c>
      <c r="G501" s="17" t="s">
        <v>47</v>
      </c>
      <c r="H501" s="41">
        <v>101488</v>
      </c>
      <c r="I501" s="19">
        <v>3</v>
      </c>
    </row>
    <row r="502" spans="1:9" x14ac:dyDescent="0.2">
      <c r="A502" s="11" t="s">
        <v>248</v>
      </c>
      <c r="B502" s="14" t="s">
        <v>27</v>
      </c>
      <c r="C502" s="11" t="s">
        <v>52</v>
      </c>
      <c r="D502" s="11" t="s">
        <v>56</v>
      </c>
      <c r="E502" s="20">
        <v>37457</v>
      </c>
      <c r="F502" s="2">
        <f t="shared" ca="1" si="8"/>
        <v>16</v>
      </c>
      <c r="G502" s="17"/>
      <c r="H502" s="41">
        <v>17113</v>
      </c>
      <c r="I502" s="19">
        <v>2</v>
      </c>
    </row>
    <row r="503" spans="1:9" x14ac:dyDescent="0.2">
      <c r="A503" s="11" t="s">
        <v>803</v>
      </c>
      <c r="B503" s="14" t="s">
        <v>43</v>
      </c>
      <c r="C503" s="11" t="s">
        <v>136</v>
      </c>
      <c r="D503" s="11" t="s">
        <v>21</v>
      </c>
      <c r="E503" s="20">
        <v>42194</v>
      </c>
      <c r="F503" s="2">
        <f t="shared" ca="1" si="8"/>
        <v>3</v>
      </c>
      <c r="G503" s="17"/>
      <c r="H503" s="41">
        <v>77868</v>
      </c>
      <c r="I503" s="19">
        <v>4</v>
      </c>
    </row>
    <row r="504" spans="1:9" x14ac:dyDescent="0.2">
      <c r="A504" s="11" t="s">
        <v>1348</v>
      </c>
      <c r="B504" s="14" t="s">
        <v>27</v>
      </c>
      <c r="C504" s="11" t="s">
        <v>214</v>
      </c>
      <c r="D504" s="11" t="s">
        <v>56</v>
      </c>
      <c r="E504" s="20">
        <v>37766</v>
      </c>
      <c r="F504" s="2">
        <f t="shared" ca="1" si="8"/>
        <v>16</v>
      </c>
      <c r="G504" s="17"/>
      <c r="H504" s="41">
        <v>12020</v>
      </c>
      <c r="I504" s="19">
        <v>3</v>
      </c>
    </row>
    <row r="505" spans="1:9" x14ac:dyDescent="0.2">
      <c r="A505" s="11" t="s">
        <v>1328</v>
      </c>
      <c r="B505" s="14" t="s">
        <v>36</v>
      </c>
      <c r="C505" s="11" t="s">
        <v>101</v>
      </c>
      <c r="D505" s="11" t="s">
        <v>29</v>
      </c>
      <c r="E505" s="20">
        <v>35297</v>
      </c>
      <c r="F505" s="2">
        <f t="shared" ca="1" si="8"/>
        <v>22</v>
      </c>
      <c r="G505" s="17" t="s">
        <v>38</v>
      </c>
      <c r="H505" s="41">
        <v>60156</v>
      </c>
      <c r="I505" s="19">
        <v>2</v>
      </c>
    </row>
    <row r="506" spans="1:9" x14ac:dyDescent="0.2">
      <c r="A506" s="11" t="s">
        <v>1284</v>
      </c>
      <c r="B506" s="14" t="s">
        <v>19</v>
      </c>
      <c r="C506" s="11" t="s">
        <v>205</v>
      </c>
      <c r="D506" s="11" t="s">
        <v>56</v>
      </c>
      <c r="E506" s="20">
        <v>38303</v>
      </c>
      <c r="F506" s="2">
        <f t="shared" ca="1" si="8"/>
        <v>14</v>
      </c>
      <c r="G506" s="17" t="s">
        <v>30</v>
      </c>
      <c r="H506" s="41">
        <v>83511</v>
      </c>
      <c r="I506" s="19">
        <v>5</v>
      </c>
    </row>
    <row r="507" spans="1:9" x14ac:dyDescent="0.2">
      <c r="A507" s="11" t="s">
        <v>317</v>
      </c>
      <c r="B507" s="14" t="s">
        <v>43</v>
      </c>
      <c r="C507" s="11" t="s">
        <v>86</v>
      </c>
      <c r="D507" s="11" t="s">
        <v>29</v>
      </c>
      <c r="E507" s="20">
        <v>35486</v>
      </c>
      <c r="F507" s="2">
        <f t="shared" ca="1" si="8"/>
        <v>22</v>
      </c>
      <c r="G507" s="17" t="s">
        <v>47</v>
      </c>
      <c r="H507" s="41">
        <v>49977</v>
      </c>
      <c r="I507" s="19">
        <v>2</v>
      </c>
    </row>
    <row r="508" spans="1:9" x14ac:dyDescent="0.2">
      <c r="A508" s="11" t="s">
        <v>1546</v>
      </c>
      <c r="B508" s="14" t="s">
        <v>36</v>
      </c>
      <c r="C508" s="11" t="s">
        <v>214</v>
      </c>
      <c r="D508" s="11" t="s">
        <v>29</v>
      </c>
      <c r="E508" s="20">
        <v>41239</v>
      </c>
      <c r="F508" s="2">
        <f t="shared" ca="1" si="8"/>
        <v>6</v>
      </c>
      <c r="G508" s="17" t="s">
        <v>30</v>
      </c>
      <c r="H508" s="41">
        <v>80217</v>
      </c>
      <c r="I508" s="19">
        <v>4</v>
      </c>
    </row>
    <row r="509" spans="1:9" x14ac:dyDescent="0.2">
      <c r="A509" s="11" t="s">
        <v>18</v>
      </c>
      <c r="B509" s="14" t="s">
        <v>27</v>
      </c>
      <c r="C509" s="11" t="s">
        <v>214</v>
      </c>
      <c r="D509" s="11" t="s">
        <v>29</v>
      </c>
      <c r="E509" s="20">
        <v>38102</v>
      </c>
      <c r="F509" s="2">
        <f t="shared" ca="1" si="8"/>
        <v>15</v>
      </c>
      <c r="G509" s="17" t="s">
        <v>30</v>
      </c>
      <c r="H509" s="41">
        <v>92813</v>
      </c>
      <c r="I509" s="19">
        <v>1</v>
      </c>
    </row>
    <row r="510" spans="1:9" x14ac:dyDescent="0.2">
      <c r="A510" s="11" t="s">
        <v>819</v>
      </c>
      <c r="B510" s="14" t="s">
        <v>19</v>
      </c>
      <c r="C510" s="11" t="s">
        <v>136</v>
      </c>
      <c r="D510" s="11" t="s">
        <v>21</v>
      </c>
      <c r="E510" s="20">
        <v>36262</v>
      </c>
      <c r="F510" s="2">
        <f t="shared" ca="1" si="8"/>
        <v>20</v>
      </c>
      <c r="G510" s="17"/>
      <c r="H510" s="41">
        <v>76478</v>
      </c>
      <c r="I510" s="19">
        <v>1</v>
      </c>
    </row>
    <row r="511" spans="1:9" x14ac:dyDescent="0.2">
      <c r="A511" s="11" t="s">
        <v>445</v>
      </c>
      <c r="B511" s="14" t="s">
        <v>51</v>
      </c>
      <c r="C511" s="11" t="s">
        <v>214</v>
      </c>
      <c r="D511" s="11" t="s">
        <v>29</v>
      </c>
      <c r="E511" s="20">
        <v>37982</v>
      </c>
      <c r="F511" s="2">
        <f t="shared" ca="1" si="8"/>
        <v>15</v>
      </c>
      <c r="G511" s="17" t="s">
        <v>71</v>
      </c>
      <c r="H511" s="41">
        <v>109890</v>
      </c>
      <c r="I511" s="19">
        <v>2</v>
      </c>
    </row>
    <row r="512" spans="1:9" x14ac:dyDescent="0.2">
      <c r="A512" s="11" t="s">
        <v>1310</v>
      </c>
      <c r="B512" s="14" t="s">
        <v>27</v>
      </c>
      <c r="C512" s="11" t="s">
        <v>214</v>
      </c>
      <c r="D512" s="11" t="s">
        <v>29</v>
      </c>
      <c r="E512" s="20">
        <v>40616</v>
      </c>
      <c r="F512" s="2">
        <f t="shared" ca="1" si="8"/>
        <v>8</v>
      </c>
      <c r="G512" s="17" t="s">
        <v>71</v>
      </c>
      <c r="H512" s="41">
        <v>39717</v>
      </c>
      <c r="I512" s="19">
        <v>5</v>
      </c>
    </row>
    <row r="513" spans="1:9" x14ac:dyDescent="0.2">
      <c r="A513" s="11" t="s">
        <v>350</v>
      </c>
      <c r="B513" s="14" t="s">
        <v>27</v>
      </c>
      <c r="C513" s="11" t="s">
        <v>28</v>
      </c>
      <c r="D513" s="11" t="s">
        <v>29</v>
      </c>
      <c r="E513" s="20">
        <v>40931</v>
      </c>
      <c r="F513" s="2">
        <f t="shared" ca="1" si="8"/>
        <v>7</v>
      </c>
      <c r="G513" s="17" t="s">
        <v>30</v>
      </c>
      <c r="H513" s="41">
        <v>58968</v>
      </c>
      <c r="I513" s="19">
        <v>5</v>
      </c>
    </row>
    <row r="514" spans="1:9" x14ac:dyDescent="0.2">
      <c r="A514" s="11" t="s">
        <v>417</v>
      </c>
      <c r="B514" s="14" t="s">
        <v>27</v>
      </c>
      <c r="C514" s="11" t="s">
        <v>214</v>
      </c>
      <c r="D514" s="11" t="s">
        <v>29</v>
      </c>
      <c r="E514" s="20">
        <v>42387</v>
      </c>
      <c r="F514" s="2">
        <f t="shared" ca="1" si="8"/>
        <v>3</v>
      </c>
      <c r="G514" s="17" t="s">
        <v>38</v>
      </c>
      <c r="H514" s="41">
        <v>59751</v>
      </c>
      <c r="I514" s="19">
        <v>1</v>
      </c>
    </row>
    <row r="515" spans="1:9" x14ac:dyDescent="0.2">
      <c r="A515" s="11" t="s">
        <v>1004</v>
      </c>
      <c r="B515" s="14" t="s">
        <v>51</v>
      </c>
      <c r="C515" s="11" t="s">
        <v>136</v>
      </c>
      <c r="D515" s="11" t="s">
        <v>29</v>
      </c>
      <c r="E515" s="20">
        <v>37702</v>
      </c>
      <c r="F515" s="2">
        <f t="shared" ref="F515:F578" ca="1" si="9">DATEDIF(E515,TODAY(),"Y")</f>
        <v>16</v>
      </c>
      <c r="G515" s="17" t="s">
        <v>87</v>
      </c>
      <c r="H515" s="41">
        <v>99549</v>
      </c>
      <c r="I515" s="19">
        <v>4</v>
      </c>
    </row>
    <row r="516" spans="1:9" x14ac:dyDescent="0.2">
      <c r="A516" s="11" t="s">
        <v>1200</v>
      </c>
      <c r="B516" s="14" t="s">
        <v>19</v>
      </c>
      <c r="C516" s="11" t="s">
        <v>214</v>
      </c>
      <c r="D516" s="11" t="s">
        <v>21</v>
      </c>
      <c r="E516" s="20">
        <v>37163</v>
      </c>
      <c r="F516" s="2">
        <f t="shared" ca="1" si="9"/>
        <v>17</v>
      </c>
      <c r="G516" s="17"/>
      <c r="H516" s="41">
        <v>89114</v>
      </c>
      <c r="I516" s="19">
        <v>2</v>
      </c>
    </row>
    <row r="517" spans="1:9" x14ac:dyDescent="0.2">
      <c r="A517" s="11" t="s">
        <v>354</v>
      </c>
      <c r="B517" s="14" t="s">
        <v>19</v>
      </c>
      <c r="C517" s="11" t="s">
        <v>136</v>
      </c>
      <c r="D517" s="11" t="s">
        <v>21</v>
      </c>
      <c r="E517" s="20">
        <v>35186</v>
      </c>
      <c r="F517" s="2">
        <f t="shared" ca="1" si="9"/>
        <v>23</v>
      </c>
      <c r="G517" s="17"/>
      <c r="H517" s="41">
        <v>107163</v>
      </c>
      <c r="I517" s="19">
        <v>1</v>
      </c>
    </row>
    <row r="518" spans="1:9" x14ac:dyDescent="0.2">
      <c r="A518" s="11" t="s">
        <v>516</v>
      </c>
      <c r="B518" s="14" t="s">
        <v>19</v>
      </c>
      <c r="C518" s="11" t="s">
        <v>254</v>
      </c>
      <c r="D518" s="11" t="s">
        <v>56</v>
      </c>
      <c r="E518" s="20">
        <v>38113</v>
      </c>
      <c r="F518" s="2">
        <f t="shared" ca="1" si="9"/>
        <v>15</v>
      </c>
      <c r="G518" s="17"/>
      <c r="H518" s="41">
        <v>53681</v>
      </c>
      <c r="I518" s="19">
        <v>1</v>
      </c>
    </row>
    <row r="519" spans="1:9" x14ac:dyDescent="0.2">
      <c r="A519" s="11" t="s">
        <v>1500</v>
      </c>
      <c r="B519" s="14" t="s">
        <v>51</v>
      </c>
      <c r="C519" s="11" t="s">
        <v>104</v>
      </c>
      <c r="D519" s="11" t="s">
        <v>29</v>
      </c>
      <c r="E519" s="20">
        <v>39835</v>
      </c>
      <c r="F519" s="2">
        <f t="shared" ca="1" si="9"/>
        <v>10</v>
      </c>
      <c r="G519" s="17" t="s">
        <v>47</v>
      </c>
      <c r="H519" s="41">
        <v>40973</v>
      </c>
      <c r="I519" s="19">
        <v>1</v>
      </c>
    </row>
    <row r="520" spans="1:9" x14ac:dyDescent="0.2">
      <c r="A520" s="11" t="s">
        <v>94</v>
      </c>
      <c r="B520" s="14" t="s">
        <v>43</v>
      </c>
      <c r="C520" s="11" t="s">
        <v>86</v>
      </c>
      <c r="D520" s="11" t="s">
        <v>29</v>
      </c>
      <c r="E520" s="20">
        <v>35007</v>
      </c>
      <c r="F520" s="2">
        <f t="shared" ca="1" si="9"/>
        <v>23</v>
      </c>
      <c r="G520" s="17" t="s">
        <v>87</v>
      </c>
      <c r="H520" s="41">
        <v>42201</v>
      </c>
      <c r="I520" s="19">
        <v>5</v>
      </c>
    </row>
    <row r="521" spans="1:9" x14ac:dyDescent="0.2">
      <c r="A521" s="11" t="s">
        <v>910</v>
      </c>
      <c r="B521" s="14" t="s">
        <v>43</v>
      </c>
      <c r="C521" s="11" t="s">
        <v>864</v>
      </c>
      <c r="D521" s="11" t="s">
        <v>21</v>
      </c>
      <c r="E521" s="20">
        <v>36192</v>
      </c>
      <c r="F521" s="2">
        <f t="shared" ca="1" si="9"/>
        <v>20</v>
      </c>
      <c r="G521" s="17"/>
      <c r="H521" s="41">
        <v>96795</v>
      </c>
      <c r="I521" s="19">
        <v>2</v>
      </c>
    </row>
    <row r="522" spans="1:9" x14ac:dyDescent="0.2">
      <c r="A522" s="11" t="s">
        <v>855</v>
      </c>
      <c r="B522" s="14" t="s">
        <v>43</v>
      </c>
      <c r="C522" s="11" t="s">
        <v>20</v>
      </c>
      <c r="D522" s="11" t="s">
        <v>29</v>
      </c>
      <c r="E522" s="20">
        <v>37451</v>
      </c>
      <c r="F522" s="2">
        <f t="shared" ca="1" si="9"/>
        <v>16</v>
      </c>
      <c r="G522" s="17" t="s">
        <v>47</v>
      </c>
      <c r="H522" s="41">
        <v>55242</v>
      </c>
      <c r="I522" s="19">
        <v>4</v>
      </c>
    </row>
    <row r="523" spans="1:9" x14ac:dyDescent="0.2">
      <c r="A523" s="11" t="s">
        <v>55</v>
      </c>
      <c r="B523" s="14" t="s">
        <v>43</v>
      </c>
      <c r="C523" s="11" t="s">
        <v>59</v>
      </c>
      <c r="D523" s="11" t="s">
        <v>21</v>
      </c>
      <c r="E523" s="20">
        <v>35945</v>
      </c>
      <c r="F523" s="2">
        <f t="shared" ca="1" si="9"/>
        <v>21</v>
      </c>
      <c r="G523" s="17"/>
      <c r="H523" s="41">
        <v>86522</v>
      </c>
      <c r="I523" s="19">
        <v>2</v>
      </c>
    </row>
    <row r="524" spans="1:9" x14ac:dyDescent="0.2">
      <c r="A524" s="11" t="s">
        <v>960</v>
      </c>
      <c r="B524" s="14" t="s">
        <v>83</v>
      </c>
      <c r="C524" s="11" t="s">
        <v>136</v>
      </c>
      <c r="D524" s="11" t="s">
        <v>29</v>
      </c>
      <c r="E524" s="20">
        <v>39632</v>
      </c>
      <c r="F524" s="2">
        <f t="shared" ca="1" si="9"/>
        <v>10</v>
      </c>
      <c r="G524" s="17" t="s">
        <v>87</v>
      </c>
      <c r="H524" s="41">
        <v>103829</v>
      </c>
      <c r="I524" s="19">
        <v>2</v>
      </c>
    </row>
    <row r="525" spans="1:9" x14ac:dyDescent="0.2">
      <c r="A525" s="11" t="s">
        <v>323</v>
      </c>
      <c r="B525" s="14" t="s">
        <v>36</v>
      </c>
      <c r="C525" s="11" t="s">
        <v>20</v>
      </c>
      <c r="D525" s="11" t="s">
        <v>29</v>
      </c>
      <c r="E525" s="20">
        <v>36780</v>
      </c>
      <c r="F525" s="2">
        <f t="shared" ca="1" si="9"/>
        <v>18</v>
      </c>
      <c r="G525" s="17" t="s">
        <v>47</v>
      </c>
      <c r="H525" s="41">
        <v>91652</v>
      </c>
      <c r="I525" s="19">
        <v>5</v>
      </c>
    </row>
    <row r="526" spans="1:9" x14ac:dyDescent="0.2">
      <c r="A526" s="11" t="s">
        <v>164</v>
      </c>
      <c r="B526" s="14" t="s">
        <v>19</v>
      </c>
      <c r="C526" s="11" t="s">
        <v>152</v>
      </c>
      <c r="D526" s="11" t="s">
        <v>21</v>
      </c>
      <c r="E526" s="20">
        <v>35761</v>
      </c>
      <c r="F526" s="2">
        <f t="shared" ca="1" si="9"/>
        <v>21</v>
      </c>
      <c r="G526" s="17"/>
      <c r="H526" s="41">
        <v>85442</v>
      </c>
      <c r="I526" s="19">
        <v>5</v>
      </c>
    </row>
    <row r="527" spans="1:9" x14ac:dyDescent="0.2">
      <c r="A527" s="11" t="s">
        <v>1312</v>
      </c>
      <c r="B527" s="14" t="s">
        <v>36</v>
      </c>
      <c r="C527" s="11" t="s">
        <v>20</v>
      </c>
      <c r="D527" s="11" t="s">
        <v>80</v>
      </c>
      <c r="E527" s="20">
        <v>41586</v>
      </c>
      <c r="F527" s="2">
        <f t="shared" ca="1" si="9"/>
        <v>5</v>
      </c>
      <c r="G527" s="17" t="s">
        <v>71</v>
      </c>
      <c r="H527" s="41">
        <v>30422</v>
      </c>
      <c r="I527" s="19">
        <v>3</v>
      </c>
    </row>
    <row r="528" spans="1:9" x14ac:dyDescent="0.2">
      <c r="A528" s="11" t="s">
        <v>924</v>
      </c>
      <c r="B528" s="14" t="s">
        <v>43</v>
      </c>
      <c r="C528" s="11" t="s">
        <v>20</v>
      </c>
      <c r="D528" s="11" t="s">
        <v>21</v>
      </c>
      <c r="E528" s="20">
        <v>40824</v>
      </c>
      <c r="F528" s="2">
        <f t="shared" ca="1" si="9"/>
        <v>7</v>
      </c>
      <c r="G528" s="17"/>
      <c r="H528" s="41">
        <v>83903</v>
      </c>
      <c r="I528" s="19">
        <v>4</v>
      </c>
    </row>
    <row r="529" spans="1:9" x14ac:dyDescent="0.2">
      <c r="A529" s="11" t="s">
        <v>653</v>
      </c>
      <c r="B529" s="14" t="s">
        <v>27</v>
      </c>
      <c r="C529" s="11" t="s">
        <v>101</v>
      </c>
      <c r="D529" s="11" t="s">
        <v>29</v>
      </c>
      <c r="E529" s="20">
        <v>34970</v>
      </c>
      <c r="F529" s="2">
        <f t="shared" ca="1" si="9"/>
        <v>23</v>
      </c>
      <c r="G529" s="17" t="s">
        <v>47</v>
      </c>
      <c r="H529" s="41">
        <v>55269</v>
      </c>
      <c r="I529" s="19">
        <v>3</v>
      </c>
    </row>
    <row r="530" spans="1:9" x14ac:dyDescent="0.2">
      <c r="A530" s="11" t="s">
        <v>1020</v>
      </c>
      <c r="B530" s="14" t="s">
        <v>27</v>
      </c>
      <c r="C530" s="11" t="s">
        <v>152</v>
      </c>
      <c r="D530" s="11" t="s">
        <v>29</v>
      </c>
      <c r="E530" s="20">
        <v>38456</v>
      </c>
      <c r="F530" s="2">
        <f t="shared" ca="1" si="9"/>
        <v>14</v>
      </c>
      <c r="G530" s="17" t="s">
        <v>87</v>
      </c>
      <c r="H530" s="41">
        <v>88182</v>
      </c>
      <c r="I530" s="19">
        <v>5</v>
      </c>
    </row>
    <row r="531" spans="1:9" x14ac:dyDescent="0.2">
      <c r="A531" s="11" t="s">
        <v>1158</v>
      </c>
      <c r="B531" s="14" t="s">
        <v>83</v>
      </c>
      <c r="C531" s="11" t="s">
        <v>59</v>
      </c>
      <c r="D531" s="11" t="s">
        <v>29</v>
      </c>
      <c r="E531" s="20">
        <v>35656</v>
      </c>
      <c r="F531" s="2">
        <f t="shared" ca="1" si="9"/>
        <v>21</v>
      </c>
      <c r="G531" s="17" t="s">
        <v>47</v>
      </c>
      <c r="H531" s="41">
        <v>87089</v>
      </c>
      <c r="I531" s="19">
        <v>3</v>
      </c>
    </row>
    <row r="532" spans="1:9" x14ac:dyDescent="0.2">
      <c r="A532" s="11" t="s">
        <v>1476</v>
      </c>
      <c r="B532" s="14" t="s">
        <v>27</v>
      </c>
      <c r="C532" s="11" t="s">
        <v>478</v>
      </c>
      <c r="D532" s="11" t="s">
        <v>29</v>
      </c>
      <c r="E532" s="20">
        <v>39720</v>
      </c>
      <c r="F532" s="2">
        <f t="shared" ca="1" si="9"/>
        <v>10</v>
      </c>
      <c r="G532" s="17" t="s">
        <v>30</v>
      </c>
      <c r="H532" s="41">
        <v>72725</v>
      </c>
      <c r="I532" s="19">
        <v>2</v>
      </c>
    </row>
    <row r="533" spans="1:9" x14ac:dyDescent="0.2">
      <c r="A533" s="11" t="s">
        <v>592</v>
      </c>
      <c r="B533" s="14" t="s">
        <v>83</v>
      </c>
      <c r="C533" s="11" t="s">
        <v>152</v>
      </c>
      <c r="D533" s="11" t="s">
        <v>29</v>
      </c>
      <c r="E533" s="20">
        <v>41225</v>
      </c>
      <c r="F533" s="2">
        <f t="shared" ca="1" si="9"/>
        <v>6</v>
      </c>
      <c r="G533" s="17" t="s">
        <v>87</v>
      </c>
      <c r="H533" s="41">
        <v>92961</v>
      </c>
      <c r="I533" s="19">
        <v>2</v>
      </c>
    </row>
    <row r="534" spans="1:9" x14ac:dyDescent="0.2">
      <c r="A534" s="11" t="s">
        <v>667</v>
      </c>
      <c r="B534" s="14" t="s">
        <v>51</v>
      </c>
      <c r="C534" s="11" t="s">
        <v>214</v>
      </c>
      <c r="D534" s="11" t="s">
        <v>21</v>
      </c>
      <c r="E534" s="20">
        <v>40696</v>
      </c>
      <c r="F534" s="2">
        <f t="shared" ca="1" si="9"/>
        <v>8</v>
      </c>
      <c r="G534" s="17"/>
      <c r="H534" s="41">
        <v>108446</v>
      </c>
      <c r="I534" s="19">
        <v>4</v>
      </c>
    </row>
    <row r="535" spans="1:9" x14ac:dyDescent="0.2">
      <c r="A535" s="11" t="s">
        <v>1012</v>
      </c>
      <c r="B535" s="14" t="s">
        <v>19</v>
      </c>
      <c r="C535" s="11" t="s">
        <v>20</v>
      </c>
      <c r="D535" s="11" t="s">
        <v>21</v>
      </c>
      <c r="E535" s="20">
        <v>37632</v>
      </c>
      <c r="F535" s="2">
        <f t="shared" ca="1" si="9"/>
        <v>16</v>
      </c>
      <c r="G535" s="17"/>
      <c r="H535" s="41">
        <v>115398</v>
      </c>
      <c r="I535" s="19">
        <v>5</v>
      </c>
    </row>
    <row r="536" spans="1:9" x14ac:dyDescent="0.2">
      <c r="A536" s="11" t="s">
        <v>755</v>
      </c>
      <c r="B536" s="14" t="s">
        <v>83</v>
      </c>
      <c r="C536" s="11" t="s">
        <v>62</v>
      </c>
      <c r="D536" s="11" t="s">
        <v>56</v>
      </c>
      <c r="E536" s="20">
        <v>35266</v>
      </c>
      <c r="F536" s="2">
        <f t="shared" ca="1" si="9"/>
        <v>22</v>
      </c>
      <c r="G536" s="17" t="s">
        <v>47</v>
      </c>
      <c r="H536" s="41">
        <v>39245</v>
      </c>
      <c r="I536" s="19">
        <v>3</v>
      </c>
    </row>
    <row r="537" spans="1:9" x14ac:dyDescent="0.2">
      <c r="A537" s="11" t="s">
        <v>582</v>
      </c>
      <c r="B537" s="14" t="s">
        <v>19</v>
      </c>
      <c r="C537" s="11" t="s">
        <v>136</v>
      </c>
      <c r="D537" s="11" t="s">
        <v>29</v>
      </c>
      <c r="E537" s="20">
        <v>37872</v>
      </c>
      <c r="F537" s="2">
        <f t="shared" ca="1" si="9"/>
        <v>15</v>
      </c>
      <c r="G537" s="17" t="s">
        <v>38</v>
      </c>
      <c r="H537" s="41">
        <v>73683</v>
      </c>
      <c r="I537" s="19">
        <v>4</v>
      </c>
    </row>
    <row r="538" spans="1:9" x14ac:dyDescent="0.2">
      <c r="A538" s="11" t="s">
        <v>510</v>
      </c>
      <c r="B538" s="14" t="s">
        <v>83</v>
      </c>
      <c r="C538" s="11" t="s">
        <v>214</v>
      </c>
      <c r="D538" s="11" t="s">
        <v>21</v>
      </c>
      <c r="E538" s="20">
        <v>37795</v>
      </c>
      <c r="F538" s="2">
        <f t="shared" ca="1" si="9"/>
        <v>15</v>
      </c>
      <c r="G538" s="17"/>
      <c r="H538" s="41">
        <v>60818</v>
      </c>
      <c r="I538" s="19">
        <v>1</v>
      </c>
    </row>
    <row r="539" spans="1:9" x14ac:dyDescent="0.2">
      <c r="A539" s="11" t="s">
        <v>669</v>
      </c>
      <c r="B539" s="14" t="s">
        <v>19</v>
      </c>
      <c r="C539" s="11" t="s">
        <v>214</v>
      </c>
      <c r="D539" s="11" t="s">
        <v>21</v>
      </c>
      <c r="E539" s="20">
        <v>37235</v>
      </c>
      <c r="F539" s="2">
        <f t="shared" ca="1" si="9"/>
        <v>17</v>
      </c>
      <c r="G539" s="17"/>
      <c r="H539" s="41">
        <v>56903</v>
      </c>
      <c r="I539" s="19">
        <v>5</v>
      </c>
    </row>
    <row r="540" spans="1:9" x14ac:dyDescent="0.2">
      <c r="A540" s="11" t="s">
        <v>267</v>
      </c>
      <c r="B540" s="14" t="s">
        <v>27</v>
      </c>
      <c r="C540" s="11" t="s">
        <v>145</v>
      </c>
      <c r="D540" s="11" t="s">
        <v>29</v>
      </c>
      <c r="E540" s="20">
        <v>37281</v>
      </c>
      <c r="F540" s="2">
        <f t="shared" ca="1" si="9"/>
        <v>17</v>
      </c>
      <c r="G540" s="17" t="s">
        <v>47</v>
      </c>
      <c r="H540" s="41">
        <v>106259</v>
      </c>
      <c r="I540" s="19">
        <v>4</v>
      </c>
    </row>
    <row r="541" spans="1:9" x14ac:dyDescent="0.2">
      <c r="A541" s="11" t="s">
        <v>1206</v>
      </c>
      <c r="B541" s="14" t="s">
        <v>43</v>
      </c>
      <c r="C541" s="11" t="s">
        <v>145</v>
      </c>
      <c r="D541" s="11" t="s">
        <v>56</v>
      </c>
      <c r="E541" s="20">
        <v>37653</v>
      </c>
      <c r="F541" s="2">
        <f t="shared" ca="1" si="9"/>
        <v>16</v>
      </c>
      <c r="G541" s="17"/>
      <c r="H541" s="41">
        <v>24181</v>
      </c>
      <c r="I541" s="19">
        <v>5</v>
      </c>
    </row>
    <row r="542" spans="1:9" x14ac:dyDescent="0.2">
      <c r="A542" s="11" t="s">
        <v>886</v>
      </c>
      <c r="B542" s="14" t="s">
        <v>43</v>
      </c>
      <c r="C542" s="11" t="s">
        <v>214</v>
      </c>
      <c r="D542" s="11" t="s">
        <v>21</v>
      </c>
      <c r="E542" s="20">
        <v>35837</v>
      </c>
      <c r="F542" s="2">
        <f t="shared" ca="1" si="9"/>
        <v>21</v>
      </c>
      <c r="G542" s="17"/>
      <c r="H542" s="41">
        <v>106947</v>
      </c>
      <c r="I542" s="19">
        <v>4</v>
      </c>
    </row>
    <row r="543" spans="1:9" x14ac:dyDescent="0.2">
      <c r="A543" s="11" t="s">
        <v>352</v>
      </c>
      <c r="B543" s="14" t="s">
        <v>27</v>
      </c>
      <c r="C543" s="11" t="s">
        <v>136</v>
      </c>
      <c r="D543" s="11" t="s">
        <v>29</v>
      </c>
      <c r="E543" s="20">
        <v>41146</v>
      </c>
      <c r="F543" s="2">
        <f t="shared" ca="1" si="9"/>
        <v>6</v>
      </c>
      <c r="G543" s="17" t="s">
        <v>87</v>
      </c>
      <c r="H543" s="41">
        <v>56727</v>
      </c>
      <c r="I543" s="19">
        <v>5</v>
      </c>
    </row>
    <row r="544" spans="1:9" x14ac:dyDescent="0.2">
      <c r="A544" s="11" t="s">
        <v>1745</v>
      </c>
      <c r="B544" s="14" t="s">
        <v>19</v>
      </c>
      <c r="C544" s="11" t="s">
        <v>20</v>
      </c>
      <c r="D544" s="11" t="s">
        <v>80</v>
      </c>
      <c r="E544" s="20">
        <v>37626</v>
      </c>
      <c r="F544" s="2">
        <f t="shared" ca="1" si="9"/>
        <v>16</v>
      </c>
      <c r="G544" s="17" t="s">
        <v>71</v>
      </c>
      <c r="H544" s="41">
        <v>31563</v>
      </c>
      <c r="I544" s="19">
        <v>4</v>
      </c>
    </row>
    <row r="545" spans="1:9" x14ac:dyDescent="0.2">
      <c r="A545" s="11" t="s">
        <v>1398</v>
      </c>
      <c r="B545" s="14" t="s">
        <v>51</v>
      </c>
      <c r="C545" s="11" t="s">
        <v>20</v>
      </c>
      <c r="D545" s="11" t="s">
        <v>29</v>
      </c>
      <c r="E545" s="20">
        <v>36981</v>
      </c>
      <c r="F545" s="2">
        <f t="shared" ca="1" si="9"/>
        <v>18</v>
      </c>
      <c r="G545" s="17" t="s">
        <v>71</v>
      </c>
      <c r="H545" s="41">
        <v>110862</v>
      </c>
      <c r="I545" s="19">
        <v>5</v>
      </c>
    </row>
    <row r="546" spans="1:9" x14ac:dyDescent="0.2">
      <c r="A546" s="11" t="s">
        <v>976</v>
      </c>
      <c r="B546" s="14" t="s">
        <v>27</v>
      </c>
      <c r="C546" s="11" t="s">
        <v>214</v>
      </c>
      <c r="D546" s="11" t="s">
        <v>29</v>
      </c>
      <c r="E546" s="20">
        <v>37487</v>
      </c>
      <c r="F546" s="2">
        <f t="shared" ca="1" si="9"/>
        <v>16</v>
      </c>
      <c r="G546" s="17" t="s">
        <v>87</v>
      </c>
      <c r="H546" s="41">
        <v>89681</v>
      </c>
      <c r="I546" s="19">
        <v>2</v>
      </c>
    </row>
    <row r="547" spans="1:9" x14ac:dyDescent="0.2">
      <c r="A547" s="11" t="s">
        <v>938</v>
      </c>
      <c r="B547" s="14" t="s">
        <v>27</v>
      </c>
      <c r="C547" s="11" t="s">
        <v>59</v>
      </c>
      <c r="D547" s="11" t="s">
        <v>29</v>
      </c>
      <c r="E547" s="20">
        <v>35870</v>
      </c>
      <c r="F547" s="2">
        <f t="shared" ca="1" si="9"/>
        <v>21</v>
      </c>
      <c r="G547" s="17" t="s">
        <v>47</v>
      </c>
      <c r="H547" s="41">
        <v>42984</v>
      </c>
      <c r="I547" s="19">
        <v>1</v>
      </c>
    </row>
    <row r="548" spans="1:9" x14ac:dyDescent="0.2">
      <c r="A548" s="11" t="s">
        <v>275</v>
      </c>
      <c r="B548" s="14" t="s">
        <v>43</v>
      </c>
      <c r="C548" s="11" t="s">
        <v>20</v>
      </c>
      <c r="D548" s="11" t="s">
        <v>21</v>
      </c>
      <c r="E548" s="20">
        <v>40754</v>
      </c>
      <c r="F548" s="2">
        <f t="shared" ca="1" si="9"/>
        <v>7</v>
      </c>
      <c r="G548" s="17"/>
      <c r="H548" s="41">
        <v>112145</v>
      </c>
      <c r="I548" s="19">
        <v>3</v>
      </c>
    </row>
    <row r="549" spans="1:9" x14ac:dyDescent="0.2">
      <c r="A549" s="11" t="s">
        <v>50</v>
      </c>
      <c r="B549" s="14" t="s">
        <v>19</v>
      </c>
      <c r="C549" s="11" t="s">
        <v>214</v>
      </c>
      <c r="D549" s="11" t="s">
        <v>56</v>
      </c>
      <c r="E549" s="20">
        <v>38089</v>
      </c>
      <c r="F549" s="2">
        <f t="shared" ca="1" si="9"/>
        <v>15</v>
      </c>
      <c r="G549" s="17"/>
      <c r="H549" s="41">
        <v>12722</v>
      </c>
      <c r="I549" s="19">
        <v>4</v>
      </c>
    </row>
    <row r="550" spans="1:9" x14ac:dyDescent="0.2">
      <c r="A550" s="11" t="s">
        <v>524</v>
      </c>
      <c r="B550" s="14" t="s">
        <v>43</v>
      </c>
      <c r="C550" s="11" t="s">
        <v>86</v>
      </c>
      <c r="D550" s="11" t="s">
        <v>80</v>
      </c>
      <c r="E550" s="20">
        <v>38922</v>
      </c>
      <c r="F550" s="2">
        <f t="shared" ca="1" si="9"/>
        <v>12</v>
      </c>
      <c r="G550" s="17" t="s">
        <v>87</v>
      </c>
      <c r="H550" s="41">
        <v>41999</v>
      </c>
      <c r="I550" s="19">
        <v>1</v>
      </c>
    </row>
    <row r="551" spans="1:9" x14ac:dyDescent="0.2">
      <c r="A551" s="11" t="s">
        <v>1324</v>
      </c>
      <c r="B551" s="14" t="s">
        <v>83</v>
      </c>
      <c r="C551" s="11" t="s">
        <v>59</v>
      </c>
      <c r="D551" s="11" t="s">
        <v>29</v>
      </c>
      <c r="E551" s="20">
        <v>38198</v>
      </c>
      <c r="F551" s="2">
        <f t="shared" ca="1" si="9"/>
        <v>14</v>
      </c>
      <c r="G551" s="17" t="s">
        <v>71</v>
      </c>
      <c r="H551" s="41">
        <v>53568</v>
      </c>
      <c r="I551" s="19">
        <v>5</v>
      </c>
    </row>
    <row r="552" spans="1:9" x14ac:dyDescent="0.2">
      <c r="A552" s="11" t="s">
        <v>168</v>
      </c>
      <c r="B552" s="14" t="s">
        <v>19</v>
      </c>
      <c r="C552" s="11" t="s">
        <v>28</v>
      </c>
      <c r="D552" s="11" t="s">
        <v>80</v>
      </c>
      <c r="E552" s="20">
        <v>42300</v>
      </c>
      <c r="F552" s="2">
        <f t="shared" ca="1" si="9"/>
        <v>3</v>
      </c>
      <c r="G552" s="17" t="s">
        <v>30</v>
      </c>
      <c r="H552" s="41">
        <v>38644</v>
      </c>
      <c r="I552" s="19">
        <v>1</v>
      </c>
    </row>
    <row r="553" spans="1:9" x14ac:dyDescent="0.2">
      <c r="A553" s="11" t="s">
        <v>779</v>
      </c>
      <c r="B553" s="14" t="s">
        <v>27</v>
      </c>
      <c r="C553" s="11" t="s">
        <v>145</v>
      </c>
      <c r="D553" s="11" t="s">
        <v>29</v>
      </c>
      <c r="E553" s="20">
        <v>38029</v>
      </c>
      <c r="F553" s="2">
        <f t="shared" ca="1" si="9"/>
        <v>15</v>
      </c>
      <c r="G553" s="17" t="s">
        <v>47</v>
      </c>
      <c r="H553" s="41">
        <v>78854</v>
      </c>
      <c r="I553" s="19">
        <v>5</v>
      </c>
    </row>
    <row r="554" spans="1:9" x14ac:dyDescent="0.2">
      <c r="A554" s="11" t="s">
        <v>723</v>
      </c>
      <c r="B554" s="14" t="s">
        <v>27</v>
      </c>
      <c r="C554" s="11" t="s">
        <v>214</v>
      </c>
      <c r="D554" s="11" t="s">
        <v>29</v>
      </c>
      <c r="E554" s="20">
        <v>40161</v>
      </c>
      <c r="F554" s="2">
        <f t="shared" ca="1" si="9"/>
        <v>9</v>
      </c>
      <c r="G554" s="17" t="s">
        <v>47</v>
      </c>
      <c r="H554" s="41">
        <v>118476</v>
      </c>
      <c r="I554" s="19">
        <v>1</v>
      </c>
    </row>
    <row r="555" spans="1:9" x14ac:dyDescent="0.2">
      <c r="A555" s="11" t="s">
        <v>1244</v>
      </c>
      <c r="B555" s="14" t="s">
        <v>83</v>
      </c>
      <c r="C555" s="11" t="s">
        <v>249</v>
      </c>
      <c r="D555" s="11" t="s">
        <v>29</v>
      </c>
      <c r="E555" s="20">
        <v>38351</v>
      </c>
      <c r="F555" s="2">
        <f t="shared" ca="1" si="9"/>
        <v>14</v>
      </c>
      <c r="G555" s="17" t="s">
        <v>71</v>
      </c>
      <c r="H555" s="41">
        <v>61358</v>
      </c>
      <c r="I555" s="19">
        <v>5</v>
      </c>
    </row>
    <row r="556" spans="1:9" x14ac:dyDescent="0.2">
      <c r="A556" s="11" t="s">
        <v>701</v>
      </c>
      <c r="B556" s="14" t="s">
        <v>83</v>
      </c>
      <c r="C556" s="11" t="s">
        <v>214</v>
      </c>
      <c r="D556" s="11" t="s">
        <v>21</v>
      </c>
      <c r="E556" s="20">
        <v>38488</v>
      </c>
      <c r="F556" s="2">
        <f t="shared" ca="1" si="9"/>
        <v>14</v>
      </c>
      <c r="G556" s="17"/>
      <c r="H556" s="41">
        <v>77976</v>
      </c>
      <c r="I556" s="19">
        <v>3</v>
      </c>
    </row>
    <row r="557" spans="1:9" x14ac:dyDescent="0.2">
      <c r="A557" s="11" t="s">
        <v>1084</v>
      </c>
      <c r="B557" s="14" t="s">
        <v>19</v>
      </c>
      <c r="C557" s="11" t="s">
        <v>28</v>
      </c>
      <c r="D557" s="11" t="s">
        <v>29</v>
      </c>
      <c r="E557" s="20">
        <v>38033</v>
      </c>
      <c r="F557" s="2">
        <f t="shared" ca="1" si="9"/>
        <v>15</v>
      </c>
      <c r="G557" s="17" t="s">
        <v>47</v>
      </c>
      <c r="H557" s="41">
        <v>67311</v>
      </c>
      <c r="I557" s="19">
        <v>2</v>
      </c>
    </row>
    <row r="558" spans="1:9" x14ac:dyDescent="0.2">
      <c r="A558" s="11" t="s">
        <v>129</v>
      </c>
      <c r="B558" s="14" t="s">
        <v>83</v>
      </c>
      <c r="C558" s="11" t="s">
        <v>254</v>
      </c>
      <c r="D558" s="11" t="s">
        <v>21</v>
      </c>
      <c r="E558" s="20">
        <v>41567</v>
      </c>
      <c r="F558" s="2">
        <f t="shared" ca="1" si="9"/>
        <v>5</v>
      </c>
      <c r="G558" s="17"/>
      <c r="H558" s="41">
        <v>72900</v>
      </c>
      <c r="I558" s="19">
        <v>3</v>
      </c>
    </row>
    <row r="559" spans="1:9" x14ac:dyDescent="0.2">
      <c r="A559" s="11" t="s">
        <v>1042</v>
      </c>
      <c r="B559" s="14" t="s">
        <v>27</v>
      </c>
      <c r="C559" s="11" t="s">
        <v>864</v>
      </c>
      <c r="D559" s="11" t="s">
        <v>29</v>
      </c>
      <c r="E559" s="20">
        <v>36598</v>
      </c>
      <c r="F559" s="2">
        <f t="shared" ca="1" si="9"/>
        <v>19</v>
      </c>
      <c r="G559" s="17" t="s">
        <v>47</v>
      </c>
      <c r="H559" s="41">
        <v>85307</v>
      </c>
      <c r="I559" s="19">
        <v>1</v>
      </c>
    </row>
    <row r="560" spans="1:9" x14ac:dyDescent="0.2">
      <c r="A560" s="11" t="s">
        <v>1168</v>
      </c>
      <c r="B560" s="14" t="s">
        <v>43</v>
      </c>
      <c r="C560" s="11" t="s">
        <v>20</v>
      </c>
      <c r="D560" s="11" t="s">
        <v>29</v>
      </c>
      <c r="E560" s="20">
        <v>42076</v>
      </c>
      <c r="F560" s="2">
        <f t="shared" ca="1" si="9"/>
        <v>4</v>
      </c>
      <c r="G560" s="17" t="s">
        <v>47</v>
      </c>
      <c r="H560" s="41">
        <v>31428</v>
      </c>
      <c r="I560" s="19">
        <v>1</v>
      </c>
    </row>
    <row r="561" spans="1:9" x14ac:dyDescent="0.2">
      <c r="A561" s="11" t="s">
        <v>783</v>
      </c>
      <c r="B561" s="14" t="s">
        <v>27</v>
      </c>
      <c r="C561" s="11" t="s">
        <v>59</v>
      </c>
      <c r="D561" s="11" t="s">
        <v>21</v>
      </c>
      <c r="E561" s="20">
        <v>36696</v>
      </c>
      <c r="F561" s="2">
        <f t="shared" ca="1" si="9"/>
        <v>18</v>
      </c>
      <c r="G561" s="17"/>
      <c r="H561" s="41">
        <v>54756</v>
      </c>
      <c r="I561" s="19">
        <v>5</v>
      </c>
    </row>
    <row r="562" spans="1:9" x14ac:dyDescent="0.2">
      <c r="A562" s="11" t="s">
        <v>70</v>
      </c>
      <c r="B562" s="14" t="s">
        <v>19</v>
      </c>
      <c r="C562" s="11" t="s">
        <v>101</v>
      </c>
      <c r="D562" s="11" t="s">
        <v>29</v>
      </c>
      <c r="E562" s="20">
        <v>35244</v>
      </c>
      <c r="F562" s="2">
        <f t="shared" ca="1" si="9"/>
        <v>22</v>
      </c>
      <c r="G562" s="17" t="s">
        <v>30</v>
      </c>
      <c r="H562" s="41">
        <v>104922</v>
      </c>
      <c r="I562" s="19">
        <v>3</v>
      </c>
    </row>
    <row r="563" spans="1:9" x14ac:dyDescent="0.2">
      <c r="A563" s="11" t="s">
        <v>1330</v>
      </c>
      <c r="B563" s="14" t="s">
        <v>19</v>
      </c>
      <c r="C563" s="11" t="s">
        <v>214</v>
      </c>
      <c r="D563" s="11" t="s">
        <v>29</v>
      </c>
      <c r="E563" s="20">
        <v>37479</v>
      </c>
      <c r="F563" s="2">
        <f t="shared" ca="1" si="9"/>
        <v>16</v>
      </c>
      <c r="G563" s="17" t="s">
        <v>47</v>
      </c>
      <c r="H563" s="41">
        <v>81135</v>
      </c>
      <c r="I563" s="19">
        <v>1</v>
      </c>
    </row>
    <row r="564" spans="1:9" x14ac:dyDescent="0.2">
      <c r="A564" s="11" t="s">
        <v>1536</v>
      </c>
      <c r="B564" s="14" t="s">
        <v>27</v>
      </c>
      <c r="C564" s="11" t="s">
        <v>152</v>
      </c>
      <c r="D564" s="11" t="s">
        <v>80</v>
      </c>
      <c r="E564" s="20">
        <v>38702</v>
      </c>
      <c r="F564" s="2">
        <f t="shared" ca="1" si="9"/>
        <v>13</v>
      </c>
      <c r="G564" s="17" t="s">
        <v>47</v>
      </c>
      <c r="H564" s="41">
        <v>23227</v>
      </c>
      <c r="I564" s="19">
        <v>5</v>
      </c>
    </row>
    <row r="565" spans="1:9" x14ac:dyDescent="0.2">
      <c r="A565" s="11" t="s">
        <v>737</v>
      </c>
      <c r="B565" s="14" t="s">
        <v>27</v>
      </c>
      <c r="C565" s="11" t="s">
        <v>145</v>
      </c>
      <c r="D565" s="11" t="s">
        <v>29</v>
      </c>
      <c r="E565" s="20">
        <v>35469</v>
      </c>
      <c r="F565" s="2">
        <f t="shared" ca="1" si="9"/>
        <v>22</v>
      </c>
      <c r="G565" s="17" t="s">
        <v>47</v>
      </c>
      <c r="H565" s="41">
        <v>88521</v>
      </c>
      <c r="I565" s="19">
        <v>3</v>
      </c>
    </row>
    <row r="566" spans="1:9" x14ac:dyDescent="0.2">
      <c r="A566" s="11" t="s">
        <v>305</v>
      </c>
      <c r="B566" s="14" t="s">
        <v>27</v>
      </c>
      <c r="C566" s="11" t="s">
        <v>136</v>
      </c>
      <c r="D566" s="11" t="s">
        <v>29</v>
      </c>
      <c r="E566" s="20">
        <v>35933</v>
      </c>
      <c r="F566" s="2">
        <f t="shared" ca="1" si="9"/>
        <v>21</v>
      </c>
      <c r="G566" s="17" t="s">
        <v>71</v>
      </c>
      <c r="H566" s="41">
        <v>85644</v>
      </c>
      <c r="I566" s="19">
        <v>3</v>
      </c>
    </row>
    <row r="567" spans="1:9" x14ac:dyDescent="0.2">
      <c r="A567" s="11" t="s">
        <v>751</v>
      </c>
      <c r="B567" s="14" t="s">
        <v>43</v>
      </c>
      <c r="C567" s="11" t="s">
        <v>104</v>
      </c>
      <c r="D567" s="11" t="s">
        <v>80</v>
      </c>
      <c r="E567" s="20">
        <v>37348</v>
      </c>
      <c r="F567" s="2">
        <f t="shared" ca="1" si="9"/>
        <v>17</v>
      </c>
      <c r="G567" s="17" t="s">
        <v>47</v>
      </c>
      <c r="H567" s="41">
        <v>14884</v>
      </c>
      <c r="I567" s="19">
        <v>1</v>
      </c>
    </row>
    <row r="568" spans="1:9" x14ac:dyDescent="0.2">
      <c r="A568" s="11" t="s">
        <v>912</v>
      </c>
      <c r="B568" s="14" t="s">
        <v>36</v>
      </c>
      <c r="C568" s="11" t="s">
        <v>86</v>
      </c>
      <c r="D568" s="11" t="s">
        <v>21</v>
      </c>
      <c r="E568" s="20">
        <v>37302</v>
      </c>
      <c r="F568" s="2">
        <f t="shared" ca="1" si="9"/>
        <v>17</v>
      </c>
      <c r="G568" s="17"/>
      <c r="H568" s="41">
        <v>72725</v>
      </c>
      <c r="I568" s="19">
        <v>2</v>
      </c>
    </row>
    <row r="569" spans="1:9" x14ac:dyDescent="0.2">
      <c r="A569" s="11" t="s">
        <v>757</v>
      </c>
      <c r="B569" s="14" t="s">
        <v>43</v>
      </c>
      <c r="C569" s="11" t="s">
        <v>145</v>
      </c>
      <c r="D569" s="11" t="s">
        <v>29</v>
      </c>
      <c r="E569" s="20">
        <v>40937</v>
      </c>
      <c r="F569" s="2">
        <f t="shared" ca="1" si="9"/>
        <v>7</v>
      </c>
      <c r="G569" s="17" t="s">
        <v>30</v>
      </c>
      <c r="H569" s="41">
        <v>58860</v>
      </c>
      <c r="I569" s="19">
        <v>5</v>
      </c>
    </row>
    <row r="570" spans="1:9" x14ac:dyDescent="0.2">
      <c r="A570" s="11" t="s">
        <v>958</v>
      </c>
      <c r="B570" s="14" t="s">
        <v>36</v>
      </c>
      <c r="C570" s="11" t="s">
        <v>405</v>
      </c>
      <c r="D570" s="11" t="s">
        <v>29</v>
      </c>
      <c r="E570" s="20">
        <v>39468</v>
      </c>
      <c r="F570" s="2">
        <f t="shared" ca="1" si="9"/>
        <v>11</v>
      </c>
      <c r="G570" s="17" t="s">
        <v>30</v>
      </c>
      <c r="H570" s="41">
        <v>57780</v>
      </c>
      <c r="I570" s="19">
        <v>5</v>
      </c>
    </row>
    <row r="571" spans="1:9" x14ac:dyDescent="0.2">
      <c r="A571" s="11" t="s">
        <v>725</v>
      </c>
      <c r="B571" s="14" t="s">
        <v>27</v>
      </c>
      <c r="C571" s="11" t="s">
        <v>86</v>
      </c>
      <c r="D571" s="11" t="s">
        <v>29</v>
      </c>
      <c r="E571" s="20">
        <v>37331</v>
      </c>
      <c r="F571" s="2">
        <f t="shared" ca="1" si="9"/>
        <v>17</v>
      </c>
      <c r="G571" s="17" t="s">
        <v>47</v>
      </c>
      <c r="H571" s="41">
        <v>110214</v>
      </c>
      <c r="I571" s="19">
        <v>4</v>
      </c>
    </row>
    <row r="572" spans="1:9" x14ac:dyDescent="0.2">
      <c r="A572" s="11" t="s">
        <v>1010</v>
      </c>
      <c r="B572" s="14" t="s">
        <v>43</v>
      </c>
      <c r="C572" s="11" t="s">
        <v>20</v>
      </c>
      <c r="D572" s="11" t="s">
        <v>21</v>
      </c>
      <c r="E572" s="20">
        <v>38254</v>
      </c>
      <c r="F572" s="2">
        <f t="shared" ca="1" si="9"/>
        <v>14</v>
      </c>
      <c r="G572" s="17"/>
      <c r="H572" s="41">
        <v>31806</v>
      </c>
      <c r="I572" s="19">
        <v>3</v>
      </c>
    </row>
    <row r="573" spans="1:9" x14ac:dyDescent="0.2">
      <c r="A573" s="11" t="s">
        <v>1130</v>
      </c>
      <c r="B573" s="14" t="s">
        <v>83</v>
      </c>
      <c r="C573" s="11" t="s">
        <v>136</v>
      </c>
      <c r="D573" s="11" t="s">
        <v>80</v>
      </c>
      <c r="E573" s="20">
        <v>37610</v>
      </c>
      <c r="F573" s="2">
        <f t="shared" ca="1" si="9"/>
        <v>16</v>
      </c>
      <c r="G573" s="17" t="s">
        <v>47</v>
      </c>
      <c r="H573" s="41">
        <v>42127</v>
      </c>
      <c r="I573" s="19">
        <v>2</v>
      </c>
    </row>
    <row r="574" spans="1:9" x14ac:dyDescent="0.2">
      <c r="A574" s="11" t="s">
        <v>773</v>
      </c>
      <c r="B574" s="14" t="s">
        <v>43</v>
      </c>
      <c r="C574" s="11" t="s">
        <v>86</v>
      </c>
      <c r="D574" s="11" t="s">
        <v>80</v>
      </c>
      <c r="E574" s="20">
        <v>41655</v>
      </c>
      <c r="F574" s="2">
        <f t="shared" ca="1" si="9"/>
        <v>5</v>
      </c>
      <c r="G574" s="17" t="s">
        <v>38</v>
      </c>
      <c r="H574" s="41">
        <v>52076</v>
      </c>
      <c r="I574" s="19">
        <v>2</v>
      </c>
    </row>
    <row r="575" spans="1:9" x14ac:dyDescent="0.2">
      <c r="A575" s="11" t="s">
        <v>630</v>
      </c>
      <c r="B575" s="14" t="s">
        <v>51</v>
      </c>
      <c r="C575" s="11" t="s">
        <v>152</v>
      </c>
      <c r="D575" s="11" t="s">
        <v>21</v>
      </c>
      <c r="E575" s="20">
        <v>42422</v>
      </c>
      <c r="F575" s="2">
        <f t="shared" ca="1" si="9"/>
        <v>3</v>
      </c>
      <c r="G575" s="17"/>
      <c r="H575" s="41">
        <v>58037</v>
      </c>
      <c r="I575" s="19">
        <v>4</v>
      </c>
    </row>
    <row r="576" spans="1:9" x14ac:dyDescent="0.2">
      <c r="A576" s="11" t="s">
        <v>319</v>
      </c>
      <c r="B576" s="14" t="s">
        <v>51</v>
      </c>
      <c r="C576" s="11" t="s">
        <v>101</v>
      </c>
      <c r="D576" s="11" t="s">
        <v>21</v>
      </c>
      <c r="E576" s="20">
        <v>35070</v>
      </c>
      <c r="F576" s="2">
        <f t="shared" ca="1" si="9"/>
        <v>23</v>
      </c>
      <c r="G576" s="17"/>
      <c r="H576" s="41">
        <v>66245</v>
      </c>
      <c r="I576" s="19">
        <v>3</v>
      </c>
    </row>
    <row r="577" spans="1:9" x14ac:dyDescent="0.2">
      <c r="A577" s="11" t="s">
        <v>630</v>
      </c>
      <c r="B577" s="14" t="s">
        <v>51</v>
      </c>
      <c r="C577" s="11" t="s">
        <v>152</v>
      </c>
      <c r="D577" s="11" t="s">
        <v>21</v>
      </c>
      <c r="E577" s="20">
        <v>42422</v>
      </c>
      <c r="F577" s="2">
        <f t="shared" ca="1" si="9"/>
        <v>3</v>
      </c>
      <c r="G577" s="17"/>
      <c r="H577" s="41">
        <v>58037</v>
      </c>
      <c r="I577" s="19">
        <v>4</v>
      </c>
    </row>
    <row r="578" spans="1:9" x14ac:dyDescent="0.2">
      <c r="A578" s="11" t="s">
        <v>691</v>
      </c>
      <c r="B578" s="14" t="s">
        <v>27</v>
      </c>
      <c r="C578" s="11" t="s">
        <v>152</v>
      </c>
      <c r="D578" s="11" t="s">
        <v>21</v>
      </c>
      <c r="E578" s="20">
        <v>37610</v>
      </c>
      <c r="F578" s="2">
        <f t="shared" ca="1" si="9"/>
        <v>16</v>
      </c>
      <c r="G578" s="17"/>
      <c r="H578" s="41">
        <v>60791</v>
      </c>
      <c r="I578" s="19">
        <v>3</v>
      </c>
    </row>
    <row r="579" spans="1:9" x14ac:dyDescent="0.2">
      <c r="A579" s="11" t="s">
        <v>376</v>
      </c>
      <c r="B579" s="14" t="s">
        <v>19</v>
      </c>
      <c r="C579" s="11" t="s">
        <v>101</v>
      </c>
      <c r="D579" s="11" t="s">
        <v>29</v>
      </c>
      <c r="E579" s="20">
        <v>35104</v>
      </c>
      <c r="F579" s="2">
        <f t="shared" ref="F579:F642" ca="1" si="10">DATEDIF(E579,TODAY(),"Y")</f>
        <v>23</v>
      </c>
      <c r="G579" s="17" t="s">
        <v>71</v>
      </c>
      <c r="H579" s="41">
        <v>47682</v>
      </c>
      <c r="I579" s="19">
        <v>3</v>
      </c>
    </row>
    <row r="580" spans="1:9" x14ac:dyDescent="0.2">
      <c r="A580" s="11" t="s">
        <v>713</v>
      </c>
      <c r="B580" s="14" t="s">
        <v>27</v>
      </c>
      <c r="C580" s="11" t="s">
        <v>86</v>
      </c>
      <c r="D580" s="11" t="s">
        <v>29</v>
      </c>
      <c r="E580" s="20">
        <v>38247</v>
      </c>
      <c r="F580" s="2">
        <f t="shared" ca="1" si="10"/>
        <v>14</v>
      </c>
      <c r="G580" s="17" t="s">
        <v>47</v>
      </c>
      <c r="H580" s="41">
        <v>59697</v>
      </c>
      <c r="I580" s="19">
        <v>3</v>
      </c>
    </row>
    <row r="581" spans="1:9" x14ac:dyDescent="0.2">
      <c r="A581" s="11" t="s">
        <v>952</v>
      </c>
      <c r="B581" s="14" t="s">
        <v>51</v>
      </c>
      <c r="C581" s="11" t="s">
        <v>254</v>
      </c>
      <c r="D581" s="11" t="s">
        <v>80</v>
      </c>
      <c r="E581" s="20">
        <v>36401</v>
      </c>
      <c r="F581" s="2">
        <f t="shared" ca="1" si="10"/>
        <v>19</v>
      </c>
      <c r="G581" s="17" t="s">
        <v>47</v>
      </c>
      <c r="H581" s="41">
        <v>18137</v>
      </c>
      <c r="I581" s="19">
        <v>1</v>
      </c>
    </row>
    <row r="582" spans="1:9" x14ac:dyDescent="0.2">
      <c r="A582" s="11" t="s">
        <v>697</v>
      </c>
      <c r="B582" s="14" t="s">
        <v>19</v>
      </c>
      <c r="C582" s="11" t="s">
        <v>86</v>
      </c>
      <c r="D582" s="11" t="s">
        <v>29</v>
      </c>
      <c r="E582" s="20">
        <v>41993</v>
      </c>
      <c r="F582" s="2">
        <f t="shared" ca="1" si="10"/>
        <v>4</v>
      </c>
      <c r="G582" s="17" t="s">
        <v>30</v>
      </c>
      <c r="H582" s="41">
        <v>61101</v>
      </c>
      <c r="I582" s="19">
        <v>4</v>
      </c>
    </row>
    <row r="583" spans="1:9" x14ac:dyDescent="0.2">
      <c r="A583" s="11" t="s">
        <v>217</v>
      </c>
      <c r="B583" s="14" t="s">
        <v>19</v>
      </c>
      <c r="C583" s="11" t="s">
        <v>214</v>
      </c>
      <c r="D583" s="11" t="s">
        <v>80</v>
      </c>
      <c r="E583" s="20">
        <v>37961</v>
      </c>
      <c r="F583" s="2">
        <f t="shared" ca="1" si="10"/>
        <v>15</v>
      </c>
      <c r="G583" s="17" t="s">
        <v>38</v>
      </c>
      <c r="H583" s="41">
        <v>29255</v>
      </c>
      <c r="I583" s="19">
        <v>2</v>
      </c>
    </row>
    <row r="584" spans="1:9" x14ac:dyDescent="0.2">
      <c r="A584" s="11" t="s">
        <v>1026</v>
      </c>
      <c r="B584" s="14" t="s">
        <v>36</v>
      </c>
      <c r="C584" s="11" t="s">
        <v>641</v>
      </c>
      <c r="D584" s="11" t="s">
        <v>80</v>
      </c>
      <c r="E584" s="20">
        <v>38341</v>
      </c>
      <c r="F584" s="2">
        <f t="shared" ca="1" si="10"/>
        <v>14</v>
      </c>
      <c r="G584" s="17" t="s">
        <v>47</v>
      </c>
      <c r="H584" s="41">
        <v>42188</v>
      </c>
      <c r="I584" s="19">
        <v>2</v>
      </c>
    </row>
    <row r="585" spans="1:9" x14ac:dyDescent="0.2">
      <c r="A585" s="11" t="s">
        <v>747</v>
      </c>
      <c r="B585" s="14" t="s">
        <v>51</v>
      </c>
      <c r="C585" s="11" t="s">
        <v>37</v>
      </c>
      <c r="D585" s="11" t="s">
        <v>56</v>
      </c>
      <c r="E585" s="20">
        <v>35630</v>
      </c>
      <c r="F585" s="2">
        <f t="shared" ca="1" si="10"/>
        <v>21</v>
      </c>
      <c r="G585" s="17"/>
      <c r="H585" s="41">
        <v>48168</v>
      </c>
      <c r="I585" s="19">
        <v>2</v>
      </c>
    </row>
    <row r="586" spans="1:9" x14ac:dyDescent="0.2">
      <c r="A586" s="11" t="s">
        <v>1414</v>
      </c>
      <c r="B586" s="14" t="s">
        <v>83</v>
      </c>
      <c r="C586" s="11" t="s">
        <v>145</v>
      </c>
      <c r="D586" s="11" t="s">
        <v>29</v>
      </c>
      <c r="E586" s="20">
        <v>40137</v>
      </c>
      <c r="F586" s="2">
        <f t="shared" ca="1" si="10"/>
        <v>9</v>
      </c>
      <c r="G586" s="17" t="s">
        <v>30</v>
      </c>
      <c r="H586" s="41">
        <v>113009</v>
      </c>
      <c r="I586" s="19">
        <v>3</v>
      </c>
    </row>
    <row r="587" spans="1:9" x14ac:dyDescent="0.2">
      <c r="A587" s="11" t="s">
        <v>262</v>
      </c>
      <c r="B587" s="14" t="s">
        <v>19</v>
      </c>
      <c r="C587" s="11" t="s">
        <v>136</v>
      </c>
      <c r="D587" s="11" t="s">
        <v>21</v>
      </c>
      <c r="E587" s="20">
        <v>35733</v>
      </c>
      <c r="F587" s="2">
        <f t="shared" ca="1" si="10"/>
        <v>21</v>
      </c>
      <c r="G587" s="17"/>
      <c r="H587" s="41">
        <v>60372</v>
      </c>
      <c r="I587" s="19">
        <v>2</v>
      </c>
    </row>
    <row r="588" spans="1:9" x14ac:dyDescent="0.2">
      <c r="A588" s="11" t="s">
        <v>1216</v>
      </c>
      <c r="B588" s="14" t="s">
        <v>27</v>
      </c>
      <c r="C588" s="11" t="s">
        <v>214</v>
      </c>
      <c r="D588" s="11" t="s">
        <v>29</v>
      </c>
      <c r="E588" s="20">
        <v>38491</v>
      </c>
      <c r="F588" s="2">
        <f t="shared" ca="1" si="10"/>
        <v>14</v>
      </c>
      <c r="G588" s="17" t="s">
        <v>71</v>
      </c>
      <c r="H588" s="41">
        <v>52475</v>
      </c>
      <c r="I588" s="19">
        <v>2</v>
      </c>
    </row>
    <row r="589" spans="1:9" x14ac:dyDescent="0.2">
      <c r="A589" s="11" t="s">
        <v>1192</v>
      </c>
      <c r="B589" s="14" t="s">
        <v>19</v>
      </c>
      <c r="C589" s="11" t="s">
        <v>214</v>
      </c>
      <c r="D589" s="11" t="s">
        <v>21</v>
      </c>
      <c r="E589" s="20">
        <v>38239</v>
      </c>
      <c r="F589" s="2">
        <f t="shared" ca="1" si="10"/>
        <v>14</v>
      </c>
      <c r="G589" s="17"/>
      <c r="H589" s="41">
        <v>32144</v>
      </c>
      <c r="I589" s="19">
        <v>4</v>
      </c>
    </row>
    <row r="590" spans="1:9" x14ac:dyDescent="0.2">
      <c r="A590" s="11" t="s">
        <v>1506</v>
      </c>
      <c r="B590" s="14" t="s">
        <v>43</v>
      </c>
      <c r="C590" s="11" t="s">
        <v>152</v>
      </c>
      <c r="D590" s="11" t="s">
        <v>21</v>
      </c>
      <c r="E590" s="20">
        <v>41512</v>
      </c>
      <c r="F590" s="2">
        <f t="shared" ca="1" si="10"/>
        <v>5</v>
      </c>
      <c r="G590" s="17"/>
      <c r="H590" s="41">
        <v>116154</v>
      </c>
      <c r="I590" s="19">
        <v>5</v>
      </c>
    </row>
    <row r="591" spans="1:9" x14ac:dyDescent="0.2">
      <c r="A591" s="11" t="s">
        <v>1102</v>
      </c>
      <c r="B591" s="14" t="s">
        <v>43</v>
      </c>
      <c r="C591" s="11" t="s">
        <v>254</v>
      </c>
      <c r="D591" s="11" t="s">
        <v>29</v>
      </c>
      <c r="E591" s="20">
        <v>35420</v>
      </c>
      <c r="F591" s="2">
        <f t="shared" ca="1" si="10"/>
        <v>22</v>
      </c>
      <c r="G591" s="17" t="s">
        <v>47</v>
      </c>
      <c r="H591" s="41">
        <v>35586</v>
      </c>
      <c r="I591" s="19">
        <v>1</v>
      </c>
    </row>
    <row r="592" spans="1:9" x14ac:dyDescent="0.2">
      <c r="A592" s="11" t="s">
        <v>419</v>
      </c>
      <c r="B592" s="14" t="s">
        <v>27</v>
      </c>
      <c r="C592" s="11" t="s">
        <v>152</v>
      </c>
      <c r="D592" s="11" t="s">
        <v>56</v>
      </c>
      <c r="E592" s="20">
        <v>37360</v>
      </c>
      <c r="F592" s="2">
        <f t="shared" ca="1" si="10"/>
        <v>17</v>
      </c>
      <c r="G592" s="17"/>
      <c r="H592" s="41">
        <v>38837</v>
      </c>
      <c r="I592" s="19">
        <v>3</v>
      </c>
    </row>
    <row r="593" spans="1:9" x14ac:dyDescent="0.2">
      <c r="A593" s="11" t="s">
        <v>1554</v>
      </c>
      <c r="B593" s="14" t="s">
        <v>27</v>
      </c>
      <c r="C593" s="11" t="s">
        <v>254</v>
      </c>
      <c r="D593" s="11" t="s">
        <v>29</v>
      </c>
      <c r="E593" s="20">
        <v>35241</v>
      </c>
      <c r="F593" s="2">
        <f t="shared" ca="1" si="10"/>
        <v>22</v>
      </c>
      <c r="G593" s="17" t="s">
        <v>38</v>
      </c>
      <c r="H593" s="41">
        <v>82985</v>
      </c>
      <c r="I593" s="19">
        <v>5</v>
      </c>
    </row>
    <row r="594" spans="1:9" x14ac:dyDescent="0.2">
      <c r="A594" s="11" t="s">
        <v>749</v>
      </c>
      <c r="B594" s="14" t="s">
        <v>27</v>
      </c>
      <c r="C594" s="11" t="s">
        <v>145</v>
      </c>
      <c r="D594" s="11" t="s">
        <v>29</v>
      </c>
      <c r="E594" s="20">
        <v>41529</v>
      </c>
      <c r="F594" s="2">
        <f t="shared" ca="1" si="10"/>
        <v>5</v>
      </c>
      <c r="G594" s="17" t="s">
        <v>30</v>
      </c>
      <c r="H594" s="41">
        <v>39596</v>
      </c>
      <c r="I594" s="19">
        <v>5</v>
      </c>
    </row>
    <row r="595" spans="1:9" x14ac:dyDescent="0.2">
      <c r="A595" s="11" t="s">
        <v>739</v>
      </c>
      <c r="B595" s="14" t="s">
        <v>27</v>
      </c>
      <c r="C595" s="11" t="s">
        <v>136</v>
      </c>
      <c r="D595" s="11" t="s">
        <v>29</v>
      </c>
      <c r="E595" s="20">
        <v>41648</v>
      </c>
      <c r="F595" s="2">
        <f t="shared" ca="1" si="10"/>
        <v>5</v>
      </c>
      <c r="G595" s="17" t="s">
        <v>47</v>
      </c>
      <c r="H595" s="41">
        <v>86832</v>
      </c>
      <c r="I595" s="19">
        <v>5</v>
      </c>
    </row>
    <row r="596" spans="1:9" x14ac:dyDescent="0.2">
      <c r="A596" s="11" t="s">
        <v>1438</v>
      </c>
      <c r="B596" s="14" t="s">
        <v>19</v>
      </c>
      <c r="C596" s="11" t="s">
        <v>336</v>
      </c>
      <c r="D596" s="11" t="s">
        <v>29</v>
      </c>
      <c r="E596" s="20">
        <v>37113</v>
      </c>
      <c r="F596" s="2">
        <f t="shared" ca="1" si="10"/>
        <v>17</v>
      </c>
      <c r="G596" s="17" t="s">
        <v>47</v>
      </c>
      <c r="H596" s="41">
        <v>90099</v>
      </c>
      <c r="I596" s="19">
        <v>2</v>
      </c>
    </row>
    <row r="597" spans="1:9" x14ac:dyDescent="0.2">
      <c r="A597" s="11" t="s">
        <v>1422</v>
      </c>
      <c r="B597" s="14" t="s">
        <v>43</v>
      </c>
      <c r="C597" s="11" t="s">
        <v>145</v>
      </c>
      <c r="D597" s="11" t="s">
        <v>29</v>
      </c>
      <c r="E597" s="20">
        <v>35794</v>
      </c>
      <c r="F597" s="2">
        <f t="shared" ca="1" si="10"/>
        <v>21</v>
      </c>
      <c r="G597" s="17" t="s">
        <v>47</v>
      </c>
      <c r="H597" s="41">
        <v>73265</v>
      </c>
      <c r="I597" s="19">
        <v>3</v>
      </c>
    </row>
    <row r="598" spans="1:9" x14ac:dyDescent="0.2">
      <c r="A598" s="11" t="s">
        <v>1024</v>
      </c>
      <c r="B598" s="14" t="s">
        <v>43</v>
      </c>
      <c r="C598" s="11" t="s">
        <v>37</v>
      </c>
      <c r="D598" s="11" t="s">
        <v>80</v>
      </c>
      <c r="E598" s="20">
        <v>35074</v>
      </c>
      <c r="F598" s="2">
        <f t="shared" ca="1" si="10"/>
        <v>23</v>
      </c>
      <c r="G598" s="17" t="s">
        <v>87</v>
      </c>
      <c r="H598" s="41">
        <v>36173</v>
      </c>
      <c r="I598" s="19">
        <v>4</v>
      </c>
    </row>
    <row r="599" spans="1:9" x14ac:dyDescent="0.2">
      <c r="A599" s="11" t="s">
        <v>1152</v>
      </c>
      <c r="B599" s="14" t="s">
        <v>36</v>
      </c>
      <c r="C599" s="11" t="s">
        <v>214</v>
      </c>
      <c r="D599" s="11" t="s">
        <v>29</v>
      </c>
      <c r="E599" s="20">
        <v>41959</v>
      </c>
      <c r="F599" s="2">
        <f t="shared" ca="1" si="10"/>
        <v>4</v>
      </c>
      <c r="G599" s="17" t="s">
        <v>38</v>
      </c>
      <c r="H599" s="41">
        <v>46832</v>
      </c>
      <c r="I599" s="19">
        <v>2</v>
      </c>
    </row>
    <row r="600" spans="1:9" x14ac:dyDescent="0.2">
      <c r="A600" s="11" t="s">
        <v>1388</v>
      </c>
      <c r="B600" s="14" t="s">
        <v>43</v>
      </c>
      <c r="C600" s="11" t="s">
        <v>152</v>
      </c>
      <c r="D600" s="11" t="s">
        <v>80</v>
      </c>
      <c r="E600" s="20">
        <v>37302</v>
      </c>
      <c r="F600" s="2">
        <f t="shared" ca="1" si="10"/>
        <v>17</v>
      </c>
      <c r="G600" s="17" t="s">
        <v>87</v>
      </c>
      <c r="H600" s="41">
        <v>18482</v>
      </c>
      <c r="I600" s="19">
        <v>5</v>
      </c>
    </row>
    <row r="601" spans="1:9" x14ac:dyDescent="0.2">
      <c r="A601" s="11" t="s">
        <v>1052</v>
      </c>
      <c r="B601" s="14" t="s">
        <v>27</v>
      </c>
      <c r="C601" s="11" t="s">
        <v>214</v>
      </c>
      <c r="D601" s="11" t="s">
        <v>29</v>
      </c>
      <c r="E601" s="20">
        <v>38852</v>
      </c>
      <c r="F601" s="2">
        <f t="shared" ca="1" si="10"/>
        <v>13</v>
      </c>
      <c r="G601" s="17" t="s">
        <v>87</v>
      </c>
      <c r="H601" s="41">
        <v>89114</v>
      </c>
      <c r="I601" s="19">
        <v>5</v>
      </c>
    </row>
    <row r="602" spans="1:9" x14ac:dyDescent="0.2">
      <c r="A602" s="11" t="s">
        <v>809</v>
      </c>
      <c r="B602" s="14" t="s">
        <v>51</v>
      </c>
      <c r="C602" s="11" t="s">
        <v>214</v>
      </c>
      <c r="D602" s="11" t="s">
        <v>21</v>
      </c>
      <c r="E602" s="20">
        <v>37711</v>
      </c>
      <c r="F602" s="2">
        <f t="shared" ca="1" si="10"/>
        <v>16</v>
      </c>
      <c r="G602" s="17"/>
      <c r="H602" s="41">
        <v>103829</v>
      </c>
      <c r="I602" s="19">
        <v>1</v>
      </c>
    </row>
    <row r="603" spans="1:9" x14ac:dyDescent="0.2">
      <c r="A603" s="11" t="s">
        <v>845</v>
      </c>
      <c r="B603" s="14" t="s">
        <v>43</v>
      </c>
      <c r="C603" s="11" t="s">
        <v>136</v>
      </c>
      <c r="D603" s="11" t="s">
        <v>21</v>
      </c>
      <c r="E603" s="20">
        <v>35442</v>
      </c>
      <c r="F603" s="2">
        <f t="shared" ca="1" si="10"/>
        <v>22</v>
      </c>
      <c r="G603" s="17"/>
      <c r="H603" s="41">
        <v>81743</v>
      </c>
      <c r="I603" s="19">
        <v>2</v>
      </c>
    </row>
    <row r="604" spans="1:9" x14ac:dyDescent="0.2">
      <c r="A604" s="11" t="s">
        <v>930</v>
      </c>
      <c r="B604" s="14" t="s">
        <v>43</v>
      </c>
      <c r="C604" s="11" t="s">
        <v>214</v>
      </c>
      <c r="D604" s="11" t="s">
        <v>29</v>
      </c>
      <c r="E604" s="20">
        <v>37295</v>
      </c>
      <c r="F604" s="2">
        <f t="shared" ca="1" si="10"/>
        <v>17</v>
      </c>
      <c r="G604" s="17" t="s">
        <v>30</v>
      </c>
      <c r="H604" s="41">
        <v>98744</v>
      </c>
      <c r="I604" s="19">
        <v>5</v>
      </c>
    </row>
    <row r="605" spans="1:9" x14ac:dyDescent="0.2">
      <c r="A605" s="11" t="s">
        <v>1016</v>
      </c>
      <c r="B605" s="14" t="s">
        <v>19</v>
      </c>
      <c r="C605" s="11" t="s">
        <v>214</v>
      </c>
      <c r="D605" s="11" t="s">
        <v>21</v>
      </c>
      <c r="E605" s="20">
        <v>42254</v>
      </c>
      <c r="F605" s="2">
        <f t="shared" ca="1" si="10"/>
        <v>3</v>
      </c>
      <c r="G605" s="17"/>
      <c r="H605" s="41">
        <v>51084</v>
      </c>
      <c r="I605" s="19">
        <v>1</v>
      </c>
    </row>
    <row r="606" spans="1:9" x14ac:dyDescent="0.2">
      <c r="A606" s="11" t="s">
        <v>140</v>
      </c>
      <c r="B606" s="14" t="s">
        <v>83</v>
      </c>
      <c r="C606" s="11" t="s">
        <v>136</v>
      </c>
      <c r="D606" s="11" t="s">
        <v>80</v>
      </c>
      <c r="E606" s="20">
        <v>38001</v>
      </c>
      <c r="F606" s="2">
        <f t="shared" ca="1" si="10"/>
        <v>15</v>
      </c>
      <c r="G606" s="17" t="s">
        <v>30</v>
      </c>
      <c r="H606" s="41">
        <v>30341</v>
      </c>
      <c r="I606" s="19">
        <v>4</v>
      </c>
    </row>
    <row r="607" spans="1:9" x14ac:dyDescent="0.2">
      <c r="A607" s="11" t="s">
        <v>297</v>
      </c>
      <c r="B607" s="14" t="s">
        <v>43</v>
      </c>
      <c r="C607" s="11" t="s">
        <v>405</v>
      </c>
      <c r="D607" s="11" t="s">
        <v>21</v>
      </c>
      <c r="E607" s="20">
        <v>35171</v>
      </c>
      <c r="F607" s="2">
        <f t="shared" ca="1" si="10"/>
        <v>23</v>
      </c>
      <c r="G607" s="17"/>
      <c r="H607" s="41">
        <v>115439</v>
      </c>
      <c r="I607" s="19">
        <v>4</v>
      </c>
    </row>
    <row r="608" spans="1:9" x14ac:dyDescent="0.2">
      <c r="A608" s="11" t="s">
        <v>1068</v>
      </c>
      <c r="B608" s="14" t="s">
        <v>83</v>
      </c>
      <c r="C608" s="11" t="s">
        <v>52</v>
      </c>
      <c r="D608" s="11" t="s">
        <v>21</v>
      </c>
      <c r="E608" s="20">
        <v>39451</v>
      </c>
      <c r="F608" s="2">
        <f t="shared" ca="1" si="10"/>
        <v>11</v>
      </c>
      <c r="G608" s="17"/>
      <c r="H608" s="41">
        <v>99077</v>
      </c>
      <c r="I608" s="19">
        <v>2</v>
      </c>
    </row>
    <row r="609" spans="1:9" x14ac:dyDescent="0.2">
      <c r="A609" s="11" t="s">
        <v>121</v>
      </c>
      <c r="B609" s="14" t="s">
        <v>27</v>
      </c>
      <c r="C609" s="11" t="s">
        <v>214</v>
      </c>
      <c r="D609" s="11" t="s">
        <v>21</v>
      </c>
      <c r="E609" s="20">
        <v>37756</v>
      </c>
      <c r="F609" s="2">
        <f t="shared" ca="1" si="10"/>
        <v>16</v>
      </c>
      <c r="G609" s="17"/>
      <c r="H609" s="41">
        <v>96809</v>
      </c>
      <c r="I609" s="19">
        <v>5</v>
      </c>
    </row>
    <row r="610" spans="1:9" x14ac:dyDescent="0.2">
      <c r="A610" s="11" t="s">
        <v>1492</v>
      </c>
      <c r="B610" s="14" t="s">
        <v>19</v>
      </c>
      <c r="C610" s="11" t="s">
        <v>405</v>
      </c>
      <c r="D610" s="11" t="s">
        <v>29</v>
      </c>
      <c r="E610" s="20">
        <v>38775</v>
      </c>
      <c r="F610" s="2">
        <f t="shared" ca="1" si="10"/>
        <v>13</v>
      </c>
      <c r="G610" s="17" t="s">
        <v>47</v>
      </c>
      <c r="H610" s="41">
        <v>85955</v>
      </c>
      <c r="I610" s="19">
        <v>5</v>
      </c>
    </row>
    <row r="611" spans="1:9" x14ac:dyDescent="0.2">
      <c r="A611" s="11" t="s">
        <v>1486</v>
      </c>
      <c r="B611" s="14" t="s">
        <v>83</v>
      </c>
      <c r="C611" s="11" t="s">
        <v>214</v>
      </c>
      <c r="D611" s="11" t="s">
        <v>29</v>
      </c>
      <c r="E611" s="20">
        <v>35852</v>
      </c>
      <c r="F611" s="2">
        <f t="shared" ca="1" si="10"/>
        <v>21</v>
      </c>
      <c r="G611" s="17" t="s">
        <v>30</v>
      </c>
      <c r="H611" s="41">
        <v>31496</v>
      </c>
      <c r="I611" s="19">
        <v>4</v>
      </c>
    </row>
    <row r="612" spans="1:9" x14ac:dyDescent="0.2">
      <c r="A612" s="11" t="s">
        <v>839</v>
      </c>
      <c r="B612" s="14" t="s">
        <v>43</v>
      </c>
      <c r="C612" s="11" t="s">
        <v>152</v>
      </c>
      <c r="D612" s="11" t="s">
        <v>21</v>
      </c>
      <c r="E612" s="20">
        <v>37977</v>
      </c>
      <c r="F612" s="2">
        <f t="shared" ca="1" si="10"/>
        <v>15</v>
      </c>
      <c r="G612" s="17"/>
      <c r="H612" s="41">
        <v>78638</v>
      </c>
      <c r="I612" s="19">
        <v>2</v>
      </c>
    </row>
    <row r="613" spans="1:9" x14ac:dyDescent="0.2">
      <c r="A613" s="11" t="s">
        <v>526</v>
      </c>
      <c r="B613" s="14" t="s">
        <v>27</v>
      </c>
      <c r="C613" s="11" t="s">
        <v>59</v>
      </c>
      <c r="D613" s="11" t="s">
        <v>29</v>
      </c>
      <c r="E613" s="20">
        <v>37285</v>
      </c>
      <c r="F613" s="2">
        <f t="shared" ca="1" si="10"/>
        <v>17</v>
      </c>
      <c r="G613" s="17" t="s">
        <v>30</v>
      </c>
      <c r="H613" s="41">
        <v>50963</v>
      </c>
      <c r="I613" s="19">
        <v>5</v>
      </c>
    </row>
    <row r="614" spans="1:9" x14ac:dyDescent="0.2">
      <c r="A614" s="11" t="s">
        <v>1322</v>
      </c>
      <c r="B614" s="14" t="s">
        <v>27</v>
      </c>
      <c r="C614" s="11" t="s">
        <v>86</v>
      </c>
      <c r="D614" s="11" t="s">
        <v>21</v>
      </c>
      <c r="E614" s="20">
        <v>37466</v>
      </c>
      <c r="F614" s="2">
        <f t="shared" ca="1" si="10"/>
        <v>16</v>
      </c>
      <c r="G614" s="17"/>
      <c r="H614" s="41">
        <v>86198</v>
      </c>
      <c r="I614" s="19">
        <v>2</v>
      </c>
    </row>
    <row r="615" spans="1:9" x14ac:dyDescent="0.2">
      <c r="A615" s="11" t="s">
        <v>327</v>
      </c>
      <c r="B615" s="14" t="s">
        <v>36</v>
      </c>
      <c r="C615" s="11" t="s">
        <v>152</v>
      </c>
      <c r="D615" s="11" t="s">
        <v>29</v>
      </c>
      <c r="E615" s="20">
        <v>42320</v>
      </c>
      <c r="F615" s="2">
        <f t="shared" ca="1" si="10"/>
        <v>3</v>
      </c>
      <c r="G615" s="17" t="s">
        <v>30</v>
      </c>
      <c r="H615" s="41">
        <v>95486</v>
      </c>
      <c r="I615" s="19">
        <v>1</v>
      </c>
    </row>
    <row r="616" spans="1:9" x14ac:dyDescent="0.2">
      <c r="A616" s="11" t="s">
        <v>880</v>
      </c>
      <c r="B616" s="14" t="s">
        <v>19</v>
      </c>
      <c r="C616" s="11" t="s">
        <v>864</v>
      </c>
      <c r="D616" s="11" t="s">
        <v>21</v>
      </c>
      <c r="E616" s="20">
        <v>37351</v>
      </c>
      <c r="F616" s="2">
        <f t="shared" ca="1" si="10"/>
        <v>17</v>
      </c>
      <c r="G616" s="17"/>
      <c r="H616" s="41">
        <v>60507</v>
      </c>
      <c r="I616" s="19">
        <v>4</v>
      </c>
    </row>
    <row r="617" spans="1:9" x14ac:dyDescent="0.2">
      <c r="A617" s="11" t="s">
        <v>866</v>
      </c>
      <c r="B617" s="14" t="s">
        <v>51</v>
      </c>
      <c r="C617" s="11" t="s">
        <v>152</v>
      </c>
      <c r="D617" s="11" t="s">
        <v>29</v>
      </c>
      <c r="E617" s="20">
        <v>37864</v>
      </c>
      <c r="F617" s="2">
        <f t="shared" ca="1" si="10"/>
        <v>15</v>
      </c>
      <c r="G617" s="17" t="s">
        <v>30</v>
      </c>
      <c r="H617" s="41">
        <v>65354</v>
      </c>
      <c r="I617" s="19">
        <v>5</v>
      </c>
    </row>
    <row r="618" spans="1:9" x14ac:dyDescent="0.2">
      <c r="A618" s="11" t="s">
        <v>1472</v>
      </c>
      <c r="B618" s="14" t="s">
        <v>83</v>
      </c>
      <c r="C618" s="11" t="s">
        <v>478</v>
      </c>
      <c r="D618" s="11" t="s">
        <v>29</v>
      </c>
      <c r="E618" s="20">
        <v>35616</v>
      </c>
      <c r="F618" s="2">
        <f t="shared" ca="1" si="10"/>
        <v>21</v>
      </c>
      <c r="G618" s="17" t="s">
        <v>47</v>
      </c>
      <c r="H618" s="41">
        <v>52866</v>
      </c>
      <c r="I618" s="19">
        <v>3</v>
      </c>
    </row>
    <row r="619" spans="1:9" x14ac:dyDescent="0.2">
      <c r="A619" s="11" t="s">
        <v>473</v>
      </c>
      <c r="B619" s="14" t="s">
        <v>27</v>
      </c>
      <c r="C619" s="11" t="s">
        <v>145</v>
      </c>
      <c r="D619" s="11" t="s">
        <v>29</v>
      </c>
      <c r="E619" s="20">
        <v>35944</v>
      </c>
      <c r="F619" s="2">
        <f t="shared" ca="1" si="10"/>
        <v>21</v>
      </c>
      <c r="G619" s="17" t="s">
        <v>47</v>
      </c>
      <c r="H619" s="41">
        <v>73170</v>
      </c>
      <c r="I619" s="19">
        <v>4</v>
      </c>
    </row>
    <row r="620" spans="1:9" x14ac:dyDescent="0.2">
      <c r="A620" s="11" t="s">
        <v>817</v>
      </c>
      <c r="B620" s="14" t="s">
        <v>27</v>
      </c>
      <c r="C620" s="11" t="s">
        <v>205</v>
      </c>
      <c r="D620" s="11" t="s">
        <v>56</v>
      </c>
      <c r="E620" s="20">
        <v>39730</v>
      </c>
      <c r="F620" s="2">
        <f t="shared" ca="1" si="10"/>
        <v>10</v>
      </c>
      <c r="G620" s="17" t="s">
        <v>47</v>
      </c>
      <c r="H620" s="41">
        <v>114926</v>
      </c>
      <c r="I620" s="19">
        <v>5</v>
      </c>
    </row>
    <row r="621" spans="1:9" x14ac:dyDescent="0.2">
      <c r="A621" s="11" t="s">
        <v>394</v>
      </c>
      <c r="B621" s="14" t="s">
        <v>36</v>
      </c>
      <c r="C621" s="11" t="s">
        <v>249</v>
      </c>
      <c r="D621" s="11" t="s">
        <v>56</v>
      </c>
      <c r="E621" s="20">
        <v>39611</v>
      </c>
      <c r="F621" s="2">
        <f t="shared" ca="1" si="10"/>
        <v>10</v>
      </c>
      <c r="G621" s="17"/>
      <c r="H621" s="41">
        <v>14909</v>
      </c>
      <c r="I621" s="19">
        <v>2</v>
      </c>
    </row>
    <row r="622" spans="1:9" x14ac:dyDescent="0.2">
      <c r="A622" s="11" t="s">
        <v>1300</v>
      </c>
      <c r="B622" s="14" t="s">
        <v>19</v>
      </c>
      <c r="C622" s="11" t="s">
        <v>62</v>
      </c>
      <c r="D622" s="11" t="s">
        <v>80</v>
      </c>
      <c r="E622" s="20">
        <v>39566</v>
      </c>
      <c r="F622" s="2">
        <f t="shared" ca="1" si="10"/>
        <v>11</v>
      </c>
      <c r="G622" s="17" t="s">
        <v>71</v>
      </c>
      <c r="H622" s="41">
        <v>23942</v>
      </c>
      <c r="I622" s="19">
        <v>3</v>
      </c>
    </row>
    <row r="623" spans="1:9" x14ac:dyDescent="0.2">
      <c r="A623" s="11" t="s">
        <v>1030</v>
      </c>
      <c r="B623" s="14" t="s">
        <v>51</v>
      </c>
      <c r="C623" s="11" t="s">
        <v>59</v>
      </c>
      <c r="D623" s="11" t="s">
        <v>21</v>
      </c>
      <c r="E623" s="20">
        <v>41838</v>
      </c>
      <c r="F623" s="2">
        <f t="shared" ca="1" si="10"/>
        <v>4</v>
      </c>
      <c r="G623" s="17"/>
      <c r="H623" s="41">
        <v>76842</v>
      </c>
      <c r="I623" s="19">
        <v>4</v>
      </c>
    </row>
    <row r="624" spans="1:9" x14ac:dyDescent="0.2">
      <c r="A624" s="11" t="s">
        <v>636</v>
      </c>
      <c r="B624" s="14" t="s">
        <v>27</v>
      </c>
      <c r="C624" s="11" t="s">
        <v>145</v>
      </c>
      <c r="D624" s="11" t="s">
        <v>29</v>
      </c>
      <c r="E624" s="20">
        <v>35053</v>
      </c>
      <c r="F624" s="2">
        <f t="shared" ca="1" si="10"/>
        <v>23</v>
      </c>
      <c r="G624" s="17" t="s">
        <v>30</v>
      </c>
      <c r="H624" s="41">
        <v>33534</v>
      </c>
      <c r="I624" s="19">
        <v>1</v>
      </c>
    </row>
    <row r="625" spans="1:9" x14ac:dyDescent="0.2">
      <c r="A625" s="11" t="s">
        <v>1530</v>
      </c>
      <c r="B625" s="14" t="s">
        <v>43</v>
      </c>
      <c r="C625" s="11" t="s">
        <v>136</v>
      </c>
      <c r="D625" s="11" t="s">
        <v>29</v>
      </c>
      <c r="E625" s="20">
        <v>36935</v>
      </c>
      <c r="F625" s="2">
        <f t="shared" ca="1" si="10"/>
        <v>18</v>
      </c>
      <c r="G625" s="17" t="s">
        <v>71</v>
      </c>
      <c r="H625" s="41">
        <v>40176</v>
      </c>
      <c r="I625" s="19">
        <v>2</v>
      </c>
    </row>
    <row r="626" spans="1:9" x14ac:dyDescent="0.2">
      <c r="A626" s="11" t="s">
        <v>260</v>
      </c>
      <c r="B626" s="14" t="s">
        <v>27</v>
      </c>
      <c r="C626" s="11" t="s">
        <v>86</v>
      </c>
      <c r="D626" s="11" t="s">
        <v>29</v>
      </c>
      <c r="E626" s="20">
        <v>36659</v>
      </c>
      <c r="F626" s="2">
        <f t="shared" ca="1" si="10"/>
        <v>19</v>
      </c>
      <c r="G626" s="17" t="s">
        <v>71</v>
      </c>
      <c r="H626" s="41">
        <v>90342</v>
      </c>
      <c r="I626" s="19">
        <v>2</v>
      </c>
    </row>
    <row r="627" spans="1:9" x14ac:dyDescent="0.2">
      <c r="A627" s="11" t="s">
        <v>1520</v>
      </c>
      <c r="B627" s="14" t="s">
        <v>43</v>
      </c>
      <c r="C627" s="11" t="s">
        <v>214</v>
      </c>
      <c r="D627" s="11" t="s">
        <v>21</v>
      </c>
      <c r="E627" s="20">
        <v>40321</v>
      </c>
      <c r="F627" s="2">
        <f t="shared" ca="1" si="10"/>
        <v>9</v>
      </c>
      <c r="G627" s="17"/>
      <c r="H627" s="41">
        <v>53568</v>
      </c>
      <c r="I627" s="19">
        <v>1</v>
      </c>
    </row>
    <row r="628" spans="1:9" x14ac:dyDescent="0.2">
      <c r="A628" s="11" t="s">
        <v>522</v>
      </c>
      <c r="B628" s="14" t="s">
        <v>27</v>
      </c>
      <c r="C628" s="11" t="s">
        <v>254</v>
      </c>
      <c r="D628" s="11" t="s">
        <v>21</v>
      </c>
      <c r="E628" s="20">
        <v>35595</v>
      </c>
      <c r="F628" s="2">
        <f t="shared" ca="1" si="10"/>
        <v>21</v>
      </c>
      <c r="G628" s="17"/>
      <c r="H628" s="41">
        <v>44078</v>
      </c>
      <c r="I628" s="19">
        <v>1</v>
      </c>
    </row>
    <row r="629" spans="1:9" x14ac:dyDescent="0.2">
      <c r="A629" s="11" t="s">
        <v>68</v>
      </c>
      <c r="B629" s="14" t="s">
        <v>19</v>
      </c>
      <c r="C629" s="11" t="s">
        <v>254</v>
      </c>
      <c r="D629" s="11" t="s">
        <v>80</v>
      </c>
      <c r="E629" s="20">
        <v>35286</v>
      </c>
      <c r="F629" s="2">
        <f t="shared" ca="1" si="10"/>
        <v>22</v>
      </c>
      <c r="G629" s="17" t="s">
        <v>87</v>
      </c>
      <c r="H629" s="41">
        <v>47311</v>
      </c>
      <c r="I629" s="19">
        <v>4</v>
      </c>
    </row>
    <row r="630" spans="1:9" x14ac:dyDescent="0.2">
      <c r="A630" s="11" t="s">
        <v>896</v>
      </c>
      <c r="B630" s="14" t="s">
        <v>83</v>
      </c>
      <c r="C630" s="11" t="s">
        <v>20</v>
      </c>
      <c r="D630" s="11" t="s">
        <v>21</v>
      </c>
      <c r="E630" s="20">
        <v>36903</v>
      </c>
      <c r="F630" s="2">
        <f t="shared" ca="1" si="10"/>
        <v>18</v>
      </c>
      <c r="G630" s="17"/>
      <c r="H630" s="41">
        <v>86927</v>
      </c>
      <c r="I630" s="19">
        <v>2</v>
      </c>
    </row>
    <row r="631" spans="1:9" x14ac:dyDescent="0.2">
      <c r="A631" s="11" t="s">
        <v>1160</v>
      </c>
      <c r="B631" s="14" t="s">
        <v>36</v>
      </c>
      <c r="C631" s="11" t="s">
        <v>59</v>
      </c>
      <c r="D631" s="11" t="s">
        <v>21</v>
      </c>
      <c r="E631" s="20">
        <v>42043</v>
      </c>
      <c r="F631" s="2">
        <f t="shared" ca="1" si="10"/>
        <v>4</v>
      </c>
      <c r="G631" s="17"/>
      <c r="H631" s="41">
        <v>61709</v>
      </c>
      <c r="I631" s="19">
        <v>3</v>
      </c>
    </row>
    <row r="632" spans="1:9" x14ac:dyDescent="0.2">
      <c r="A632" s="11" t="s">
        <v>1306</v>
      </c>
      <c r="B632" s="14" t="s">
        <v>27</v>
      </c>
      <c r="C632" s="11" t="s">
        <v>214</v>
      </c>
      <c r="D632" s="11" t="s">
        <v>21</v>
      </c>
      <c r="E632" s="20">
        <v>39828</v>
      </c>
      <c r="F632" s="2">
        <f t="shared" ca="1" si="10"/>
        <v>10</v>
      </c>
      <c r="G632" s="17"/>
      <c r="H632" s="41">
        <v>77504</v>
      </c>
      <c r="I632" s="19">
        <v>2</v>
      </c>
    </row>
    <row r="633" spans="1:9" x14ac:dyDescent="0.2">
      <c r="A633" s="11" t="s">
        <v>1278</v>
      </c>
      <c r="B633" s="14" t="s">
        <v>27</v>
      </c>
      <c r="C633" s="11" t="s">
        <v>28</v>
      </c>
      <c r="D633" s="11" t="s">
        <v>29</v>
      </c>
      <c r="E633" s="20">
        <v>34855</v>
      </c>
      <c r="F633" s="2">
        <f t="shared" ca="1" si="10"/>
        <v>24</v>
      </c>
      <c r="G633" s="17" t="s">
        <v>30</v>
      </c>
      <c r="H633" s="41">
        <v>93231</v>
      </c>
      <c r="I633" s="19">
        <v>1</v>
      </c>
    </row>
    <row r="634" spans="1:9" x14ac:dyDescent="0.2">
      <c r="A634" s="11" t="s">
        <v>1558</v>
      </c>
      <c r="B634" s="14" t="s">
        <v>36</v>
      </c>
      <c r="C634" s="11" t="s">
        <v>478</v>
      </c>
      <c r="D634" s="11" t="s">
        <v>29</v>
      </c>
      <c r="E634" s="20">
        <v>42097</v>
      </c>
      <c r="F634" s="2">
        <f t="shared" ca="1" si="10"/>
        <v>4</v>
      </c>
      <c r="G634" s="17" t="s">
        <v>30</v>
      </c>
      <c r="H634" s="41">
        <v>36788</v>
      </c>
      <c r="I634" s="19">
        <v>5</v>
      </c>
    </row>
    <row r="635" spans="1:9" x14ac:dyDescent="0.2">
      <c r="A635" s="11" t="s">
        <v>348</v>
      </c>
      <c r="B635" s="14" t="s">
        <v>19</v>
      </c>
      <c r="C635" s="11" t="s">
        <v>214</v>
      </c>
      <c r="D635" s="11" t="s">
        <v>29</v>
      </c>
      <c r="E635" s="20">
        <v>35505</v>
      </c>
      <c r="F635" s="2">
        <f t="shared" ca="1" si="10"/>
        <v>22</v>
      </c>
      <c r="G635" s="17" t="s">
        <v>30</v>
      </c>
      <c r="H635" s="41">
        <v>35357</v>
      </c>
      <c r="I635" s="19">
        <v>5</v>
      </c>
    </row>
    <row r="636" spans="1:9" x14ac:dyDescent="0.2">
      <c r="A636" s="11" t="s">
        <v>1144</v>
      </c>
      <c r="B636" s="14" t="s">
        <v>19</v>
      </c>
      <c r="C636" s="11" t="s">
        <v>59</v>
      </c>
      <c r="D636" s="11" t="s">
        <v>21</v>
      </c>
      <c r="E636" s="20">
        <v>42020</v>
      </c>
      <c r="F636" s="2">
        <f t="shared" ca="1" si="10"/>
        <v>4</v>
      </c>
      <c r="G636" s="17"/>
      <c r="H636" s="41">
        <v>61871</v>
      </c>
      <c r="I636" s="19">
        <v>4</v>
      </c>
    </row>
    <row r="637" spans="1:9" x14ac:dyDescent="0.2">
      <c r="A637" s="11" t="s">
        <v>1164</v>
      </c>
      <c r="B637" s="14" t="s">
        <v>43</v>
      </c>
      <c r="C637" s="11" t="s">
        <v>59</v>
      </c>
      <c r="D637" s="11" t="s">
        <v>21</v>
      </c>
      <c r="E637" s="20">
        <v>36545</v>
      </c>
      <c r="F637" s="2">
        <f t="shared" ca="1" si="10"/>
        <v>19</v>
      </c>
      <c r="G637" s="17"/>
      <c r="H637" s="41">
        <v>60804</v>
      </c>
      <c r="I637" s="19">
        <v>5</v>
      </c>
    </row>
    <row r="638" spans="1:9" x14ac:dyDescent="0.2">
      <c r="A638" s="11" t="s">
        <v>471</v>
      </c>
      <c r="B638" s="14" t="s">
        <v>43</v>
      </c>
      <c r="C638" s="11" t="s">
        <v>62</v>
      </c>
      <c r="D638" s="11" t="s">
        <v>21</v>
      </c>
      <c r="E638" s="20">
        <v>38561</v>
      </c>
      <c r="F638" s="2">
        <f t="shared" ca="1" si="10"/>
        <v>13</v>
      </c>
      <c r="G638" s="17"/>
      <c r="H638" s="41">
        <v>103532</v>
      </c>
      <c r="I638" s="19">
        <v>3</v>
      </c>
    </row>
    <row r="639" spans="1:9" x14ac:dyDescent="0.2">
      <c r="A639" s="11" t="s">
        <v>1260</v>
      </c>
      <c r="B639" s="14" t="s">
        <v>27</v>
      </c>
      <c r="C639" s="11" t="s">
        <v>86</v>
      </c>
      <c r="D639" s="11" t="s">
        <v>29</v>
      </c>
      <c r="E639" s="20">
        <v>35818</v>
      </c>
      <c r="F639" s="2">
        <f t="shared" ca="1" si="10"/>
        <v>21</v>
      </c>
      <c r="G639" s="17" t="s">
        <v>38</v>
      </c>
      <c r="H639" s="41">
        <v>60993</v>
      </c>
      <c r="I639" s="19">
        <v>5</v>
      </c>
    </row>
    <row r="640" spans="1:9" x14ac:dyDescent="0.2">
      <c r="A640" s="11" t="s">
        <v>1234</v>
      </c>
      <c r="B640" s="14" t="s">
        <v>36</v>
      </c>
      <c r="C640" s="11" t="s">
        <v>145</v>
      </c>
      <c r="D640" s="11" t="s">
        <v>56</v>
      </c>
      <c r="E640" s="20">
        <v>36818</v>
      </c>
      <c r="F640" s="2">
        <f t="shared" ca="1" si="10"/>
        <v>18</v>
      </c>
      <c r="G640" s="17"/>
      <c r="H640" s="41">
        <v>31984</v>
      </c>
      <c r="I640" s="19">
        <v>4</v>
      </c>
    </row>
    <row r="641" spans="1:9" x14ac:dyDescent="0.2">
      <c r="A641" s="11" t="s">
        <v>378</v>
      </c>
      <c r="B641" s="14" t="s">
        <v>83</v>
      </c>
      <c r="C641" s="11" t="s">
        <v>86</v>
      </c>
      <c r="D641" s="11" t="s">
        <v>29</v>
      </c>
      <c r="E641" s="20">
        <v>35031</v>
      </c>
      <c r="F641" s="2">
        <f t="shared" ca="1" si="10"/>
        <v>23</v>
      </c>
      <c r="G641" s="17" t="s">
        <v>47</v>
      </c>
      <c r="H641" s="41">
        <v>84699</v>
      </c>
      <c r="I641" s="19">
        <v>4</v>
      </c>
    </row>
    <row r="642" spans="1:9" x14ac:dyDescent="0.2">
      <c r="A642" s="11" t="s">
        <v>1308</v>
      </c>
      <c r="B642" s="14" t="s">
        <v>51</v>
      </c>
      <c r="C642" s="11" t="s">
        <v>59</v>
      </c>
      <c r="D642" s="11" t="s">
        <v>29</v>
      </c>
      <c r="E642" s="20">
        <v>35707</v>
      </c>
      <c r="F642" s="2">
        <f t="shared" ca="1" si="10"/>
        <v>21</v>
      </c>
      <c r="G642" s="17" t="s">
        <v>30</v>
      </c>
      <c r="H642" s="41">
        <v>62559</v>
      </c>
      <c r="I642" s="19">
        <v>5</v>
      </c>
    </row>
    <row r="643" spans="1:9" x14ac:dyDescent="0.2">
      <c r="A643" s="11" t="s">
        <v>1190</v>
      </c>
      <c r="B643" s="14" t="s">
        <v>27</v>
      </c>
      <c r="C643" s="11" t="s">
        <v>214</v>
      </c>
      <c r="D643" s="11" t="s">
        <v>56</v>
      </c>
      <c r="E643" s="20">
        <v>39514</v>
      </c>
      <c r="F643" s="2">
        <f t="shared" ref="F643:F706" ca="1" si="11">DATEDIF(E643,TODAY(),"Y")</f>
        <v>11</v>
      </c>
      <c r="G643" s="17"/>
      <c r="H643" s="41">
        <v>12004</v>
      </c>
      <c r="I643" s="19">
        <v>1</v>
      </c>
    </row>
    <row r="644" spans="1:9" x14ac:dyDescent="0.2">
      <c r="A644" s="11" t="s">
        <v>980</v>
      </c>
      <c r="B644" s="14" t="s">
        <v>27</v>
      </c>
      <c r="C644" s="11" t="s">
        <v>214</v>
      </c>
      <c r="D644" s="11" t="s">
        <v>21</v>
      </c>
      <c r="E644" s="20">
        <v>37781</v>
      </c>
      <c r="F644" s="2">
        <f t="shared" ca="1" si="11"/>
        <v>15</v>
      </c>
      <c r="G644" s="17"/>
      <c r="H644" s="41">
        <v>97902</v>
      </c>
      <c r="I644" s="19">
        <v>3</v>
      </c>
    </row>
    <row r="645" spans="1:9" x14ac:dyDescent="0.2">
      <c r="A645" s="11" t="s">
        <v>433</v>
      </c>
      <c r="B645" s="14" t="s">
        <v>27</v>
      </c>
      <c r="C645" s="11" t="s">
        <v>59</v>
      </c>
      <c r="D645" s="11" t="s">
        <v>29</v>
      </c>
      <c r="E645" s="20">
        <v>42254</v>
      </c>
      <c r="F645" s="2">
        <f t="shared" ca="1" si="11"/>
        <v>3</v>
      </c>
      <c r="G645" s="17" t="s">
        <v>30</v>
      </c>
      <c r="H645" s="41">
        <v>57537</v>
      </c>
      <c r="I645" s="19">
        <v>3</v>
      </c>
    </row>
    <row r="646" spans="1:9" x14ac:dyDescent="0.2">
      <c r="A646" s="11" t="s">
        <v>932</v>
      </c>
      <c r="B646" s="14" t="s">
        <v>36</v>
      </c>
      <c r="C646" s="11" t="s">
        <v>214</v>
      </c>
      <c r="D646" s="11" t="s">
        <v>21</v>
      </c>
      <c r="E646" s="20">
        <v>39604</v>
      </c>
      <c r="F646" s="2">
        <f t="shared" ca="1" si="11"/>
        <v>11</v>
      </c>
      <c r="G646" s="17"/>
      <c r="H646" s="41">
        <v>101817</v>
      </c>
      <c r="I646" s="19">
        <v>1</v>
      </c>
    </row>
    <row r="647" spans="1:9" x14ac:dyDescent="0.2">
      <c r="A647" s="11" t="s">
        <v>1746</v>
      </c>
      <c r="B647" s="14" t="s">
        <v>51</v>
      </c>
      <c r="C647" s="11" t="s">
        <v>641</v>
      </c>
      <c r="D647" s="11" t="s">
        <v>29</v>
      </c>
      <c r="E647" s="20">
        <v>42168</v>
      </c>
      <c r="F647" s="2">
        <f t="shared" ca="1" si="11"/>
        <v>3</v>
      </c>
      <c r="G647" s="17" t="s">
        <v>47</v>
      </c>
      <c r="H647" s="41">
        <v>63018</v>
      </c>
      <c r="I647" s="19">
        <v>1</v>
      </c>
    </row>
    <row r="648" spans="1:9" x14ac:dyDescent="0.2">
      <c r="A648" s="11" t="s">
        <v>1747</v>
      </c>
      <c r="B648" s="14" t="s">
        <v>27</v>
      </c>
      <c r="C648" s="11" t="s">
        <v>20</v>
      </c>
      <c r="D648" s="11" t="s">
        <v>56</v>
      </c>
      <c r="E648" s="20">
        <v>38386</v>
      </c>
      <c r="F648" s="2">
        <f t="shared" ca="1" si="11"/>
        <v>14</v>
      </c>
      <c r="G648" s="17"/>
      <c r="H648" s="41">
        <v>40608</v>
      </c>
      <c r="I648" s="19">
        <v>3</v>
      </c>
    </row>
    <row r="649" spans="1:9" x14ac:dyDescent="0.2">
      <c r="A649" s="11" t="s">
        <v>1294</v>
      </c>
      <c r="B649" s="14" t="s">
        <v>83</v>
      </c>
      <c r="C649" s="11" t="s">
        <v>214</v>
      </c>
      <c r="D649" s="11" t="s">
        <v>21</v>
      </c>
      <c r="E649" s="20">
        <v>36049</v>
      </c>
      <c r="F649" s="2">
        <f t="shared" ca="1" si="11"/>
        <v>20</v>
      </c>
      <c r="G649" s="17"/>
      <c r="H649" s="41">
        <v>47871</v>
      </c>
      <c r="I649" s="19">
        <v>3</v>
      </c>
    </row>
    <row r="650" spans="1:9" x14ac:dyDescent="0.2">
      <c r="A650" s="11" t="s">
        <v>238</v>
      </c>
      <c r="B650" s="14" t="s">
        <v>83</v>
      </c>
      <c r="C650" s="11" t="s">
        <v>152</v>
      </c>
      <c r="D650" s="11" t="s">
        <v>29</v>
      </c>
      <c r="E650" s="20">
        <v>35762</v>
      </c>
      <c r="F650" s="2">
        <f t="shared" ca="1" si="11"/>
        <v>21</v>
      </c>
      <c r="G650" s="17" t="s">
        <v>30</v>
      </c>
      <c r="H650" s="41">
        <v>62654</v>
      </c>
      <c r="I650" s="19">
        <v>2</v>
      </c>
    </row>
    <row r="651" spans="1:9" x14ac:dyDescent="0.2">
      <c r="A651" s="11" t="s">
        <v>435</v>
      </c>
      <c r="B651" s="14" t="s">
        <v>19</v>
      </c>
      <c r="C651" s="11" t="s">
        <v>214</v>
      </c>
      <c r="D651" s="11" t="s">
        <v>29</v>
      </c>
      <c r="E651" s="20">
        <v>37140</v>
      </c>
      <c r="F651" s="2">
        <f t="shared" ca="1" si="11"/>
        <v>17</v>
      </c>
      <c r="G651" s="17" t="s">
        <v>87</v>
      </c>
      <c r="H651" s="41">
        <v>61398</v>
      </c>
      <c r="I651" s="19">
        <v>4</v>
      </c>
    </row>
    <row r="652" spans="1:9" x14ac:dyDescent="0.2">
      <c r="A652" s="11" t="s">
        <v>368</v>
      </c>
      <c r="B652" s="14" t="s">
        <v>27</v>
      </c>
      <c r="C652" s="11" t="s">
        <v>136</v>
      </c>
      <c r="D652" s="11" t="s">
        <v>21</v>
      </c>
      <c r="E652" s="20">
        <v>39310</v>
      </c>
      <c r="F652" s="2">
        <f t="shared" ca="1" si="11"/>
        <v>11</v>
      </c>
      <c r="G652" s="17"/>
      <c r="H652" s="41">
        <v>83133</v>
      </c>
      <c r="I652" s="19">
        <v>3</v>
      </c>
    </row>
    <row r="653" spans="1:9" x14ac:dyDescent="0.2">
      <c r="A653" s="11" t="s">
        <v>176</v>
      </c>
      <c r="B653" s="14" t="s">
        <v>43</v>
      </c>
      <c r="C653" s="11" t="s">
        <v>214</v>
      </c>
      <c r="D653" s="11" t="s">
        <v>29</v>
      </c>
      <c r="E653" s="20">
        <v>38482</v>
      </c>
      <c r="F653" s="2">
        <f t="shared" ca="1" si="11"/>
        <v>14</v>
      </c>
      <c r="G653" s="17" t="s">
        <v>38</v>
      </c>
      <c r="H653" s="41">
        <v>31928</v>
      </c>
      <c r="I653" s="19">
        <v>1</v>
      </c>
    </row>
    <row r="654" spans="1:9" x14ac:dyDescent="0.2">
      <c r="A654" s="11" t="s">
        <v>606</v>
      </c>
      <c r="B654" s="14" t="s">
        <v>27</v>
      </c>
      <c r="C654" s="11" t="s">
        <v>152</v>
      </c>
      <c r="D654" s="11" t="s">
        <v>29</v>
      </c>
      <c r="E654" s="20">
        <v>37060</v>
      </c>
      <c r="F654" s="2">
        <f t="shared" ca="1" si="11"/>
        <v>17</v>
      </c>
      <c r="G654" s="17" t="s">
        <v>47</v>
      </c>
      <c r="H654" s="41">
        <v>78800</v>
      </c>
      <c r="I654" s="19">
        <v>5</v>
      </c>
    </row>
    <row r="655" spans="1:9" x14ac:dyDescent="0.2">
      <c r="A655" s="11" t="s">
        <v>948</v>
      </c>
      <c r="B655" s="14" t="s">
        <v>83</v>
      </c>
      <c r="C655" s="11" t="s">
        <v>214</v>
      </c>
      <c r="D655" s="11" t="s">
        <v>29</v>
      </c>
      <c r="E655" s="20">
        <v>37313</v>
      </c>
      <c r="F655" s="2">
        <f t="shared" ca="1" si="11"/>
        <v>17</v>
      </c>
      <c r="G655" s="17" t="s">
        <v>38</v>
      </c>
      <c r="H655" s="41">
        <v>60642</v>
      </c>
      <c r="I655" s="19">
        <v>1</v>
      </c>
    </row>
    <row r="656" spans="1:9" x14ac:dyDescent="0.2">
      <c r="A656" s="11" t="s">
        <v>1504</v>
      </c>
      <c r="B656" s="14" t="s">
        <v>27</v>
      </c>
      <c r="C656" s="11" t="s">
        <v>152</v>
      </c>
      <c r="D656" s="11" t="s">
        <v>29</v>
      </c>
      <c r="E656" s="20">
        <v>39594</v>
      </c>
      <c r="F656" s="2">
        <f t="shared" ca="1" si="11"/>
        <v>11</v>
      </c>
      <c r="G656" s="17" t="s">
        <v>30</v>
      </c>
      <c r="H656" s="41">
        <v>64814</v>
      </c>
      <c r="I656" s="19">
        <v>3</v>
      </c>
    </row>
    <row r="657" spans="1:9" x14ac:dyDescent="0.2">
      <c r="A657" s="11" t="s">
        <v>902</v>
      </c>
      <c r="B657" s="14" t="s">
        <v>27</v>
      </c>
      <c r="C657" s="11" t="s">
        <v>214</v>
      </c>
      <c r="D657" s="11" t="s">
        <v>21</v>
      </c>
      <c r="E657" s="20">
        <v>38513</v>
      </c>
      <c r="F657" s="2">
        <f t="shared" ca="1" si="11"/>
        <v>13</v>
      </c>
      <c r="G657" s="17"/>
      <c r="H657" s="41">
        <v>61317</v>
      </c>
      <c r="I657" s="19">
        <v>1</v>
      </c>
    </row>
    <row r="658" spans="1:9" x14ac:dyDescent="0.2">
      <c r="A658" s="11" t="s">
        <v>1482</v>
      </c>
      <c r="B658" s="14" t="s">
        <v>43</v>
      </c>
      <c r="C658" s="11" t="s">
        <v>214</v>
      </c>
      <c r="D658" s="11" t="s">
        <v>29</v>
      </c>
      <c r="E658" s="20">
        <v>37498</v>
      </c>
      <c r="F658" s="2">
        <f t="shared" ca="1" si="11"/>
        <v>16</v>
      </c>
      <c r="G658" s="17" t="s">
        <v>87</v>
      </c>
      <c r="H658" s="41">
        <v>94527</v>
      </c>
      <c r="I658" s="19">
        <v>3</v>
      </c>
    </row>
    <row r="659" spans="1:9" x14ac:dyDescent="0.2">
      <c r="A659" s="11" t="s">
        <v>888</v>
      </c>
      <c r="B659" s="14" t="s">
        <v>19</v>
      </c>
      <c r="C659" s="11" t="s">
        <v>214</v>
      </c>
      <c r="D659" s="11" t="s">
        <v>21</v>
      </c>
      <c r="E659" s="20">
        <v>36209</v>
      </c>
      <c r="F659" s="2">
        <f t="shared" ca="1" si="11"/>
        <v>20</v>
      </c>
      <c r="G659" s="17"/>
      <c r="H659" s="41">
        <v>85469</v>
      </c>
      <c r="I659" s="19">
        <v>3</v>
      </c>
    </row>
    <row r="660" spans="1:9" x14ac:dyDescent="0.2">
      <c r="A660" s="11" t="s">
        <v>303</v>
      </c>
      <c r="B660" s="14" t="s">
        <v>27</v>
      </c>
      <c r="C660" s="11" t="s">
        <v>214</v>
      </c>
      <c r="D660" s="11" t="s">
        <v>29</v>
      </c>
      <c r="E660" s="20">
        <v>39178</v>
      </c>
      <c r="F660" s="2">
        <f t="shared" ca="1" si="11"/>
        <v>12</v>
      </c>
      <c r="G660" s="17" t="s">
        <v>47</v>
      </c>
      <c r="H660" s="41">
        <v>39110</v>
      </c>
      <c r="I660" s="19">
        <v>3</v>
      </c>
    </row>
    <row r="661" spans="1:9" x14ac:dyDescent="0.2">
      <c r="A661" s="11" t="s">
        <v>1540</v>
      </c>
      <c r="B661" s="14" t="s">
        <v>43</v>
      </c>
      <c r="C661" s="11" t="s">
        <v>254</v>
      </c>
      <c r="D661" s="11" t="s">
        <v>80</v>
      </c>
      <c r="E661" s="20">
        <v>39254</v>
      </c>
      <c r="F661" s="2">
        <f t="shared" ca="1" si="11"/>
        <v>11</v>
      </c>
      <c r="G661" s="17" t="s">
        <v>47</v>
      </c>
      <c r="H661" s="41">
        <v>45644</v>
      </c>
      <c r="I661" s="19">
        <v>5</v>
      </c>
    </row>
    <row r="662" spans="1:9" x14ac:dyDescent="0.2">
      <c r="A662" s="11" t="s">
        <v>890</v>
      </c>
      <c r="B662" s="14" t="s">
        <v>43</v>
      </c>
      <c r="C662" s="11" t="s">
        <v>59</v>
      </c>
      <c r="D662" s="11" t="s">
        <v>29</v>
      </c>
      <c r="E662" s="20">
        <v>38427</v>
      </c>
      <c r="F662" s="2">
        <f t="shared" ca="1" si="11"/>
        <v>14</v>
      </c>
      <c r="G662" s="17" t="s">
        <v>30</v>
      </c>
      <c r="H662" s="41">
        <v>96363</v>
      </c>
      <c r="I662" s="19">
        <v>2</v>
      </c>
    </row>
    <row r="663" spans="1:9" x14ac:dyDescent="0.2">
      <c r="A663" s="11" t="s">
        <v>1198</v>
      </c>
      <c r="B663" s="14" t="s">
        <v>83</v>
      </c>
      <c r="C663" s="11" t="s">
        <v>214</v>
      </c>
      <c r="D663" s="11" t="s">
        <v>56</v>
      </c>
      <c r="E663" s="20">
        <v>37851</v>
      </c>
      <c r="F663" s="2">
        <f t="shared" ca="1" si="11"/>
        <v>15</v>
      </c>
      <c r="G663" s="17"/>
      <c r="H663" s="41">
        <v>50776</v>
      </c>
      <c r="I663" s="19">
        <v>4</v>
      </c>
    </row>
    <row r="664" spans="1:9" x14ac:dyDescent="0.2">
      <c r="A664" s="11" t="s">
        <v>922</v>
      </c>
      <c r="B664" s="14" t="s">
        <v>36</v>
      </c>
      <c r="C664" s="11" t="s">
        <v>214</v>
      </c>
      <c r="D664" s="11" t="s">
        <v>56</v>
      </c>
      <c r="E664" s="20">
        <v>41531</v>
      </c>
      <c r="F664" s="2">
        <f t="shared" ca="1" si="11"/>
        <v>5</v>
      </c>
      <c r="G664" s="17"/>
      <c r="H664" s="41">
        <v>14272</v>
      </c>
      <c r="I664" s="19">
        <v>4</v>
      </c>
    </row>
    <row r="665" spans="1:9" x14ac:dyDescent="0.2">
      <c r="A665" s="11" t="s">
        <v>616</v>
      </c>
      <c r="B665" s="14" t="s">
        <v>19</v>
      </c>
      <c r="C665" s="11" t="s">
        <v>205</v>
      </c>
      <c r="D665" s="11" t="s">
        <v>80</v>
      </c>
      <c r="E665" s="20">
        <v>36185</v>
      </c>
      <c r="F665" s="2">
        <f t="shared" ca="1" si="11"/>
        <v>20</v>
      </c>
      <c r="G665" s="17" t="s">
        <v>38</v>
      </c>
      <c r="H665" s="41">
        <v>121203</v>
      </c>
      <c r="I665" s="19">
        <v>4</v>
      </c>
    </row>
    <row r="666" spans="1:9" x14ac:dyDescent="0.2">
      <c r="A666" s="11" t="s">
        <v>628</v>
      </c>
      <c r="B666" s="14" t="s">
        <v>19</v>
      </c>
      <c r="C666" s="11" t="s">
        <v>145</v>
      </c>
      <c r="D666" s="11" t="s">
        <v>21</v>
      </c>
      <c r="E666" s="20">
        <v>38426</v>
      </c>
      <c r="F666" s="2">
        <f t="shared" ca="1" si="11"/>
        <v>14</v>
      </c>
      <c r="G666" s="17"/>
      <c r="H666" s="41">
        <v>104976</v>
      </c>
      <c r="I666" s="19">
        <v>3</v>
      </c>
    </row>
    <row r="667" spans="1:9" x14ac:dyDescent="0.2">
      <c r="A667" s="11" t="s">
        <v>727</v>
      </c>
      <c r="B667" s="14" t="s">
        <v>27</v>
      </c>
      <c r="C667" s="11" t="s">
        <v>152</v>
      </c>
      <c r="D667" s="11" t="s">
        <v>29</v>
      </c>
      <c r="E667" s="20">
        <v>38333</v>
      </c>
      <c r="F667" s="2">
        <f t="shared" ca="1" si="11"/>
        <v>14</v>
      </c>
      <c r="G667" s="17" t="s">
        <v>30</v>
      </c>
      <c r="H667" s="41">
        <v>47871</v>
      </c>
      <c r="I667" s="19">
        <v>1</v>
      </c>
    </row>
    <row r="668" spans="1:9" x14ac:dyDescent="0.2">
      <c r="A668" s="11" t="s">
        <v>1100</v>
      </c>
      <c r="B668" s="14" t="s">
        <v>19</v>
      </c>
      <c r="C668" s="11" t="s">
        <v>254</v>
      </c>
      <c r="D668" s="11" t="s">
        <v>29</v>
      </c>
      <c r="E668" s="20">
        <v>37753</v>
      </c>
      <c r="F668" s="2">
        <f t="shared" ca="1" si="11"/>
        <v>16</v>
      </c>
      <c r="G668" s="17" t="s">
        <v>47</v>
      </c>
      <c r="H668" s="41">
        <v>100616</v>
      </c>
      <c r="I668" s="19">
        <v>5</v>
      </c>
    </row>
    <row r="669" spans="1:9" x14ac:dyDescent="0.2">
      <c r="A669" s="11" t="s">
        <v>785</v>
      </c>
      <c r="B669" s="14" t="s">
        <v>43</v>
      </c>
      <c r="C669" s="11" t="s">
        <v>214</v>
      </c>
      <c r="D669" s="11" t="s">
        <v>80</v>
      </c>
      <c r="E669" s="20">
        <v>39404</v>
      </c>
      <c r="F669" s="2">
        <f t="shared" ca="1" si="11"/>
        <v>11</v>
      </c>
      <c r="G669" s="17" t="s">
        <v>47</v>
      </c>
      <c r="H669" s="41">
        <v>33021</v>
      </c>
      <c r="I669" s="19">
        <v>1</v>
      </c>
    </row>
    <row r="670" spans="1:9" x14ac:dyDescent="0.2">
      <c r="A670" s="11" t="s">
        <v>626</v>
      </c>
      <c r="B670" s="14" t="s">
        <v>27</v>
      </c>
      <c r="C670" s="11" t="s">
        <v>145</v>
      </c>
      <c r="D670" s="11" t="s">
        <v>21</v>
      </c>
      <c r="E670" s="20">
        <v>40577</v>
      </c>
      <c r="F670" s="2">
        <f t="shared" ca="1" si="11"/>
        <v>8</v>
      </c>
      <c r="G670" s="17"/>
      <c r="H670" s="41">
        <v>116006</v>
      </c>
      <c r="I670" s="19">
        <v>2</v>
      </c>
    </row>
    <row r="671" spans="1:9" x14ac:dyDescent="0.2">
      <c r="A671" s="11" t="s">
        <v>1534</v>
      </c>
      <c r="B671" s="14" t="s">
        <v>36</v>
      </c>
      <c r="C671" s="11" t="s">
        <v>28</v>
      </c>
      <c r="D671" s="11" t="s">
        <v>29</v>
      </c>
      <c r="E671" s="20">
        <v>37298</v>
      </c>
      <c r="F671" s="2">
        <f t="shared" ca="1" si="11"/>
        <v>17</v>
      </c>
      <c r="G671" s="17" t="s">
        <v>38</v>
      </c>
      <c r="H671" s="41">
        <v>35789</v>
      </c>
      <c r="I671" s="19">
        <v>1</v>
      </c>
    </row>
    <row r="672" spans="1:9" x14ac:dyDescent="0.2">
      <c r="A672" s="11" t="s">
        <v>1490</v>
      </c>
      <c r="B672" s="14" t="s">
        <v>27</v>
      </c>
      <c r="C672" s="11" t="s">
        <v>254</v>
      </c>
      <c r="D672" s="11" t="s">
        <v>29</v>
      </c>
      <c r="E672" s="20">
        <v>35426</v>
      </c>
      <c r="F672" s="2">
        <f t="shared" ca="1" si="11"/>
        <v>22</v>
      </c>
      <c r="G672" s="17" t="s">
        <v>47</v>
      </c>
      <c r="H672" s="41">
        <v>107690</v>
      </c>
      <c r="I672" s="19">
        <v>4</v>
      </c>
    </row>
    <row r="673" spans="1:9" x14ac:dyDescent="0.2">
      <c r="A673" s="11" t="s">
        <v>142</v>
      </c>
      <c r="B673" s="14" t="s">
        <v>19</v>
      </c>
      <c r="C673" s="11" t="s">
        <v>59</v>
      </c>
      <c r="D673" s="11" t="s">
        <v>21</v>
      </c>
      <c r="E673" s="20">
        <v>35733</v>
      </c>
      <c r="F673" s="2">
        <f t="shared" ca="1" si="11"/>
        <v>21</v>
      </c>
      <c r="G673" s="17"/>
      <c r="H673" s="41">
        <v>109445</v>
      </c>
      <c r="I673" s="19">
        <v>5</v>
      </c>
    </row>
    <row r="674" spans="1:9" x14ac:dyDescent="0.2">
      <c r="A674" s="11" t="s">
        <v>687</v>
      </c>
      <c r="B674" s="14" t="s">
        <v>51</v>
      </c>
      <c r="C674" s="11" t="s">
        <v>52</v>
      </c>
      <c r="D674" s="11" t="s">
        <v>21</v>
      </c>
      <c r="E674" s="20">
        <v>37960</v>
      </c>
      <c r="F674" s="2">
        <f t="shared" ca="1" si="11"/>
        <v>15</v>
      </c>
      <c r="G674" s="17"/>
      <c r="H674" s="41">
        <v>44469</v>
      </c>
      <c r="I674" s="19">
        <v>5</v>
      </c>
    </row>
    <row r="675" spans="1:9" x14ac:dyDescent="0.2">
      <c r="A675" s="11" t="s">
        <v>536</v>
      </c>
      <c r="B675" s="14" t="s">
        <v>43</v>
      </c>
      <c r="C675" s="11" t="s">
        <v>20</v>
      </c>
      <c r="D675" s="11" t="s">
        <v>56</v>
      </c>
      <c r="E675" s="20">
        <v>37843</v>
      </c>
      <c r="F675" s="2">
        <f t="shared" ca="1" si="11"/>
        <v>15</v>
      </c>
      <c r="G675" s="17"/>
      <c r="H675" s="41">
        <v>24975</v>
      </c>
      <c r="I675" s="19">
        <v>5</v>
      </c>
    </row>
    <row r="676" spans="1:9" x14ac:dyDescent="0.2">
      <c r="A676" s="11" t="s">
        <v>186</v>
      </c>
      <c r="B676" s="14" t="s">
        <v>27</v>
      </c>
      <c r="C676" s="11" t="s">
        <v>136</v>
      </c>
      <c r="D676" s="11" t="s">
        <v>29</v>
      </c>
      <c r="E676" s="20">
        <v>41230</v>
      </c>
      <c r="F676" s="2">
        <f t="shared" ca="1" si="11"/>
        <v>6</v>
      </c>
      <c r="G676" s="17" t="s">
        <v>47</v>
      </c>
      <c r="H676" s="41">
        <v>60278</v>
      </c>
      <c r="I676" s="19">
        <v>1</v>
      </c>
    </row>
    <row r="677" spans="1:9" x14ac:dyDescent="0.2">
      <c r="A677" s="11" t="s">
        <v>622</v>
      </c>
      <c r="B677" s="14" t="s">
        <v>27</v>
      </c>
      <c r="C677" s="11" t="s">
        <v>145</v>
      </c>
      <c r="D677" s="11" t="s">
        <v>29</v>
      </c>
      <c r="E677" s="20">
        <v>35006</v>
      </c>
      <c r="F677" s="2">
        <f t="shared" ca="1" si="11"/>
        <v>23</v>
      </c>
      <c r="G677" s="17" t="s">
        <v>47</v>
      </c>
      <c r="H677" s="41">
        <v>72765</v>
      </c>
      <c r="I677" s="19">
        <v>5</v>
      </c>
    </row>
    <row r="678" spans="1:9" x14ac:dyDescent="0.2">
      <c r="A678" s="11" t="s">
        <v>1056</v>
      </c>
      <c r="B678" s="14" t="s">
        <v>19</v>
      </c>
      <c r="C678" s="11" t="s">
        <v>152</v>
      </c>
      <c r="D678" s="11" t="s">
        <v>29</v>
      </c>
      <c r="E678" s="20">
        <v>41802</v>
      </c>
      <c r="F678" s="2">
        <f t="shared" ca="1" si="11"/>
        <v>4</v>
      </c>
      <c r="G678" s="17" t="s">
        <v>30</v>
      </c>
      <c r="H678" s="41">
        <v>47237</v>
      </c>
      <c r="I678" s="19">
        <v>3</v>
      </c>
    </row>
    <row r="679" spans="1:9" x14ac:dyDescent="0.2">
      <c r="A679" s="11" t="s">
        <v>835</v>
      </c>
      <c r="B679" s="14" t="s">
        <v>83</v>
      </c>
      <c r="C679" s="11" t="s">
        <v>152</v>
      </c>
      <c r="D679" s="11" t="s">
        <v>21</v>
      </c>
      <c r="E679" s="20">
        <v>37064</v>
      </c>
      <c r="F679" s="2">
        <f t="shared" ca="1" si="11"/>
        <v>17</v>
      </c>
      <c r="G679" s="17"/>
      <c r="H679" s="41">
        <v>56390</v>
      </c>
      <c r="I679" s="19">
        <v>5</v>
      </c>
    </row>
    <row r="680" spans="1:9" x14ac:dyDescent="0.2">
      <c r="A680" s="11" t="s">
        <v>1178</v>
      </c>
      <c r="B680" s="14" t="s">
        <v>43</v>
      </c>
      <c r="C680" s="11" t="s">
        <v>136</v>
      </c>
      <c r="D680" s="11" t="s">
        <v>80</v>
      </c>
      <c r="E680" s="20">
        <v>36577</v>
      </c>
      <c r="F680" s="2">
        <f t="shared" ca="1" si="11"/>
        <v>19</v>
      </c>
      <c r="G680" s="17" t="s">
        <v>30</v>
      </c>
      <c r="H680" s="41">
        <v>14445</v>
      </c>
      <c r="I680" s="19">
        <v>4</v>
      </c>
    </row>
    <row r="681" spans="1:9" x14ac:dyDescent="0.2">
      <c r="A681" s="11" t="s">
        <v>1188</v>
      </c>
      <c r="B681" s="14" t="s">
        <v>27</v>
      </c>
      <c r="C681" s="11" t="s">
        <v>145</v>
      </c>
      <c r="D681" s="11" t="s">
        <v>29</v>
      </c>
      <c r="E681" s="20">
        <v>37353</v>
      </c>
      <c r="F681" s="2">
        <f t="shared" ca="1" si="11"/>
        <v>17</v>
      </c>
      <c r="G681" s="17" t="s">
        <v>30</v>
      </c>
      <c r="H681" s="41">
        <v>50990</v>
      </c>
      <c r="I681" s="19">
        <v>5</v>
      </c>
    </row>
    <row r="682" spans="1:9" x14ac:dyDescent="0.2">
      <c r="A682" s="11" t="s">
        <v>311</v>
      </c>
      <c r="B682" s="14" t="s">
        <v>43</v>
      </c>
      <c r="C682" s="11" t="s">
        <v>136</v>
      </c>
      <c r="D682" s="11" t="s">
        <v>21</v>
      </c>
      <c r="E682" s="20">
        <v>35362</v>
      </c>
      <c r="F682" s="2">
        <f t="shared" ca="1" si="11"/>
        <v>22</v>
      </c>
      <c r="G682" s="17"/>
      <c r="H682" s="41">
        <v>68634</v>
      </c>
      <c r="I682" s="19">
        <v>4</v>
      </c>
    </row>
    <row r="683" spans="1:9" x14ac:dyDescent="0.2">
      <c r="A683" s="11" t="s">
        <v>859</v>
      </c>
      <c r="B683" s="14" t="s">
        <v>83</v>
      </c>
      <c r="C683" s="11" t="s">
        <v>86</v>
      </c>
      <c r="D683" s="11" t="s">
        <v>21</v>
      </c>
      <c r="E683" s="20">
        <v>36731</v>
      </c>
      <c r="F683" s="2">
        <f t="shared" ca="1" si="11"/>
        <v>18</v>
      </c>
      <c r="G683" s="17"/>
      <c r="H683" s="41">
        <v>110606</v>
      </c>
      <c r="I683" s="19">
        <v>5</v>
      </c>
    </row>
    <row r="684" spans="1:9" x14ac:dyDescent="0.2">
      <c r="A684" s="11" t="s">
        <v>313</v>
      </c>
      <c r="B684" s="14" t="s">
        <v>27</v>
      </c>
      <c r="C684" s="11" t="s">
        <v>641</v>
      </c>
      <c r="D684" s="11" t="s">
        <v>21</v>
      </c>
      <c r="E684" s="20">
        <v>35787</v>
      </c>
      <c r="F684" s="2">
        <f t="shared" ca="1" si="11"/>
        <v>21</v>
      </c>
      <c r="G684" s="17"/>
      <c r="H684" s="41">
        <v>82026</v>
      </c>
      <c r="I684" s="19">
        <v>2</v>
      </c>
    </row>
    <row r="685" spans="1:9" x14ac:dyDescent="0.2">
      <c r="A685" s="11" t="s">
        <v>1014</v>
      </c>
      <c r="B685" s="14" t="s">
        <v>43</v>
      </c>
      <c r="C685" s="11" t="s">
        <v>145</v>
      </c>
      <c r="D685" s="11" t="s">
        <v>29</v>
      </c>
      <c r="E685" s="20">
        <v>38074</v>
      </c>
      <c r="F685" s="2">
        <f t="shared" ca="1" si="11"/>
        <v>15</v>
      </c>
      <c r="G685" s="17" t="s">
        <v>30</v>
      </c>
      <c r="H685" s="41">
        <v>52650</v>
      </c>
      <c r="I685" s="19">
        <v>3</v>
      </c>
    </row>
    <row r="686" spans="1:9" x14ac:dyDescent="0.2">
      <c r="A686" s="11" t="s">
        <v>1326</v>
      </c>
      <c r="B686" s="14" t="s">
        <v>43</v>
      </c>
      <c r="C686" s="11" t="s">
        <v>214</v>
      </c>
      <c r="D686" s="11" t="s">
        <v>21</v>
      </c>
      <c r="E686" s="20">
        <v>40073</v>
      </c>
      <c r="F686" s="2">
        <f t="shared" ca="1" si="11"/>
        <v>9</v>
      </c>
      <c r="G686" s="17"/>
      <c r="H686" s="41">
        <v>96971</v>
      </c>
      <c r="I686" s="19">
        <v>3</v>
      </c>
    </row>
    <row r="687" spans="1:9" x14ac:dyDescent="0.2">
      <c r="A687" s="11" t="s">
        <v>400</v>
      </c>
      <c r="B687" s="14" t="s">
        <v>43</v>
      </c>
      <c r="C687" s="11" t="s">
        <v>145</v>
      </c>
      <c r="D687" s="11" t="s">
        <v>21</v>
      </c>
      <c r="E687" s="20">
        <v>37854</v>
      </c>
      <c r="F687" s="2">
        <f t="shared" ca="1" si="11"/>
        <v>15</v>
      </c>
      <c r="G687" s="17"/>
      <c r="H687" s="41">
        <v>79718</v>
      </c>
      <c r="I687" s="19">
        <v>4</v>
      </c>
    </row>
    <row r="688" spans="1:9" x14ac:dyDescent="0.2">
      <c r="A688" s="11" t="s">
        <v>277</v>
      </c>
      <c r="B688" s="14" t="s">
        <v>19</v>
      </c>
      <c r="C688" s="11" t="s">
        <v>145</v>
      </c>
      <c r="D688" s="11" t="s">
        <v>21</v>
      </c>
      <c r="E688" s="20">
        <v>35205</v>
      </c>
      <c r="F688" s="2">
        <f t="shared" ca="1" si="11"/>
        <v>23</v>
      </c>
      <c r="G688" s="17"/>
      <c r="H688" s="41">
        <v>62978</v>
      </c>
      <c r="I688" s="19">
        <v>2</v>
      </c>
    </row>
    <row r="689" spans="1:9" x14ac:dyDescent="0.2">
      <c r="A689" s="11" t="s">
        <v>1456</v>
      </c>
      <c r="B689" s="14" t="s">
        <v>19</v>
      </c>
      <c r="C689" s="11" t="s">
        <v>59</v>
      </c>
      <c r="D689" s="11" t="s">
        <v>29</v>
      </c>
      <c r="E689" s="20">
        <v>35189</v>
      </c>
      <c r="F689" s="2">
        <f t="shared" ca="1" si="11"/>
        <v>23</v>
      </c>
      <c r="G689" s="17" t="s">
        <v>30</v>
      </c>
      <c r="H689" s="41">
        <v>43389</v>
      </c>
      <c r="I689" s="19">
        <v>2</v>
      </c>
    </row>
    <row r="690" spans="1:9" x14ac:dyDescent="0.2">
      <c r="A690" s="11" t="s">
        <v>502</v>
      </c>
      <c r="B690" s="14" t="s">
        <v>27</v>
      </c>
      <c r="C690" s="11" t="s">
        <v>136</v>
      </c>
      <c r="D690" s="11" t="s">
        <v>29</v>
      </c>
      <c r="E690" s="20">
        <v>42261</v>
      </c>
      <c r="F690" s="2">
        <f t="shared" ca="1" si="11"/>
        <v>3</v>
      </c>
      <c r="G690" s="17" t="s">
        <v>38</v>
      </c>
      <c r="H690" s="41">
        <v>85328</v>
      </c>
      <c r="I690" s="19">
        <v>1</v>
      </c>
    </row>
    <row r="691" spans="1:9" x14ac:dyDescent="0.2">
      <c r="A691" s="11" t="s">
        <v>1180</v>
      </c>
      <c r="B691" s="14" t="s">
        <v>36</v>
      </c>
      <c r="C691" s="11" t="s">
        <v>20</v>
      </c>
      <c r="D691" s="11" t="s">
        <v>21</v>
      </c>
      <c r="E691" s="20">
        <v>37724</v>
      </c>
      <c r="F691" s="2">
        <f t="shared" ca="1" si="11"/>
        <v>16</v>
      </c>
      <c r="G691" s="17"/>
      <c r="H691" s="41">
        <v>118800</v>
      </c>
      <c r="I691" s="19">
        <v>5</v>
      </c>
    </row>
    <row r="692" spans="1:9" x14ac:dyDescent="0.2">
      <c r="A692" s="11" t="s">
        <v>1748</v>
      </c>
      <c r="B692" s="14" t="s">
        <v>19</v>
      </c>
      <c r="C692" s="11" t="s">
        <v>249</v>
      </c>
      <c r="D692" s="11" t="s">
        <v>29</v>
      </c>
      <c r="E692" s="20">
        <v>38682</v>
      </c>
      <c r="F692" s="2">
        <f t="shared" ca="1" si="11"/>
        <v>13</v>
      </c>
      <c r="G692" s="17" t="s">
        <v>47</v>
      </c>
      <c r="H692" s="41">
        <v>96957</v>
      </c>
      <c r="I692" s="19">
        <v>2</v>
      </c>
    </row>
    <row r="693" spans="1:9" x14ac:dyDescent="0.2">
      <c r="A693" s="11" t="s">
        <v>1226</v>
      </c>
      <c r="B693" s="14" t="s">
        <v>27</v>
      </c>
      <c r="C693" s="11" t="s">
        <v>214</v>
      </c>
      <c r="D693" s="11" t="s">
        <v>21</v>
      </c>
      <c r="E693" s="20">
        <v>38761</v>
      </c>
      <c r="F693" s="2">
        <f t="shared" ca="1" si="11"/>
        <v>13</v>
      </c>
      <c r="G693" s="17"/>
      <c r="H693" s="41">
        <v>92489</v>
      </c>
      <c r="I693" s="19">
        <v>5</v>
      </c>
    </row>
    <row r="694" spans="1:9" x14ac:dyDescent="0.2">
      <c r="A694" s="11" t="s">
        <v>360</v>
      </c>
      <c r="B694" s="14" t="s">
        <v>27</v>
      </c>
      <c r="C694" s="11" t="s">
        <v>145</v>
      </c>
      <c r="D694" s="11" t="s">
        <v>21</v>
      </c>
      <c r="E694" s="20">
        <v>38263</v>
      </c>
      <c r="F694" s="2">
        <f t="shared" ca="1" si="11"/>
        <v>14</v>
      </c>
      <c r="G694" s="17"/>
      <c r="H694" s="41">
        <v>74034</v>
      </c>
      <c r="I694" s="19">
        <v>4</v>
      </c>
    </row>
    <row r="695" spans="1:9" x14ac:dyDescent="0.2">
      <c r="A695" s="11" t="s">
        <v>1302</v>
      </c>
      <c r="B695" s="14" t="s">
        <v>27</v>
      </c>
      <c r="C695" s="11" t="s">
        <v>254</v>
      </c>
      <c r="D695" s="11" t="s">
        <v>29</v>
      </c>
      <c r="E695" s="20">
        <v>41188</v>
      </c>
      <c r="F695" s="2">
        <f t="shared" ca="1" si="11"/>
        <v>6</v>
      </c>
      <c r="G695" s="17" t="s">
        <v>38</v>
      </c>
      <c r="H695" s="41">
        <v>68837</v>
      </c>
      <c r="I695" s="19">
        <v>4</v>
      </c>
    </row>
    <row r="696" spans="1:9" x14ac:dyDescent="0.2">
      <c r="A696" s="11" t="s">
        <v>236</v>
      </c>
      <c r="B696" s="14" t="s">
        <v>43</v>
      </c>
      <c r="C696" s="11" t="s">
        <v>136</v>
      </c>
      <c r="D696" s="11" t="s">
        <v>21</v>
      </c>
      <c r="E696" s="20">
        <v>35422</v>
      </c>
      <c r="F696" s="2">
        <f t="shared" ca="1" si="11"/>
        <v>22</v>
      </c>
      <c r="G696" s="17"/>
      <c r="H696" s="41">
        <v>64247</v>
      </c>
      <c r="I696" s="19">
        <v>3</v>
      </c>
    </row>
    <row r="697" spans="1:9" x14ac:dyDescent="0.2">
      <c r="A697" s="11" t="s">
        <v>596</v>
      </c>
      <c r="B697" s="14" t="s">
        <v>19</v>
      </c>
      <c r="C697" s="11" t="s">
        <v>214</v>
      </c>
      <c r="D697" s="11" t="s">
        <v>29</v>
      </c>
      <c r="E697" s="20">
        <v>36972</v>
      </c>
      <c r="F697" s="2">
        <f t="shared" ca="1" si="11"/>
        <v>18</v>
      </c>
      <c r="G697" s="17" t="s">
        <v>30</v>
      </c>
      <c r="H697" s="41">
        <v>59765</v>
      </c>
      <c r="I697" s="19">
        <v>2</v>
      </c>
    </row>
    <row r="698" spans="1:9" x14ac:dyDescent="0.2">
      <c r="A698" s="11" t="s">
        <v>1230</v>
      </c>
      <c r="B698" s="14" t="s">
        <v>36</v>
      </c>
      <c r="C698" s="11" t="s">
        <v>145</v>
      </c>
      <c r="D698" s="11" t="s">
        <v>29</v>
      </c>
      <c r="E698" s="20">
        <v>38298</v>
      </c>
      <c r="F698" s="2">
        <f t="shared" ca="1" si="11"/>
        <v>14</v>
      </c>
      <c r="G698" s="17" t="s">
        <v>30</v>
      </c>
      <c r="H698" s="41">
        <v>65138</v>
      </c>
      <c r="I698" s="19">
        <v>3</v>
      </c>
    </row>
    <row r="699" spans="1:9" x14ac:dyDescent="0.2">
      <c r="A699" s="11" t="s">
        <v>1036</v>
      </c>
      <c r="B699" s="14" t="s">
        <v>43</v>
      </c>
      <c r="C699" s="11" t="s">
        <v>86</v>
      </c>
      <c r="D699" s="11" t="s">
        <v>80</v>
      </c>
      <c r="E699" s="20">
        <v>37905</v>
      </c>
      <c r="F699" s="2">
        <f t="shared" ca="1" si="11"/>
        <v>15</v>
      </c>
      <c r="G699" s="17" t="s">
        <v>30</v>
      </c>
      <c r="H699" s="41">
        <v>38988</v>
      </c>
      <c r="I699" s="19">
        <v>3</v>
      </c>
    </row>
    <row r="700" spans="1:9" x14ac:dyDescent="0.2">
      <c r="A700" s="11" t="s">
        <v>566</v>
      </c>
      <c r="B700" s="14" t="s">
        <v>43</v>
      </c>
      <c r="C700" s="11" t="s">
        <v>152</v>
      </c>
      <c r="D700" s="11" t="s">
        <v>21</v>
      </c>
      <c r="E700" s="20">
        <v>35573</v>
      </c>
      <c r="F700" s="2">
        <f t="shared" ca="1" si="11"/>
        <v>22</v>
      </c>
      <c r="G700" s="17"/>
      <c r="H700" s="41">
        <v>79823</v>
      </c>
      <c r="I700" s="19">
        <v>4</v>
      </c>
    </row>
    <row r="701" spans="1:9" x14ac:dyDescent="0.2">
      <c r="A701" s="11" t="s">
        <v>439</v>
      </c>
      <c r="B701" s="14" t="s">
        <v>83</v>
      </c>
      <c r="C701" s="11" t="s">
        <v>145</v>
      </c>
      <c r="D701" s="11" t="s">
        <v>29</v>
      </c>
      <c r="E701" s="20">
        <v>37499</v>
      </c>
      <c r="F701" s="2">
        <f t="shared" ca="1" si="11"/>
        <v>16</v>
      </c>
      <c r="G701" s="17" t="s">
        <v>30</v>
      </c>
      <c r="H701" s="41">
        <v>43362</v>
      </c>
      <c r="I701" s="19">
        <v>1</v>
      </c>
    </row>
    <row r="702" spans="1:9" x14ac:dyDescent="0.2">
      <c r="A702" s="11" t="s">
        <v>1174</v>
      </c>
      <c r="B702" s="14" t="s">
        <v>51</v>
      </c>
      <c r="C702" s="11" t="s">
        <v>214</v>
      </c>
      <c r="D702" s="11" t="s">
        <v>29</v>
      </c>
      <c r="E702" s="20">
        <v>37585</v>
      </c>
      <c r="F702" s="2">
        <f t="shared" ca="1" si="11"/>
        <v>16</v>
      </c>
      <c r="G702" s="17" t="s">
        <v>47</v>
      </c>
      <c r="H702" s="41">
        <v>106070</v>
      </c>
      <c r="I702" s="19">
        <v>1</v>
      </c>
    </row>
    <row r="703" spans="1:9" x14ac:dyDescent="0.2">
      <c r="A703" s="11" t="s">
        <v>944</v>
      </c>
      <c r="B703" s="14" t="s">
        <v>83</v>
      </c>
      <c r="C703" s="11" t="s">
        <v>152</v>
      </c>
      <c r="D703" s="11" t="s">
        <v>80</v>
      </c>
      <c r="E703" s="20">
        <v>37837</v>
      </c>
      <c r="F703" s="2">
        <f t="shared" ca="1" si="11"/>
        <v>15</v>
      </c>
      <c r="G703" s="17" t="s">
        <v>71</v>
      </c>
      <c r="H703" s="41">
        <v>62242</v>
      </c>
      <c r="I703" s="19">
        <v>5</v>
      </c>
    </row>
    <row r="704" spans="1:9" x14ac:dyDescent="0.2">
      <c r="A704" s="11" t="s">
        <v>564</v>
      </c>
      <c r="B704" s="14" t="s">
        <v>43</v>
      </c>
      <c r="C704" s="11" t="s">
        <v>254</v>
      </c>
      <c r="D704" s="11" t="s">
        <v>29</v>
      </c>
      <c r="E704" s="20">
        <v>41441</v>
      </c>
      <c r="F704" s="2">
        <f t="shared" ca="1" si="11"/>
        <v>5</v>
      </c>
      <c r="G704" s="17" t="s">
        <v>71</v>
      </c>
      <c r="H704" s="41">
        <v>109188</v>
      </c>
      <c r="I704" s="19">
        <v>1</v>
      </c>
    </row>
    <row r="705" spans="1:9" x14ac:dyDescent="0.2">
      <c r="A705" s="11" t="s">
        <v>894</v>
      </c>
      <c r="B705" s="14" t="s">
        <v>83</v>
      </c>
      <c r="C705" s="11" t="s">
        <v>152</v>
      </c>
      <c r="D705" s="11" t="s">
        <v>21</v>
      </c>
      <c r="E705" s="20">
        <v>35943</v>
      </c>
      <c r="F705" s="2">
        <f t="shared" ca="1" si="11"/>
        <v>21</v>
      </c>
      <c r="G705" s="17"/>
      <c r="H705" s="41">
        <v>47574</v>
      </c>
      <c r="I705" s="19">
        <v>3</v>
      </c>
    </row>
    <row r="706" spans="1:9" x14ac:dyDescent="0.2">
      <c r="A706" s="11" t="s">
        <v>1749</v>
      </c>
      <c r="B706" s="14" t="s">
        <v>43</v>
      </c>
      <c r="C706" s="11" t="s">
        <v>152</v>
      </c>
      <c r="D706" s="11" t="s">
        <v>80</v>
      </c>
      <c r="E706" s="20">
        <v>36744</v>
      </c>
      <c r="F706" s="2">
        <f t="shared" ca="1" si="11"/>
        <v>18</v>
      </c>
      <c r="G706" s="17" t="s">
        <v>71</v>
      </c>
      <c r="H706" s="41">
        <v>31050</v>
      </c>
      <c r="I706" s="19">
        <v>4</v>
      </c>
    </row>
    <row r="707" spans="1:9" x14ac:dyDescent="0.2">
      <c r="A707" s="11" t="s">
        <v>380</v>
      </c>
      <c r="B707" s="14" t="s">
        <v>83</v>
      </c>
      <c r="C707" s="11" t="s">
        <v>249</v>
      </c>
      <c r="D707" s="11" t="s">
        <v>80</v>
      </c>
      <c r="E707" s="20">
        <v>36934</v>
      </c>
      <c r="F707" s="2">
        <f t="shared" ref="F707:F763" ca="1" si="12">DATEDIF(E707,TODAY(),"Y")</f>
        <v>18</v>
      </c>
      <c r="G707" s="17" t="s">
        <v>47</v>
      </c>
      <c r="H707" s="41">
        <v>66697</v>
      </c>
      <c r="I707" s="19">
        <v>4</v>
      </c>
    </row>
    <row r="708" spans="1:9" x14ac:dyDescent="0.2">
      <c r="A708" s="11" t="s">
        <v>1082</v>
      </c>
      <c r="B708" s="14" t="s">
        <v>27</v>
      </c>
      <c r="C708" s="11" t="s">
        <v>20</v>
      </c>
      <c r="D708" s="11" t="s">
        <v>29</v>
      </c>
      <c r="E708" s="20">
        <v>36991</v>
      </c>
      <c r="F708" s="2">
        <f t="shared" ca="1" si="12"/>
        <v>18</v>
      </c>
      <c r="G708" s="17" t="s">
        <v>38</v>
      </c>
      <c r="H708" s="41">
        <v>104733</v>
      </c>
      <c r="I708" s="19">
        <v>3</v>
      </c>
    </row>
    <row r="709" spans="1:9" x14ac:dyDescent="0.2">
      <c r="A709" s="11" t="s">
        <v>1002</v>
      </c>
      <c r="B709" s="14" t="s">
        <v>19</v>
      </c>
      <c r="C709" s="11" t="s">
        <v>20</v>
      </c>
      <c r="D709" s="11" t="s">
        <v>80</v>
      </c>
      <c r="E709" s="20">
        <v>35950</v>
      </c>
      <c r="F709" s="2">
        <f t="shared" ca="1" si="12"/>
        <v>21</v>
      </c>
      <c r="G709" s="17" t="s">
        <v>47</v>
      </c>
      <c r="H709" s="41">
        <v>36302</v>
      </c>
      <c r="I709" s="19">
        <v>3</v>
      </c>
    </row>
    <row r="710" spans="1:9" x14ac:dyDescent="0.2">
      <c r="A710" s="11" t="s">
        <v>226</v>
      </c>
      <c r="B710" s="14" t="s">
        <v>43</v>
      </c>
      <c r="C710" s="11" t="s">
        <v>86</v>
      </c>
      <c r="D710" s="11" t="s">
        <v>21</v>
      </c>
      <c r="E710" s="20">
        <v>37976</v>
      </c>
      <c r="F710" s="2">
        <f t="shared" ca="1" si="12"/>
        <v>15</v>
      </c>
      <c r="G710" s="17"/>
      <c r="H710" s="41">
        <v>64287</v>
      </c>
      <c r="I710" s="19">
        <v>5</v>
      </c>
    </row>
    <row r="711" spans="1:9" x14ac:dyDescent="0.2">
      <c r="A711" s="11" t="s">
        <v>1378</v>
      </c>
      <c r="B711" s="14" t="s">
        <v>27</v>
      </c>
      <c r="C711" s="11" t="s">
        <v>152</v>
      </c>
      <c r="D711" s="11" t="s">
        <v>29</v>
      </c>
      <c r="E711" s="20">
        <v>38403</v>
      </c>
      <c r="F711" s="2">
        <f t="shared" ca="1" si="12"/>
        <v>14</v>
      </c>
      <c r="G711" s="17" t="s">
        <v>87</v>
      </c>
      <c r="H711" s="41">
        <v>97160</v>
      </c>
      <c r="I711" s="19">
        <v>4</v>
      </c>
    </row>
    <row r="712" spans="1:9" x14ac:dyDescent="0.2">
      <c r="A712" s="11" t="s">
        <v>626</v>
      </c>
      <c r="B712" s="14" t="s">
        <v>27</v>
      </c>
      <c r="C712" s="11" t="s">
        <v>145</v>
      </c>
      <c r="D712" s="11" t="s">
        <v>21</v>
      </c>
      <c r="E712" s="20">
        <v>40577</v>
      </c>
      <c r="F712" s="2">
        <f t="shared" ca="1" si="12"/>
        <v>8</v>
      </c>
      <c r="G712" s="17"/>
      <c r="H712" s="41">
        <v>116006</v>
      </c>
      <c r="I712" s="19">
        <v>2</v>
      </c>
    </row>
    <row r="713" spans="1:9" x14ac:dyDescent="0.2">
      <c r="A713" s="11" t="s">
        <v>178</v>
      </c>
      <c r="B713" s="14" t="s">
        <v>83</v>
      </c>
      <c r="C713" s="11" t="s">
        <v>214</v>
      </c>
      <c r="D713" s="11" t="s">
        <v>29</v>
      </c>
      <c r="E713" s="20">
        <v>39013</v>
      </c>
      <c r="F713" s="2">
        <f t="shared" ca="1" si="12"/>
        <v>12</v>
      </c>
      <c r="G713" s="17" t="s">
        <v>30</v>
      </c>
      <c r="H713" s="41">
        <v>34169</v>
      </c>
      <c r="I713" s="19">
        <v>4</v>
      </c>
    </row>
    <row r="714" spans="1:9" x14ac:dyDescent="0.2">
      <c r="A714" s="11" t="s">
        <v>966</v>
      </c>
      <c r="B714" s="14" t="s">
        <v>51</v>
      </c>
      <c r="C714" s="11" t="s">
        <v>62</v>
      </c>
      <c r="D714" s="11" t="s">
        <v>29</v>
      </c>
      <c r="E714" s="20">
        <v>39188</v>
      </c>
      <c r="F714" s="2">
        <f t="shared" ca="1" si="12"/>
        <v>12</v>
      </c>
      <c r="G714" s="17" t="s">
        <v>47</v>
      </c>
      <c r="H714" s="41">
        <v>41553</v>
      </c>
      <c r="I714" s="19">
        <v>4</v>
      </c>
    </row>
    <row r="715" spans="1:9" x14ac:dyDescent="0.2">
      <c r="A715" s="11" t="s">
        <v>801</v>
      </c>
      <c r="B715" s="14" t="s">
        <v>27</v>
      </c>
      <c r="C715" s="11" t="s">
        <v>336</v>
      </c>
      <c r="D715" s="11" t="s">
        <v>21</v>
      </c>
      <c r="E715" s="20">
        <v>40311</v>
      </c>
      <c r="F715" s="2">
        <f t="shared" ca="1" si="12"/>
        <v>9</v>
      </c>
      <c r="G715" s="17"/>
      <c r="H715" s="41">
        <v>81081</v>
      </c>
      <c r="I715" s="19">
        <v>2</v>
      </c>
    </row>
    <row r="716" spans="1:9" x14ac:dyDescent="0.2">
      <c r="A716" s="11" t="s">
        <v>1096</v>
      </c>
      <c r="B716" s="14" t="s">
        <v>51</v>
      </c>
      <c r="C716" s="11" t="s">
        <v>86</v>
      </c>
      <c r="D716" s="11" t="s">
        <v>29</v>
      </c>
      <c r="E716" s="20">
        <v>37066</v>
      </c>
      <c r="F716" s="2">
        <f t="shared" ca="1" si="12"/>
        <v>17</v>
      </c>
      <c r="G716" s="17" t="s">
        <v>47</v>
      </c>
      <c r="H716" s="41">
        <v>77706</v>
      </c>
      <c r="I716" s="19">
        <v>4</v>
      </c>
    </row>
    <row r="717" spans="1:9" x14ac:dyDescent="0.2">
      <c r="A717" s="11" t="s">
        <v>550</v>
      </c>
      <c r="B717" s="14" t="s">
        <v>27</v>
      </c>
      <c r="C717" s="11" t="s">
        <v>86</v>
      </c>
      <c r="D717" s="11" t="s">
        <v>80</v>
      </c>
      <c r="E717" s="20">
        <v>40146</v>
      </c>
      <c r="F717" s="2">
        <f t="shared" ca="1" si="12"/>
        <v>9</v>
      </c>
      <c r="G717" s="17" t="s">
        <v>47</v>
      </c>
      <c r="H717" s="41">
        <v>42194</v>
      </c>
      <c r="I717" s="19">
        <v>5</v>
      </c>
    </row>
    <row r="718" spans="1:9" x14ac:dyDescent="0.2">
      <c r="A718" s="11" t="s">
        <v>964</v>
      </c>
      <c r="B718" s="14" t="s">
        <v>51</v>
      </c>
      <c r="C718" s="11" t="s">
        <v>20</v>
      </c>
      <c r="D718" s="11" t="s">
        <v>21</v>
      </c>
      <c r="E718" s="20">
        <v>35462</v>
      </c>
      <c r="F718" s="2">
        <f t="shared" ca="1" si="12"/>
        <v>22</v>
      </c>
      <c r="G718" s="17"/>
      <c r="H718" s="41">
        <v>87021</v>
      </c>
      <c r="I718" s="19">
        <v>1</v>
      </c>
    </row>
    <row r="719" spans="1:9" x14ac:dyDescent="0.2">
      <c r="A719" s="11" t="s">
        <v>287</v>
      </c>
      <c r="B719" s="14" t="s">
        <v>19</v>
      </c>
      <c r="C719" s="11" t="s">
        <v>86</v>
      </c>
      <c r="D719" s="11" t="s">
        <v>29</v>
      </c>
      <c r="E719" s="20">
        <v>37641</v>
      </c>
      <c r="F719" s="2">
        <f t="shared" ca="1" si="12"/>
        <v>16</v>
      </c>
      <c r="G719" s="17" t="s">
        <v>30</v>
      </c>
      <c r="H719" s="41">
        <v>110849</v>
      </c>
      <c r="I719" s="19">
        <v>3</v>
      </c>
    </row>
    <row r="720" spans="1:9" x14ac:dyDescent="0.2">
      <c r="A720" s="11" t="s">
        <v>98</v>
      </c>
      <c r="B720" s="14" t="s">
        <v>27</v>
      </c>
      <c r="C720" s="11" t="s">
        <v>20</v>
      </c>
      <c r="D720" s="11" t="s">
        <v>29</v>
      </c>
      <c r="E720" s="20">
        <v>35679</v>
      </c>
      <c r="F720" s="2">
        <f t="shared" ca="1" si="12"/>
        <v>21</v>
      </c>
      <c r="G720" s="17" t="s">
        <v>30</v>
      </c>
      <c r="H720" s="41">
        <v>96755</v>
      </c>
      <c r="I720" s="19">
        <v>4</v>
      </c>
    </row>
    <row r="721" spans="1:9" x14ac:dyDescent="0.2">
      <c r="A721" s="11" t="s">
        <v>578</v>
      </c>
      <c r="B721" s="14" t="s">
        <v>27</v>
      </c>
      <c r="C721" s="11" t="s">
        <v>28</v>
      </c>
      <c r="D721" s="11" t="s">
        <v>80</v>
      </c>
      <c r="E721" s="20">
        <v>42356</v>
      </c>
      <c r="F721" s="2">
        <f t="shared" ca="1" si="12"/>
        <v>3</v>
      </c>
      <c r="G721" s="17" t="s">
        <v>30</v>
      </c>
      <c r="H721" s="41">
        <v>14202</v>
      </c>
      <c r="I721" s="19">
        <v>4</v>
      </c>
    </row>
    <row r="722" spans="1:9" x14ac:dyDescent="0.2">
      <c r="A722" s="11" t="s">
        <v>731</v>
      </c>
      <c r="B722" s="14" t="s">
        <v>43</v>
      </c>
      <c r="C722" s="11" t="s">
        <v>145</v>
      </c>
      <c r="D722" s="11" t="s">
        <v>80</v>
      </c>
      <c r="E722" s="20">
        <v>39559</v>
      </c>
      <c r="F722" s="2">
        <f t="shared" ca="1" si="12"/>
        <v>11</v>
      </c>
      <c r="G722" s="17" t="s">
        <v>87</v>
      </c>
      <c r="H722" s="41">
        <v>38509</v>
      </c>
      <c r="I722" s="19">
        <v>4</v>
      </c>
    </row>
    <row r="723" spans="1:9" x14ac:dyDescent="0.2">
      <c r="A723" s="11" t="s">
        <v>584</v>
      </c>
      <c r="B723" s="14" t="s">
        <v>36</v>
      </c>
      <c r="C723" s="11" t="s">
        <v>214</v>
      </c>
      <c r="D723" s="11" t="s">
        <v>29</v>
      </c>
      <c r="E723" s="20">
        <v>39720</v>
      </c>
      <c r="F723" s="2">
        <f t="shared" ca="1" si="12"/>
        <v>10</v>
      </c>
      <c r="G723" s="17" t="s">
        <v>30</v>
      </c>
      <c r="H723" s="41">
        <v>41742</v>
      </c>
      <c r="I723" s="19">
        <v>5</v>
      </c>
    </row>
    <row r="724" spans="1:9" x14ac:dyDescent="0.2">
      <c r="A724" s="11" t="s">
        <v>482</v>
      </c>
      <c r="B724" s="14" t="s">
        <v>19</v>
      </c>
      <c r="C724" s="11" t="s">
        <v>152</v>
      </c>
      <c r="D724" s="11" t="s">
        <v>29</v>
      </c>
      <c r="E724" s="20">
        <v>35741</v>
      </c>
      <c r="F724" s="2">
        <f t="shared" ca="1" si="12"/>
        <v>21</v>
      </c>
      <c r="G724" s="17" t="s">
        <v>87</v>
      </c>
      <c r="H724" s="41">
        <v>80312</v>
      </c>
      <c r="I724" s="19">
        <v>3</v>
      </c>
    </row>
    <row r="725" spans="1:9" x14ac:dyDescent="0.2">
      <c r="A725" s="11" t="s">
        <v>1240</v>
      </c>
      <c r="B725" s="14" t="s">
        <v>51</v>
      </c>
      <c r="C725" s="11" t="s">
        <v>254</v>
      </c>
      <c r="D725" s="11" t="s">
        <v>21</v>
      </c>
      <c r="E725" s="20">
        <v>42252</v>
      </c>
      <c r="F725" s="2">
        <f t="shared" ca="1" si="12"/>
        <v>3</v>
      </c>
      <c r="G725" s="17"/>
      <c r="H725" s="41">
        <v>53244</v>
      </c>
      <c r="I725" s="19">
        <v>4</v>
      </c>
    </row>
    <row r="726" spans="1:9" x14ac:dyDescent="0.2">
      <c r="A726" s="11" t="s">
        <v>661</v>
      </c>
      <c r="B726" s="14" t="s">
        <v>51</v>
      </c>
      <c r="C726" s="11" t="s">
        <v>86</v>
      </c>
      <c r="D726" s="11" t="s">
        <v>29</v>
      </c>
      <c r="E726" s="20">
        <v>38176</v>
      </c>
      <c r="F726" s="2">
        <f t="shared" ca="1" si="12"/>
        <v>14</v>
      </c>
      <c r="G726" s="17" t="s">
        <v>30</v>
      </c>
      <c r="H726" s="41">
        <v>69404</v>
      </c>
      <c r="I726" s="19">
        <v>4</v>
      </c>
    </row>
    <row r="727" spans="1:9" x14ac:dyDescent="0.2">
      <c r="A727" s="11" t="s">
        <v>1266</v>
      </c>
      <c r="B727" s="14" t="s">
        <v>27</v>
      </c>
      <c r="C727" s="11" t="s">
        <v>214</v>
      </c>
      <c r="D727" s="11" t="s">
        <v>80</v>
      </c>
      <c r="E727" s="20">
        <v>36973</v>
      </c>
      <c r="F727" s="2">
        <f t="shared" ca="1" si="12"/>
        <v>18</v>
      </c>
      <c r="G727" s="17" t="s">
        <v>47</v>
      </c>
      <c r="H727" s="41">
        <v>62485</v>
      </c>
      <c r="I727" s="19">
        <v>5</v>
      </c>
    </row>
    <row r="728" spans="1:9" x14ac:dyDescent="0.2">
      <c r="A728" s="11" t="s">
        <v>1308</v>
      </c>
      <c r="B728" s="14" t="s">
        <v>51</v>
      </c>
      <c r="C728" s="11" t="s">
        <v>59</v>
      </c>
      <c r="D728" s="11" t="s">
        <v>29</v>
      </c>
      <c r="E728" s="20">
        <v>35707</v>
      </c>
      <c r="F728" s="2">
        <f t="shared" ca="1" si="12"/>
        <v>21</v>
      </c>
      <c r="G728" s="17" t="s">
        <v>30</v>
      </c>
      <c r="H728" s="41">
        <v>62559</v>
      </c>
      <c r="I728" s="19">
        <v>5</v>
      </c>
    </row>
    <row r="729" spans="1:9" x14ac:dyDescent="0.2">
      <c r="A729" s="11" t="s">
        <v>974</v>
      </c>
      <c r="B729" s="14" t="s">
        <v>19</v>
      </c>
      <c r="C729" s="11" t="s">
        <v>214</v>
      </c>
      <c r="D729" s="11" t="s">
        <v>56</v>
      </c>
      <c r="E729" s="20">
        <v>42358</v>
      </c>
      <c r="F729" s="2">
        <f t="shared" ca="1" si="12"/>
        <v>3</v>
      </c>
      <c r="G729" s="17"/>
      <c r="H729" s="41">
        <v>38372</v>
      </c>
      <c r="I729" s="19">
        <v>4</v>
      </c>
    </row>
    <row r="730" spans="1:9" x14ac:dyDescent="0.2">
      <c r="A730" s="11" t="s">
        <v>554</v>
      </c>
      <c r="B730" s="14" t="s">
        <v>43</v>
      </c>
      <c r="C730" s="11" t="s">
        <v>86</v>
      </c>
      <c r="D730" s="11" t="s">
        <v>80</v>
      </c>
      <c r="E730" s="20">
        <v>40882</v>
      </c>
      <c r="F730" s="2">
        <f t="shared" ca="1" si="12"/>
        <v>7</v>
      </c>
      <c r="G730" s="17" t="s">
        <v>30</v>
      </c>
      <c r="H730" s="41">
        <v>64402</v>
      </c>
      <c r="I730" s="19">
        <v>5</v>
      </c>
    </row>
    <row r="731" spans="1:9" x14ac:dyDescent="0.2">
      <c r="A731" s="11" t="s">
        <v>918</v>
      </c>
      <c r="B731" s="14" t="s">
        <v>19</v>
      </c>
      <c r="C731" s="11" t="s">
        <v>152</v>
      </c>
      <c r="D731" s="11" t="s">
        <v>29</v>
      </c>
      <c r="E731" s="20">
        <v>42464</v>
      </c>
      <c r="F731" s="2">
        <f t="shared" ca="1" si="12"/>
        <v>3</v>
      </c>
      <c r="G731" s="17" t="s">
        <v>71</v>
      </c>
      <c r="H731" s="41">
        <v>54351</v>
      </c>
      <c r="I731" s="19">
        <v>5</v>
      </c>
    </row>
    <row r="732" spans="1:9" x14ac:dyDescent="0.2">
      <c r="A732" s="11" t="s">
        <v>1150</v>
      </c>
      <c r="B732" s="14" t="s">
        <v>36</v>
      </c>
      <c r="C732" s="11" t="s">
        <v>86</v>
      </c>
      <c r="D732" s="11" t="s">
        <v>21</v>
      </c>
      <c r="E732" s="20">
        <v>35838</v>
      </c>
      <c r="F732" s="2">
        <f t="shared" ca="1" si="12"/>
        <v>21</v>
      </c>
      <c r="G732" s="17"/>
      <c r="H732" s="41">
        <v>39150</v>
      </c>
      <c r="I732" s="19">
        <v>5</v>
      </c>
    </row>
    <row r="733" spans="1:9" x14ac:dyDescent="0.2">
      <c r="A733" s="11" t="s">
        <v>1438</v>
      </c>
      <c r="B733" s="14" t="s">
        <v>19</v>
      </c>
      <c r="C733" s="11" t="s">
        <v>336</v>
      </c>
      <c r="D733" s="11" t="s">
        <v>29</v>
      </c>
      <c r="E733" s="20">
        <v>37113</v>
      </c>
      <c r="F733" s="2">
        <f t="shared" ca="1" si="12"/>
        <v>17</v>
      </c>
      <c r="G733" s="17" t="s">
        <v>47</v>
      </c>
      <c r="H733" s="41">
        <v>90099</v>
      </c>
      <c r="I733" s="19">
        <v>2</v>
      </c>
    </row>
    <row r="734" spans="1:9" x14ac:dyDescent="0.2">
      <c r="A734" s="11" t="s">
        <v>1390</v>
      </c>
      <c r="B734" s="14" t="s">
        <v>36</v>
      </c>
      <c r="C734" s="11" t="s">
        <v>145</v>
      </c>
      <c r="D734" s="11" t="s">
        <v>29</v>
      </c>
      <c r="E734" s="20">
        <v>35332</v>
      </c>
      <c r="F734" s="2">
        <f t="shared" ca="1" si="12"/>
        <v>22</v>
      </c>
      <c r="G734" s="17" t="s">
        <v>30</v>
      </c>
      <c r="H734" s="41">
        <v>85118</v>
      </c>
      <c r="I734" s="19">
        <v>3</v>
      </c>
    </row>
    <row r="735" spans="1:9" x14ac:dyDescent="0.2">
      <c r="A735" s="11" t="s">
        <v>170</v>
      </c>
      <c r="B735" s="14" t="s">
        <v>27</v>
      </c>
      <c r="C735" s="11" t="s">
        <v>20</v>
      </c>
      <c r="D735" s="11" t="s">
        <v>29</v>
      </c>
      <c r="E735" s="20">
        <v>35530</v>
      </c>
      <c r="F735" s="2">
        <f t="shared" ca="1" si="12"/>
        <v>22</v>
      </c>
      <c r="G735" s="17" t="s">
        <v>87</v>
      </c>
      <c r="H735" s="41">
        <v>42971</v>
      </c>
      <c r="I735" s="19">
        <v>3</v>
      </c>
    </row>
    <row r="736" spans="1:9" x14ac:dyDescent="0.2">
      <c r="A736" s="11" t="s">
        <v>443</v>
      </c>
      <c r="B736" s="14" t="s">
        <v>27</v>
      </c>
      <c r="C736" s="11" t="s">
        <v>214</v>
      </c>
      <c r="D736" s="11" t="s">
        <v>29</v>
      </c>
      <c r="E736" s="20">
        <v>39650</v>
      </c>
      <c r="F736" s="2">
        <f t="shared" ca="1" si="12"/>
        <v>10</v>
      </c>
      <c r="G736" s="17" t="s">
        <v>87</v>
      </c>
      <c r="H736" s="41">
        <v>73211</v>
      </c>
      <c r="I736" s="19">
        <v>5</v>
      </c>
    </row>
    <row r="737" spans="1:9" x14ac:dyDescent="0.2">
      <c r="A737" s="11" t="s">
        <v>423</v>
      </c>
      <c r="B737" s="14" t="s">
        <v>27</v>
      </c>
      <c r="C737" s="11" t="s">
        <v>152</v>
      </c>
      <c r="D737" s="11" t="s">
        <v>29</v>
      </c>
      <c r="E737" s="20">
        <v>36921</v>
      </c>
      <c r="F737" s="2">
        <f t="shared" ca="1" si="12"/>
        <v>18</v>
      </c>
      <c r="G737" s="17" t="s">
        <v>30</v>
      </c>
      <c r="H737" s="41">
        <v>45347</v>
      </c>
      <c r="I737" s="19">
        <v>5</v>
      </c>
    </row>
    <row r="738" spans="1:9" x14ac:dyDescent="0.2">
      <c r="A738" s="11" t="s">
        <v>707</v>
      </c>
      <c r="B738" s="14" t="s">
        <v>27</v>
      </c>
      <c r="C738" s="11" t="s">
        <v>152</v>
      </c>
      <c r="D738" s="11" t="s">
        <v>21</v>
      </c>
      <c r="E738" s="20">
        <v>35346</v>
      </c>
      <c r="F738" s="2">
        <f t="shared" ca="1" si="12"/>
        <v>22</v>
      </c>
      <c r="G738" s="17"/>
      <c r="H738" s="41">
        <v>77625</v>
      </c>
      <c r="I738" s="19">
        <v>1</v>
      </c>
    </row>
    <row r="739" spans="1:9" x14ac:dyDescent="0.2">
      <c r="A739" s="11" t="s">
        <v>409</v>
      </c>
      <c r="B739" s="14" t="s">
        <v>27</v>
      </c>
      <c r="C739" s="11" t="s">
        <v>214</v>
      </c>
      <c r="D739" s="11" t="s">
        <v>29</v>
      </c>
      <c r="E739" s="20">
        <v>37310</v>
      </c>
      <c r="F739" s="2">
        <f t="shared" ca="1" si="12"/>
        <v>17</v>
      </c>
      <c r="G739" s="17" t="s">
        <v>30</v>
      </c>
      <c r="H739" s="41">
        <v>43727</v>
      </c>
      <c r="I739" s="19">
        <v>2</v>
      </c>
    </row>
    <row r="740" spans="1:9" x14ac:dyDescent="0.2">
      <c r="A740" s="11" t="s">
        <v>138</v>
      </c>
      <c r="B740" s="14" t="s">
        <v>19</v>
      </c>
      <c r="C740" s="11" t="s">
        <v>254</v>
      </c>
      <c r="D740" s="11" t="s">
        <v>21</v>
      </c>
      <c r="E740" s="20">
        <v>38407</v>
      </c>
      <c r="F740" s="2">
        <f t="shared" ca="1" si="12"/>
        <v>14</v>
      </c>
      <c r="G740" s="17"/>
      <c r="H740" s="41">
        <v>40905</v>
      </c>
      <c r="I740" s="19">
        <v>1</v>
      </c>
    </row>
    <row r="741" spans="1:9" x14ac:dyDescent="0.2">
      <c r="A741" s="11" t="s">
        <v>346</v>
      </c>
      <c r="B741" s="14" t="s">
        <v>51</v>
      </c>
      <c r="C741" s="11" t="s">
        <v>214</v>
      </c>
      <c r="D741" s="11" t="s">
        <v>21</v>
      </c>
      <c r="E741" s="20">
        <v>35815</v>
      </c>
      <c r="F741" s="2">
        <f t="shared" ca="1" si="12"/>
        <v>21</v>
      </c>
      <c r="G741" s="17"/>
      <c r="H741" s="41">
        <v>86981</v>
      </c>
      <c r="I741" s="19">
        <v>4</v>
      </c>
    </row>
    <row r="742" spans="1:9" x14ac:dyDescent="0.2">
      <c r="A742" s="11" t="s">
        <v>198</v>
      </c>
      <c r="B742" s="14" t="s">
        <v>27</v>
      </c>
      <c r="C742" s="11" t="s">
        <v>52</v>
      </c>
      <c r="D742" s="11" t="s">
        <v>29</v>
      </c>
      <c r="E742" s="20">
        <v>35607</v>
      </c>
      <c r="F742" s="2">
        <f t="shared" ca="1" si="12"/>
        <v>21</v>
      </c>
      <c r="G742" s="17" t="s">
        <v>30</v>
      </c>
      <c r="H742" s="41">
        <v>111726</v>
      </c>
      <c r="I742" s="19">
        <v>4</v>
      </c>
    </row>
    <row r="743" spans="1:9" x14ac:dyDescent="0.2">
      <c r="A743" s="11" t="s">
        <v>729</v>
      </c>
      <c r="B743" s="14" t="s">
        <v>36</v>
      </c>
      <c r="C743" s="11" t="s">
        <v>136</v>
      </c>
      <c r="D743" s="11" t="s">
        <v>80</v>
      </c>
      <c r="E743" s="20">
        <v>40507</v>
      </c>
      <c r="F743" s="2">
        <f t="shared" ca="1" si="12"/>
        <v>8</v>
      </c>
      <c r="G743" s="17" t="s">
        <v>30</v>
      </c>
      <c r="H743" s="41">
        <v>14351</v>
      </c>
      <c r="I743" s="19">
        <v>3</v>
      </c>
    </row>
    <row r="744" spans="1:9" x14ac:dyDescent="0.2">
      <c r="A744" s="11" t="s">
        <v>745</v>
      </c>
      <c r="B744" s="14" t="s">
        <v>27</v>
      </c>
      <c r="C744" s="11" t="s">
        <v>214</v>
      </c>
      <c r="D744" s="11" t="s">
        <v>29</v>
      </c>
      <c r="E744" s="20">
        <v>41987</v>
      </c>
      <c r="F744" s="2">
        <f t="shared" ca="1" si="12"/>
        <v>4</v>
      </c>
      <c r="G744" s="17" t="s">
        <v>47</v>
      </c>
      <c r="H744" s="41">
        <v>48060</v>
      </c>
      <c r="I744" s="19">
        <v>5</v>
      </c>
    </row>
    <row r="745" spans="1:9" x14ac:dyDescent="0.2">
      <c r="A745" s="11" t="s">
        <v>475</v>
      </c>
      <c r="B745" s="14" t="s">
        <v>51</v>
      </c>
      <c r="C745" s="11" t="s">
        <v>254</v>
      </c>
      <c r="D745" s="11" t="s">
        <v>29</v>
      </c>
      <c r="E745" s="20">
        <v>42154</v>
      </c>
      <c r="F745" s="2">
        <f t="shared" ca="1" si="12"/>
        <v>4</v>
      </c>
      <c r="G745" s="17" t="s">
        <v>47</v>
      </c>
      <c r="H745" s="41">
        <v>90234</v>
      </c>
      <c r="I745" s="19">
        <v>4</v>
      </c>
    </row>
    <row r="746" spans="1:9" x14ac:dyDescent="0.2">
      <c r="A746" s="11" t="s">
        <v>386</v>
      </c>
      <c r="B746" s="14" t="s">
        <v>27</v>
      </c>
      <c r="C746" s="11" t="s">
        <v>152</v>
      </c>
      <c r="D746" s="11" t="s">
        <v>21</v>
      </c>
      <c r="E746" s="20">
        <v>34928</v>
      </c>
      <c r="F746" s="2">
        <f t="shared" ca="1" si="12"/>
        <v>23</v>
      </c>
      <c r="G746" s="17"/>
      <c r="H746" s="41">
        <v>31509</v>
      </c>
      <c r="I746" s="19">
        <v>4</v>
      </c>
    </row>
    <row r="747" spans="1:9" x14ac:dyDescent="0.2">
      <c r="A747" s="11" t="s">
        <v>940</v>
      </c>
      <c r="B747" s="14" t="s">
        <v>83</v>
      </c>
      <c r="C747" s="11" t="s">
        <v>249</v>
      </c>
      <c r="D747" s="11" t="s">
        <v>29</v>
      </c>
      <c r="E747" s="20">
        <v>42317</v>
      </c>
      <c r="F747" s="2">
        <f t="shared" ca="1" si="12"/>
        <v>3</v>
      </c>
      <c r="G747" s="17" t="s">
        <v>71</v>
      </c>
      <c r="H747" s="41">
        <v>83943</v>
      </c>
      <c r="I747" s="19">
        <v>2</v>
      </c>
    </row>
    <row r="748" spans="1:9" x14ac:dyDescent="0.2">
      <c r="A748" s="11" t="s">
        <v>402</v>
      </c>
      <c r="B748" s="14" t="s">
        <v>19</v>
      </c>
      <c r="C748" s="11" t="s">
        <v>86</v>
      </c>
      <c r="D748" s="11" t="s">
        <v>29</v>
      </c>
      <c r="E748" s="20">
        <v>38240</v>
      </c>
      <c r="F748" s="2">
        <f t="shared" ca="1" si="12"/>
        <v>14</v>
      </c>
      <c r="G748" s="17" t="s">
        <v>30</v>
      </c>
      <c r="H748" s="41">
        <v>58671</v>
      </c>
      <c r="I748" s="19">
        <v>5</v>
      </c>
    </row>
    <row r="749" spans="1:9" x14ac:dyDescent="0.2">
      <c r="A749" s="11" t="s">
        <v>106</v>
      </c>
      <c r="B749" s="14" t="s">
        <v>27</v>
      </c>
      <c r="C749" s="11" t="s">
        <v>205</v>
      </c>
      <c r="D749" s="11" t="s">
        <v>80</v>
      </c>
      <c r="E749" s="20">
        <v>39289</v>
      </c>
      <c r="F749" s="2">
        <f t="shared" ca="1" si="12"/>
        <v>11</v>
      </c>
      <c r="G749" s="17" t="s">
        <v>71</v>
      </c>
      <c r="H749" s="41">
        <v>69930</v>
      </c>
      <c r="I749" s="19">
        <v>1</v>
      </c>
    </row>
    <row r="750" spans="1:9" x14ac:dyDescent="0.2">
      <c r="A750" s="11" t="s">
        <v>299</v>
      </c>
      <c r="B750" s="14" t="s">
        <v>27</v>
      </c>
      <c r="C750" s="11" t="s">
        <v>145</v>
      </c>
      <c r="D750" s="11" t="s">
        <v>29</v>
      </c>
      <c r="E750" s="20">
        <v>35495</v>
      </c>
      <c r="F750" s="2">
        <f t="shared" ca="1" si="12"/>
        <v>22</v>
      </c>
      <c r="G750" s="17" t="s">
        <v>47</v>
      </c>
      <c r="H750" s="41">
        <v>92435</v>
      </c>
      <c r="I750" s="19">
        <v>4</v>
      </c>
    </row>
    <row r="751" spans="1:9" x14ac:dyDescent="0.2">
      <c r="A751" s="11" t="s">
        <v>508</v>
      </c>
      <c r="B751" s="14" t="s">
        <v>36</v>
      </c>
      <c r="C751" s="11" t="s">
        <v>86</v>
      </c>
      <c r="D751" s="11" t="s">
        <v>29</v>
      </c>
      <c r="E751" s="20">
        <v>41867</v>
      </c>
      <c r="F751" s="2">
        <f t="shared" ca="1" si="12"/>
        <v>4</v>
      </c>
      <c r="G751" s="17" t="s">
        <v>30</v>
      </c>
      <c r="H751" s="41">
        <v>59603</v>
      </c>
      <c r="I751" s="19">
        <v>4</v>
      </c>
    </row>
    <row r="752" spans="1:9" x14ac:dyDescent="0.2">
      <c r="A752" s="11" t="s">
        <v>182</v>
      </c>
      <c r="B752" s="14" t="s">
        <v>43</v>
      </c>
      <c r="C752" s="11" t="s">
        <v>152</v>
      </c>
      <c r="D752" s="11" t="s">
        <v>21</v>
      </c>
      <c r="E752" s="20">
        <v>35604</v>
      </c>
      <c r="F752" s="2">
        <f t="shared" ca="1" si="12"/>
        <v>21</v>
      </c>
      <c r="G752" s="17"/>
      <c r="H752" s="41">
        <v>94905</v>
      </c>
      <c r="I752" s="19">
        <v>3</v>
      </c>
    </row>
    <row r="753" spans="1:9" x14ac:dyDescent="0.2">
      <c r="A753" s="11" t="s">
        <v>540</v>
      </c>
      <c r="B753" s="14" t="s">
        <v>36</v>
      </c>
      <c r="C753" s="11" t="s">
        <v>136</v>
      </c>
      <c r="D753" s="11" t="s">
        <v>21</v>
      </c>
      <c r="E753" s="20">
        <v>38159</v>
      </c>
      <c r="F753" s="2">
        <f t="shared" ca="1" si="12"/>
        <v>14</v>
      </c>
      <c r="G753" s="17"/>
      <c r="H753" s="41">
        <v>96255</v>
      </c>
      <c r="I753" s="19">
        <v>5</v>
      </c>
    </row>
    <row r="754" spans="1:9" x14ac:dyDescent="0.2">
      <c r="A754" s="11" t="s">
        <v>467</v>
      </c>
      <c r="B754" s="14" t="s">
        <v>19</v>
      </c>
      <c r="C754" s="11" t="s">
        <v>136</v>
      </c>
      <c r="D754" s="11" t="s">
        <v>29</v>
      </c>
      <c r="E754" s="20">
        <v>37774</v>
      </c>
      <c r="F754" s="2">
        <f t="shared" ca="1" si="12"/>
        <v>16</v>
      </c>
      <c r="G754" s="17" t="s">
        <v>71</v>
      </c>
      <c r="H754" s="41">
        <v>49802</v>
      </c>
      <c r="I754" s="19">
        <v>1</v>
      </c>
    </row>
    <row r="755" spans="1:9" x14ac:dyDescent="0.2">
      <c r="A755" s="11" t="s">
        <v>1008</v>
      </c>
      <c r="B755" s="14" t="s">
        <v>19</v>
      </c>
      <c r="C755" s="11" t="s">
        <v>136</v>
      </c>
      <c r="D755" s="11" t="s">
        <v>29</v>
      </c>
      <c r="E755" s="20">
        <v>35953</v>
      </c>
      <c r="F755" s="2">
        <f t="shared" ca="1" si="12"/>
        <v>20</v>
      </c>
      <c r="G755" s="17" t="s">
        <v>38</v>
      </c>
      <c r="H755" s="41">
        <v>93717</v>
      </c>
      <c r="I755" s="19">
        <v>2</v>
      </c>
    </row>
    <row r="756" spans="1:9" x14ac:dyDescent="0.2">
      <c r="A756" s="11" t="s">
        <v>827</v>
      </c>
      <c r="B756" s="14" t="s">
        <v>19</v>
      </c>
      <c r="C756" s="11" t="s">
        <v>152</v>
      </c>
      <c r="D756" s="11" t="s">
        <v>29</v>
      </c>
      <c r="E756" s="20">
        <v>35590</v>
      </c>
      <c r="F756" s="2">
        <f t="shared" ca="1" si="12"/>
        <v>21</v>
      </c>
      <c r="G756" s="17" t="s">
        <v>87</v>
      </c>
      <c r="H756" s="41">
        <v>84753</v>
      </c>
      <c r="I756" s="19">
        <v>3</v>
      </c>
    </row>
    <row r="757" spans="1:9" x14ac:dyDescent="0.2">
      <c r="A757" s="11" t="s">
        <v>228</v>
      </c>
      <c r="B757" s="14" t="s">
        <v>27</v>
      </c>
      <c r="C757" s="11" t="s">
        <v>136</v>
      </c>
      <c r="D757" s="11" t="s">
        <v>29</v>
      </c>
      <c r="E757" s="20">
        <v>37477</v>
      </c>
      <c r="F757" s="2">
        <f t="shared" ca="1" si="12"/>
        <v>16</v>
      </c>
      <c r="G757" s="17" t="s">
        <v>87</v>
      </c>
      <c r="H757" s="41">
        <v>32859</v>
      </c>
      <c r="I757" s="19">
        <v>4</v>
      </c>
    </row>
    <row r="758" spans="1:9" x14ac:dyDescent="0.2">
      <c r="A758" s="11" t="s">
        <v>390</v>
      </c>
      <c r="B758" s="14" t="s">
        <v>27</v>
      </c>
      <c r="C758" s="11" t="s">
        <v>152</v>
      </c>
      <c r="D758" s="11" t="s">
        <v>56</v>
      </c>
      <c r="E758" s="20">
        <v>36609</v>
      </c>
      <c r="F758" s="2">
        <f t="shared" ca="1" si="12"/>
        <v>19</v>
      </c>
      <c r="G758" s="17"/>
      <c r="H758" s="41">
        <v>36374</v>
      </c>
      <c r="I758" s="19">
        <v>4</v>
      </c>
    </row>
    <row r="759" spans="1:9" x14ac:dyDescent="0.2">
      <c r="A759" s="11" t="s">
        <v>982</v>
      </c>
      <c r="B759" s="14" t="s">
        <v>43</v>
      </c>
      <c r="C759" s="11" t="s">
        <v>214</v>
      </c>
      <c r="D759" s="11" t="s">
        <v>29</v>
      </c>
      <c r="E759" s="20">
        <v>35504</v>
      </c>
      <c r="F759" s="2">
        <f t="shared" ca="1" si="12"/>
        <v>22</v>
      </c>
      <c r="G759" s="17" t="s">
        <v>30</v>
      </c>
      <c r="H759" s="41">
        <v>79529</v>
      </c>
      <c r="I759" s="19">
        <v>1</v>
      </c>
    </row>
    <row r="760" spans="1:9" x14ac:dyDescent="0.2">
      <c r="A760" s="11" t="s">
        <v>200</v>
      </c>
      <c r="B760" s="14" t="s">
        <v>43</v>
      </c>
      <c r="C760" s="11" t="s">
        <v>214</v>
      </c>
      <c r="D760" s="11" t="s">
        <v>29</v>
      </c>
      <c r="E760" s="20">
        <v>37906</v>
      </c>
      <c r="F760" s="2">
        <f t="shared" ca="1" si="12"/>
        <v>15</v>
      </c>
      <c r="G760" s="17" t="s">
        <v>87</v>
      </c>
      <c r="H760" s="41">
        <v>30591</v>
      </c>
      <c r="I760" s="19">
        <v>2</v>
      </c>
    </row>
    <row r="761" spans="1:9" x14ac:dyDescent="0.2">
      <c r="A761" s="11" t="s">
        <v>370</v>
      </c>
      <c r="B761" s="14" t="s">
        <v>27</v>
      </c>
      <c r="C761" s="11" t="s">
        <v>62</v>
      </c>
      <c r="D761" s="11" t="s">
        <v>29</v>
      </c>
      <c r="E761" s="20">
        <v>38044</v>
      </c>
      <c r="F761" s="2">
        <f t="shared" ca="1" si="12"/>
        <v>15</v>
      </c>
      <c r="G761" s="17" t="s">
        <v>47</v>
      </c>
      <c r="H761" s="41">
        <v>101453</v>
      </c>
      <c r="I761" s="19">
        <v>1</v>
      </c>
    </row>
    <row r="762" spans="1:9" x14ac:dyDescent="0.2">
      <c r="A762" s="11" t="s">
        <v>1094</v>
      </c>
      <c r="B762" s="14" t="s">
        <v>27</v>
      </c>
      <c r="C762" s="11" t="s">
        <v>136</v>
      </c>
      <c r="D762" s="11" t="s">
        <v>29</v>
      </c>
      <c r="E762" s="20">
        <v>39352</v>
      </c>
      <c r="F762" s="2">
        <f t="shared" ca="1" si="12"/>
        <v>11</v>
      </c>
      <c r="G762" s="17" t="s">
        <v>87</v>
      </c>
      <c r="H762" s="41">
        <v>60885</v>
      </c>
      <c r="I762" s="19">
        <v>2</v>
      </c>
    </row>
    <row r="763" spans="1:9" x14ac:dyDescent="0.2">
      <c r="A763" s="11" t="s">
        <v>1368</v>
      </c>
      <c r="B763" s="14" t="s">
        <v>27</v>
      </c>
      <c r="C763" s="11" t="s">
        <v>336</v>
      </c>
      <c r="D763" s="11" t="s">
        <v>29</v>
      </c>
      <c r="E763" s="20">
        <v>40371</v>
      </c>
      <c r="F763" s="2">
        <f t="shared" ca="1" si="12"/>
        <v>8</v>
      </c>
      <c r="G763" s="17" t="s">
        <v>47</v>
      </c>
      <c r="H763" s="41">
        <v>63923</v>
      </c>
      <c r="I763" s="19">
        <v>5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216B8-9127-421B-A187-CDF1B100754E}">
  <dimension ref="A1:K742"/>
  <sheetViews>
    <sheetView zoomScale="145" zoomScaleNormal="145" workbookViewId="0"/>
  </sheetViews>
  <sheetFormatPr baseColWidth="10" defaultColWidth="9" defaultRowHeight="15" x14ac:dyDescent="0.2"/>
  <cols>
    <col min="1" max="1" width="18.1640625" style="27" bestFit="1" customWidth="1"/>
    <col min="2" max="2" width="7.5" style="27" bestFit="1" customWidth="1"/>
    <col min="3" max="3" width="25.1640625" style="27" bestFit="1" customWidth="1"/>
    <col min="4" max="4" width="11" style="27" bestFit="1" customWidth="1"/>
    <col min="5" max="5" width="9" style="27" bestFit="1" customWidth="1"/>
    <col min="6" max="6" width="10.5" style="27" bestFit="1" customWidth="1"/>
    <col min="7" max="7" width="10" style="27" bestFit="1" customWidth="1"/>
    <col min="8" max="8" width="5.33203125" style="27" bestFit="1" customWidth="1"/>
    <col min="9" max="9" width="7.6640625" style="27" bestFit="1" customWidth="1"/>
    <col min="10" max="10" width="8.5" style="27" bestFit="1" customWidth="1"/>
    <col min="11" max="11" width="9.33203125" style="27" bestFit="1" customWidth="1"/>
    <col min="12" max="16384" width="9" style="27"/>
  </cols>
  <sheetData>
    <row r="1" spans="1:11" x14ac:dyDescent="0.2">
      <c r="A1" s="5" t="s">
        <v>0</v>
      </c>
      <c r="B1" s="6" t="s">
        <v>1</v>
      </c>
      <c r="C1" s="7" t="s">
        <v>2</v>
      </c>
      <c r="D1" s="8" t="s">
        <v>3</v>
      </c>
      <c r="E1" s="7" t="s">
        <v>4</v>
      </c>
      <c r="F1" s="37" t="s">
        <v>5</v>
      </c>
      <c r="G1" s="9" t="s">
        <v>6</v>
      </c>
      <c r="H1" s="1" t="s">
        <v>7</v>
      </c>
      <c r="I1" s="7" t="s">
        <v>8</v>
      </c>
      <c r="J1" s="10" t="s">
        <v>9</v>
      </c>
      <c r="K1" s="6" t="s">
        <v>10</v>
      </c>
    </row>
    <row r="2" spans="1:11" x14ac:dyDescent="0.2">
      <c r="A2" s="11" t="s">
        <v>307</v>
      </c>
      <c r="B2" s="14" t="s">
        <v>36</v>
      </c>
      <c r="C2" s="11" t="s">
        <v>101</v>
      </c>
      <c r="D2" s="15">
        <v>834001135</v>
      </c>
      <c r="E2" s="11" t="s">
        <v>29</v>
      </c>
      <c r="F2" s="20">
        <v>36369</v>
      </c>
      <c r="G2" s="16" t="str">
        <f t="shared" ref="G2:G65" si="0">CHOOSE(MONTH(F2),"January","February","March","April","May","June","July","August","September","October","November","December")</f>
        <v>July</v>
      </c>
      <c r="H2" s="2">
        <f t="shared" ref="H2:H65" ca="1" si="1">DATEDIF(F2,TODAY(),"Y")</f>
        <v>19</v>
      </c>
      <c r="I2" s="17" t="s">
        <v>38</v>
      </c>
      <c r="J2" s="18">
        <v>60156</v>
      </c>
      <c r="K2" s="19">
        <v>2</v>
      </c>
    </row>
    <row r="3" spans="1:11" x14ac:dyDescent="0.2">
      <c r="A3" s="11" t="s">
        <v>512</v>
      </c>
      <c r="B3" s="14" t="s">
        <v>36</v>
      </c>
      <c r="C3" s="11" t="s">
        <v>214</v>
      </c>
      <c r="D3" s="15">
        <v>484007278</v>
      </c>
      <c r="E3" s="11" t="s">
        <v>56</v>
      </c>
      <c r="F3" s="20">
        <v>42603</v>
      </c>
      <c r="G3" s="16" t="str">
        <f t="shared" si="0"/>
        <v>August</v>
      </c>
      <c r="H3" s="2">
        <f t="shared" ca="1" si="1"/>
        <v>2</v>
      </c>
      <c r="I3" s="17"/>
      <c r="J3" s="18">
        <v>14272</v>
      </c>
      <c r="K3" s="19">
        <v>4</v>
      </c>
    </row>
    <row r="4" spans="1:11" x14ac:dyDescent="0.2">
      <c r="A4" s="11" t="s">
        <v>297</v>
      </c>
      <c r="B4" s="14" t="s">
        <v>19</v>
      </c>
      <c r="C4" s="11" t="s">
        <v>101</v>
      </c>
      <c r="D4" s="15">
        <v>444009297</v>
      </c>
      <c r="E4" s="11" t="s">
        <v>29</v>
      </c>
      <c r="F4" s="20">
        <v>36392</v>
      </c>
      <c r="G4" s="16" t="str">
        <f t="shared" si="0"/>
        <v>August</v>
      </c>
      <c r="H4" s="2">
        <f t="shared" ca="1" si="1"/>
        <v>19</v>
      </c>
      <c r="I4" s="17" t="s">
        <v>47</v>
      </c>
      <c r="J4" s="18">
        <v>110066</v>
      </c>
      <c r="K4" s="19">
        <v>5</v>
      </c>
    </row>
    <row r="5" spans="1:11" x14ac:dyDescent="0.2">
      <c r="A5" s="11" t="s">
        <v>162</v>
      </c>
      <c r="B5" s="14" t="s">
        <v>43</v>
      </c>
      <c r="C5" s="11" t="s">
        <v>104</v>
      </c>
      <c r="D5" s="15">
        <v>963008490</v>
      </c>
      <c r="E5" s="11" t="s">
        <v>29</v>
      </c>
      <c r="F5" s="20">
        <v>36407</v>
      </c>
      <c r="G5" s="16" t="str">
        <f t="shared" si="0"/>
        <v>September</v>
      </c>
      <c r="H5" s="2">
        <f t="shared" ca="1" si="1"/>
        <v>19</v>
      </c>
      <c r="I5" s="17" t="s">
        <v>87</v>
      </c>
      <c r="J5" s="18">
        <v>55823</v>
      </c>
      <c r="K5" s="19">
        <v>2</v>
      </c>
    </row>
    <row r="6" spans="1:11" x14ac:dyDescent="0.2">
      <c r="A6" s="11" t="s">
        <v>1418</v>
      </c>
      <c r="B6" s="14" t="s">
        <v>51</v>
      </c>
      <c r="C6" s="11" t="s">
        <v>152</v>
      </c>
      <c r="D6" s="15">
        <v>688009770</v>
      </c>
      <c r="E6" s="11" t="s">
        <v>29</v>
      </c>
      <c r="F6" s="20">
        <v>41482</v>
      </c>
      <c r="G6" s="16" t="str">
        <f t="shared" si="0"/>
        <v>July</v>
      </c>
      <c r="H6" s="2">
        <f t="shared" ca="1" si="1"/>
        <v>5</v>
      </c>
      <c r="I6" s="17" t="s">
        <v>47</v>
      </c>
      <c r="J6" s="18">
        <v>60116</v>
      </c>
      <c r="K6" s="19">
        <v>2</v>
      </c>
    </row>
    <row r="7" spans="1:11" x14ac:dyDescent="0.2">
      <c r="A7" s="11" t="s">
        <v>66</v>
      </c>
      <c r="B7" s="14" t="s">
        <v>43</v>
      </c>
      <c r="C7" s="11" t="s">
        <v>62</v>
      </c>
      <c r="D7" s="15">
        <v>767001463</v>
      </c>
      <c r="E7" s="11" t="s">
        <v>21</v>
      </c>
      <c r="F7" s="20">
        <v>39633</v>
      </c>
      <c r="G7" s="16" t="str">
        <f t="shared" si="0"/>
        <v>July</v>
      </c>
      <c r="H7" s="2">
        <f t="shared" ca="1" si="1"/>
        <v>10</v>
      </c>
      <c r="I7" s="17"/>
      <c r="J7" s="18">
        <v>103532</v>
      </c>
      <c r="K7" s="19">
        <v>3</v>
      </c>
    </row>
    <row r="8" spans="1:11" x14ac:dyDescent="0.2">
      <c r="A8" s="11" t="s">
        <v>863</v>
      </c>
      <c r="B8" s="14" t="s">
        <v>43</v>
      </c>
      <c r="C8" s="11" t="s">
        <v>864</v>
      </c>
      <c r="D8" s="15">
        <v>425003144</v>
      </c>
      <c r="E8" s="11" t="s">
        <v>21</v>
      </c>
      <c r="F8" s="20">
        <v>37264</v>
      </c>
      <c r="G8" s="16" t="str">
        <f t="shared" si="0"/>
        <v>January</v>
      </c>
      <c r="H8" s="2">
        <f t="shared" ca="1" si="1"/>
        <v>17</v>
      </c>
      <c r="I8" s="17"/>
      <c r="J8" s="18">
        <v>96795</v>
      </c>
      <c r="K8" s="19">
        <v>2</v>
      </c>
    </row>
    <row r="9" spans="1:11" x14ac:dyDescent="0.2">
      <c r="A9" s="11" t="s">
        <v>1554</v>
      </c>
      <c r="B9" s="14" t="s">
        <v>27</v>
      </c>
      <c r="C9" s="11" t="s">
        <v>145</v>
      </c>
      <c r="D9" s="15">
        <v>323001315</v>
      </c>
      <c r="E9" s="11" t="s">
        <v>29</v>
      </c>
      <c r="F9" s="20">
        <v>43437</v>
      </c>
      <c r="G9" s="16" t="str">
        <f t="shared" si="0"/>
        <v>December</v>
      </c>
      <c r="H9" s="2">
        <f t="shared" ca="1" si="1"/>
        <v>0</v>
      </c>
      <c r="I9" s="17" t="s">
        <v>38</v>
      </c>
      <c r="J9" s="18">
        <v>108351</v>
      </c>
      <c r="K9" s="19">
        <v>3</v>
      </c>
    </row>
    <row r="10" spans="1:11" x14ac:dyDescent="0.2">
      <c r="A10" s="11" t="s">
        <v>1172</v>
      </c>
      <c r="B10" s="14" t="s">
        <v>19</v>
      </c>
      <c r="C10" s="11" t="s">
        <v>145</v>
      </c>
      <c r="D10" s="15">
        <v>412009105</v>
      </c>
      <c r="E10" s="11" t="s">
        <v>56</v>
      </c>
      <c r="F10" s="20">
        <v>38258</v>
      </c>
      <c r="G10" s="16" t="str">
        <f t="shared" si="0"/>
        <v>September</v>
      </c>
      <c r="H10" s="2">
        <f t="shared" ca="1" si="1"/>
        <v>14</v>
      </c>
      <c r="I10" s="17"/>
      <c r="J10" s="18">
        <v>45236</v>
      </c>
      <c r="K10" s="19">
        <v>4</v>
      </c>
    </row>
    <row r="11" spans="1:11" x14ac:dyDescent="0.2">
      <c r="A11" s="11" t="s">
        <v>431</v>
      </c>
      <c r="B11" s="14" t="s">
        <v>83</v>
      </c>
      <c r="C11" s="11" t="s">
        <v>205</v>
      </c>
      <c r="D11" s="15">
        <v>477000649</v>
      </c>
      <c r="E11" s="11" t="s">
        <v>29</v>
      </c>
      <c r="F11" s="20">
        <v>39899</v>
      </c>
      <c r="G11" s="16" t="str">
        <f t="shared" si="0"/>
        <v>March</v>
      </c>
      <c r="H11" s="2">
        <f t="shared" ca="1" si="1"/>
        <v>10</v>
      </c>
      <c r="I11" s="17" t="s">
        <v>87</v>
      </c>
      <c r="J11" s="18">
        <v>60953</v>
      </c>
      <c r="K11" s="19">
        <v>1</v>
      </c>
    </row>
    <row r="12" spans="1:11" x14ac:dyDescent="0.2">
      <c r="A12" s="11" t="s">
        <v>643</v>
      </c>
      <c r="B12" s="14" t="s">
        <v>19</v>
      </c>
      <c r="C12" s="11" t="s">
        <v>62</v>
      </c>
      <c r="D12" s="15">
        <v>202005919</v>
      </c>
      <c r="E12" s="11" t="s">
        <v>21</v>
      </c>
      <c r="F12" s="20">
        <v>36932</v>
      </c>
      <c r="G12" s="16" t="str">
        <f t="shared" si="0"/>
        <v>February</v>
      </c>
      <c r="H12" s="2">
        <f t="shared" ca="1" si="1"/>
        <v>18</v>
      </c>
      <c r="I12" s="17"/>
      <c r="J12" s="18">
        <v>89883</v>
      </c>
      <c r="K12" s="19">
        <v>5</v>
      </c>
    </row>
    <row r="13" spans="1:11" x14ac:dyDescent="0.2">
      <c r="A13" s="11" t="s">
        <v>73</v>
      </c>
      <c r="B13" s="14" t="s">
        <v>36</v>
      </c>
      <c r="C13" s="11" t="s">
        <v>62</v>
      </c>
      <c r="D13" s="15">
        <v>840003216</v>
      </c>
      <c r="E13" s="11" t="s">
        <v>29</v>
      </c>
      <c r="F13" s="20">
        <v>41925</v>
      </c>
      <c r="G13" s="16" t="str">
        <f t="shared" si="0"/>
        <v>October</v>
      </c>
      <c r="H13" s="2">
        <f t="shared" ca="1" si="1"/>
        <v>4</v>
      </c>
      <c r="I13" s="17" t="s">
        <v>38</v>
      </c>
      <c r="J13" s="18">
        <v>50855</v>
      </c>
      <c r="K13" s="19">
        <v>3</v>
      </c>
    </row>
    <row r="14" spans="1:11" x14ac:dyDescent="0.2">
      <c r="A14" s="11" t="s">
        <v>982</v>
      </c>
      <c r="B14" s="14" t="s">
        <v>19</v>
      </c>
      <c r="C14" s="11" t="s">
        <v>254</v>
      </c>
      <c r="D14" s="15">
        <v>931007751</v>
      </c>
      <c r="E14" s="11" t="s">
        <v>29</v>
      </c>
      <c r="F14" s="20">
        <v>37757</v>
      </c>
      <c r="G14" s="16" t="str">
        <f t="shared" si="0"/>
        <v>May</v>
      </c>
      <c r="H14" s="2">
        <f t="shared" ca="1" si="1"/>
        <v>16</v>
      </c>
      <c r="I14" s="17" t="s">
        <v>47</v>
      </c>
      <c r="J14" s="18">
        <v>34871</v>
      </c>
      <c r="K14" s="19">
        <v>5</v>
      </c>
    </row>
    <row r="15" spans="1:11" x14ac:dyDescent="0.2">
      <c r="A15" s="11" t="s">
        <v>622</v>
      </c>
      <c r="B15" s="14" t="s">
        <v>36</v>
      </c>
      <c r="C15" s="11" t="s">
        <v>214</v>
      </c>
      <c r="D15" s="15">
        <v>378009642</v>
      </c>
      <c r="E15" s="11" t="s">
        <v>21</v>
      </c>
      <c r="F15" s="20">
        <v>40755</v>
      </c>
      <c r="G15" s="16" t="str">
        <f t="shared" si="0"/>
        <v>July</v>
      </c>
      <c r="H15" s="2">
        <f t="shared" ca="1" si="1"/>
        <v>7</v>
      </c>
      <c r="I15" s="17"/>
      <c r="J15" s="18">
        <v>86697</v>
      </c>
      <c r="K15" s="19">
        <v>5</v>
      </c>
    </row>
    <row r="16" spans="1:11" x14ac:dyDescent="0.2">
      <c r="A16" s="11" t="s">
        <v>348</v>
      </c>
      <c r="B16" s="14" t="s">
        <v>27</v>
      </c>
      <c r="C16" s="11" t="s">
        <v>59</v>
      </c>
      <c r="D16" s="15">
        <v>659009807</v>
      </c>
      <c r="E16" s="11" t="s">
        <v>29</v>
      </c>
      <c r="F16" s="20">
        <v>41609</v>
      </c>
      <c r="G16" s="16" t="str">
        <f t="shared" si="0"/>
        <v>December</v>
      </c>
      <c r="H16" s="2">
        <f t="shared" ca="1" si="1"/>
        <v>5</v>
      </c>
      <c r="I16" s="17" t="s">
        <v>47</v>
      </c>
      <c r="J16" s="18">
        <v>30254</v>
      </c>
      <c r="K16" s="19">
        <v>4</v>
      </c>
    </row>
    <row r="17" spans="1:11" x14ac:dyDescent="0.2">
      <c r="A17" s="11" t="s">
        <v>1492</v>
      </c>
      <c r="B17" s="14" t="s">
        <v>19</v>
      </c>
      <c r="C17" s="11" t="s">
        <v>152</v>
      </c>
      <c r="D17" s="15">
        <v>876002195</v>
      </c>
      <c r="E17" s="11" t="s">
        <v>29</v>
      </c>
      <c r="F17" s="20">
        <v>39186</v>
      </c>
      <c r="G17" s="16" t="str">
        <f t="shared" si="0"/>
        <v>April</v>
      </c>
      <c r="H17" s="2">
        <f t="shared" ca="1" si="1"/>
        <v>12</v>
      </c>
      <c r="I17" s="17" t="s">
        <v>71</v>
      </c>
      <c r="J17" s="18">
        <v>83498</v>
      </c>
      <c r="K17" s="19">
        <v>2</v>
      </c>
    </row>
    <row r="18" spans="1:11" x14ac:dyDescent="0.2">
      <c r="A18" s="11" t="s">
        <v>1440</v>
      </c>
      <c r="B18" s="14" t="s">
        <v>43</v>
      </c>
      <c r="C18" s="11" t="s">
        <v>86</v>
      </c>
      <c r="D18" s="15">
        <v>261000277</v>
      </c>
      <c r="E18" s="11" t="s">
        <v>29</v>
      </c>
      <c r="F18" s="20">
        <v>38712</v>
      </c>
      <c r="G18" s="16" t="str">
        <f t="shared" si="0"/>
        <v>December</v>
      </c>
      <c r="H18" s="2">
        <f t="shared" ca="1" si="1"/>
        <v>13</v>
      </c>
      <c r="I18" s="17" t="s">
        <v>71</v>
      </c>
      <c r="J18" s="18">
        <v>117221</v>
      </c>
      <c r="K18" s="19">
        <v>3</v>
      </c>
    </row>
    <row r="19" spans="1:11" x14ac:dyDescent="0.2">
      <c r="A19" s="11" t="s">
        <v>1238</v>
      </c>
      <c r="B19" s="14" t="s">
        <v>19</v>
      </c>
      <c r="C19" s="11" t="s">
        <v>20</v>
      </c>
      <c r="D19" s="15">
        <v>627008686</v>
      </c>
      <c r="E19" s="11" t="s">
        <v>21</v>
      </c>
      <c r="F19" s="20">
        <v>38361</v>
      </c>
      <c r="G19" s="16" t="str">
        <f t="shared" si="0"/>
        <v>January</v>
      </c>
      <c r="H19" s="2">
        <f t="shared" ca="1" si="1"/>
        <v>14</v>
      </c>
      <c r="I19" s="17"/>
      <c r="J19" s="18">
        <v>100899</v>
      </c>
      <c r="K19" s="19">
        <v>5</v>
      </c>
    </row>
    <row r="20" spans="1:11" x14ac:dyDescent="0.2">
      <c r="A20" s="11" t="s">
        <v>604</v>
      </c>
      <c r="B20" s="14" t="s">
        <v>27</v>
      </c>
      <c r="C20" s="11" t="s">
        <v>152</v>
      </c>
      <c r="D20" s="15">
        <v>656002514</v>
      </c>
      <c r="E20" s="11" t="s">
        <v>21</v>
      </c>
      <c r="F20" s="20">
        <v>36830</v>
      </c>
      <c r="G20" s="16" t="str">
        <f t="shared" si="0"/>
        <v>October</v>
      </c>
      <c r="H20" s="2">
        <f t="shared" ca="1" si="1"/>
        <v>18</v>
      </c>
      <c r="I20" s="17"/>
      <c r="J20" s="18">
        <v>94703</v>
      </c>
      <c r="K20" s="19">
        <v>2</v>
      </c>
    </row>
    <row r="21" spans="1:11" x14ac:dyDescent="0.2">
      <c r="A21" s="11" t="s">
        <v>190</v>
      </c>
      <c r="B21" s="14" t="s">
        <v>51</v>
      </c>
      <c r="C21" s="11" t="s">
        <v>20</v>
      </c>
      <c r="D21" s="15">
        <v>877002222</v>
      </c>
      <c r="E21" s="11" t="s">
        <v>29</v>
      </c>
      <c r="F21" s="20">
        <v>43431</v>
      </c>
      <c r="G21" s="16" t="str">
        <f t="shared" si="0"/>
        <v>November</v>
      </c>
      <c r="H21" s="2">
        <f t="shared" ca="1" si="1"/>
        <v>0</v>
      </c>
      <c r="I21" s="17" t="s">
        <v>71</v>
      </c>
      <c r="J21" s="18">
        <v>100859</v>
      </c>
      <c r="K21" s="19">
        <v>2</v>
      </c>
    </row>
    <row r="22" spans="1:11" x14ac:dyDescent="0.2">
      <c r="A22" s="11" t="s">
        <v>636</v>
      </c>
      <c r="B22" s="14" t="s">
        <v>27</v>
      </c>
      <c r="C22" s="11" t="s">
        <v>214</v>
      </c>
      <c r="D22" s="15">
        <v>251004309</v>
      </c>
      <c r="E22" s="11" t="s">
        <v>21</v>
      </c>
      <c r="F22" s="20">
        <v>39585</v>
      </c>
      <c r="G22" s="16" t="str">
        <f t="shared" si="0"/>
        <v>May</v>
      </c>
      <c r="H22" s="2">
        <f t="shared" ca="1" si="1"/>
        <v>11</v>
      </c>
      <c r="I22" s="17"/>
      <c r="J22" s="18">
        <v>61317</v>
      </c>
      <c r="K22" s="19">
        <v>1</v>
      </c>
    </row>
    <row r="23" spans="1:11" x14ac:dyDescent="0.2">
      <c r="A23" s="11" t="s">
        <v>386</v>
      </c>
      <c r="B23" s="14" t="s">
        <v>43</v>
      </c>
      <c r="C23" s="11" t="s">
        <v>152</v>
      </c>
      <c r="D23" s="15">
        <v>877004472</v>
      </c>
      <c r="E23" s="11" t="s">
        <v>21</v>
      </c>
      <c r="F23" s="20">
        <v>36257</v>
      </c>
      <c r="G23" s="16" t="str">
        <f t="shared" si="0"/>
        <v>April</v>
      </c>
      <c r="H23" s="2">
        <f t="shared" ca="1" si="1"/>
        <v>20</v>
      </c>
      <c r="I23" s="17"/>
      <c r="J23" s="18">
        <v>46818</v>
      </c>
      <c r="K23" s="19">
        <v>5</v>
      </c>
    </row>
    <row r="24" spans="1:11" x14ac:dyDescent="0.2">
      <c r="A24" s="11" t="s">
        <v>946</v>
      </c>
      <c r="B24" s="14" t="s">
        <v>27</v>
      </c>
      <c r="C24" s="11" t="s">
        <v>59</v>
      </c>
      <c r="D24" s="15">
        <v>661007587</v>
      </c>
      <c r="E24" s="11" t="s">
        <v>21</v>
      </c>
      <c r="F24" s="20">
        <v>37768</v>
      </c>
      <c r="G24" s="16" t="str">
        <f t="shared" si="0"/>
        <v>May</v>
      </c>
      <c r="H24" s="2">
        <f t="shared" ca="1" si="1"/>
        <v>16</v>
      </c>
      <c r="I24" s="17"/>
      <c r="J24" s="18">
        <v>54756</v>
      </c>
      <c r="K24" s="19">
        <v>5</v>
      </c>
    </row>
    <row r="25" spans="1:11" x14ac:dyDescent="0.2">
      <c r="A25" s="11" t="s">
        <v>833</v>
      </c>
      <c r="B25" s="14" t="s">
        <v>43</v>
      </c>
      <c r="C25" s="11" t="s">
        <v>86</v>
      </c>
      <c r="D25" s="15">
        <v>895008697</v>
      </c>
      <c r="E25" s="11" t="s">
        <v>29</v>
      </c>
      <c r="F25" s="20">
        <v>42013</v>
      </c>
      <c r="G25" s="16" t="str">
        <f t="shared" si="0"/>
        <v>January</v>
      </c>
      <c r="H25" s="2">
        <f t="shared" ca="1" si="1"/>
        <v>4</v>
      </c>
      <c r="I25" s="17" t="s">
        <v>30</v>
      </c>
      <c r="J25" s="18">
        <v>64274</v>
      </c>
      <c r="K25" s="19">
        <v>4</v>
      </c>
    </row>
    <row r="26" spans="1:11" x14ac:dyDescent="0.2">
      <c r="A26" s="11" t="s">
        <v>534</v>
      </c>
      <c r="B26" s="14" t="s">
        <v>27</v>
      </c>
      <c r="C26" s="11" t="s">
        <v>214</v>
      </c>
      <c r="D26" s="15">
        <v>377004926</v>
      </c>
      <c r="E26" s="11" t="s">
        <v>29</v>
      </c>
      <c r="F26" s="20">
        <v>43459</v>
      </c>
      <c r="G26" s="16" t="str">
        <f t="shared" si="0"/>
        <v>December</v>
      </c>
      <c r="H26" s="2">
        <f t="shared" ca="1" si="1"/>
        <v>0</v>
      </c>
      <c r="I26" s="17" t="s">
        <v>38</v>
      </c>
      <c r="J26" s="18">
        <v>59751</v>
      </c>
      <c r="K26" s="19">
        <v>1</v>
      </c>
    </row>
    <row r="27" spans="1:11" x14ac:dyDescent="0.2">
      <c r="A27" s="11" t="s">
        <v>378</v>
      </c>
      <c r="B27" s="14" t="s">
        <v>51</v>
      </c>
      <c r="C27" s="11" t="s">
        <v>59</v>
      </c>
      <c r="D27" s="15">
        <v>105008355</v>
      </c>
      <c r="E27" s="11" t="s">
        <v>29</v>
      </c>
      <c r="F27" s="20">
        <v>38845</v>
      </c>
      <c r="G27" s="16" t="str">
        <f t="shared" si="0"/>
        <v>May</v>
      </c>
      <c r="H27" s="2">
        <f t="shared" ca="1" si="1"/>
        <v>13</v>
      </c>
      <c r="I27" s="17" t="s">
        <v>87</v>
      </c>
      <c r="J27" s="18">
        <v>95864</v>
      </c>
      <c r="K27" s="19">
        <v>5</v>
      </c>
    </row>
    <row r="28" spans="1:11" x14ac:dyDescent="0.2">
      <c r="A28" s="11" t="s">
        <v>94</v>
      </c>
      <c r="B28" s="14" t="s">
        <v>19</v>
      </c>
      <c r="C28" s="4" t="s">
        <v>62</v>
      </c>
      <c r="D28" s="22">
        <v>638001383</v>
      </c>
      <c r="E28" s="4" t="s">
        <v>29</v>
      </c>
      <c r="F28" s="20">
        <v>40998</v>
      </c>
      <c r="G28" s="16" t="str">
        <f t="shared" si="0"/>
        <v>March</v>
      </c>
      <c r="H28" s="2">
        <f t="shared" ca="1" si="1"/>
        <v>7</v>
      </c>
      <c r="I28" s="17" t="s">
        <v>47</v>
      </c>
      <c r="J28" s="18">
        <v>66623</v>
      </c>
      <c r="K28" s="19">
        <v>4</v>
      </c>
    </row>
    <row r="29" spans="1:11" x14ac:dyDescent="0.2">
      <c r="A29" s="11" t="s">
        <v>135</v>
      </c>
      <c r="B29" s="14" t="s">
        <v>43</v>
      </c>
      <c r="C29" s="11" t="s">
        <v>136</v>
      </c>
      <c r="D29" s="15">
        <v>484002635</v>
      </c>
      <c r="E29" s="11" t="s">
        <v>21</v>
      </c>
      <c r="F29" s="20">
        <v>36023</v>
      </c>
      <c r="G29" s="16" t="str">
        <f t="shared" si="0"/>
        <v>August</v>
      </c>
      <c r="H29" s="2">
        <f t="shared" ca="1" si="1"/>
        <v>20</v>
      </c>
      <c r="I29" s="17"/>
      <c r="J29" s="18">
        <v>31077</v>
      </c>
      <c r="K29" s="19">
        <v>4</v>
      </c>
    </row>
    <row r="30" spans="1:11" x14ac:dyDescent="0.2">
      <c r="A30" s="11" t="s">
        <v>837</v>
      </c>
      <c r="B30" s="14" t="s">
        <v>51</v>
      </c>
      <c r="C30" s="11" t="s">
        <v>86</v>
      </c>
      <c r="D30" s="15">
        <v>788001186</v>
      </c>
      <c r="E30" s="11" t="s">
        <v>21</v>
      </c>
      <c r="F30" s="20">
        <v>41352</v>
      </c>
      <c r="G30" s="16" t="str">
        <f t="shared" si="0"/>
        <v>March</v>
      </c>
      <c r="H30" s="2">
        <f t="shared" ca="1" si="1"/>
        <v>6</v>
      </c>
      <c r="I30" s="17"/>
      <c r="J30" s="18">
        <v>77652</v>
      </c>
      <c r="K30" s="19">
        <v>3</v>
      </c>
    </row>
    <row r="31" spans="1:11" x14ac:dyDescent="0.2">
      <c r="A31" s="11" t="s">
        <v>1494</v>
      </c>
      <c r="B31" s="14" t="s">
        <v>27</v>
      </c>
      <c r="C31" s="11" t="s">
        <v>152</v>
      </c>
      <c r="D31" s="15">
        <v>771000153</v>
      </c>
      <c r="E31" s="11" t="s">
        <v>29</v>
      </c>
      <c r="F31" s="20">
        <v>42139</v>
      </c>
      <c r="G31" s="16" t="str">
        <f t="shared" si="0"/>
        <v>May</v>
      </c>
      <c r="H31" s="2">
        <f t="shared" ca="1" si="1"/>
        <v>4</v>
      </c>
      <c r="I31" s="17" t="s">
        <v>47</v>
      </c>
      <c r="J31" s="18">
        <v>33723</v>
      </c>
      <c r="K31" s="19">
        <v>3</v>
      </c>
    </row>
    <row r="32" spans="1:11" x14ac:dyDescent="0.2">
      <c r="A32" s="11" t="s">
        <v>407</v>
      </c>
      <c r="B32" s="14" t="s">
        <v>51</v>
      </c>
      <c r="C32" s="4" t="s">
        <v>37</v>
      </c>
      <c r="D32" s="22">
        <v>411006157</v>
      </c>
      <c r="E32" s="4" t="s">
        <v>56</v>
      </c>
      <c r="F32" s="20">
        <v>36702</v>
      </c>
      <c r="G32" s="16" t="str">
        <f t="shared" si="0"/>
        <v>June</v>
      </c>
      <c r="H32" s="2">
        <f t="shared" ca="1" si="1"/>
        <v>18</v>
      </c>
      <c r="I32" s="17"/>
      <c r="J32" s="18">
        <v>48168</v>
      </c>
      <c r="K32" s="19">
        <v>2</v>
      </c>
    </row>
    <row r="33" spans="1:11" x14ac:dyDescent="0.2">
      <c r="A33" s="11" t="s">
        <v>1064</v>
      </c>
      <c r="B33" s="14" t="s">
        <v>19</v>
      </c>
      <c r="C33" s="11" t="s">
        <v>214</v>
      </c>
      <c r="D33" s="15">
        <v>147004014</v>
      </c>
      <c r="E33" s="11" t="s">
        <v>29</v>
      </c>
      <c r="F33" s="20">
        <v>38044</v>
      </c>
      <c r="G33" s="16" t="str">
        <f t="shared" si="0"/>
        <v>February</v>
      </c>
      <c r="H33" s="2">
        <f t="shared" ca="1" si="1"/>
        <v>15</v>
      </c>
      <c r="I33" s="17" t="s">
        <v>30</v>
      </c>
      <c r="J33" s="18">
        <v>59765</v>
      </c>
      <c r="K33" s="19">
        <v>2</v>
      </c>
    </row>
    <row r="34" spans="1:11" x14ac:dyDescent="0.2">
      <c r="A34" s="11" t="s">
        <v>279</v>
      </c>
      <c r="B34" s="14" t="s">
        <v>19</v>
      </c>
      <c r="C34" s="11" t="s">
        <v>28</v>
      </c>
      <c r="D34" s="15">
        <v>324002113</v>
      </c>
      <c r="E34" s="11" t="s">
        <v>80</v>
      </c>
      <c r="F34" s="20">
        <v>43372</v>
      </c>
      <c r="G34" s="16" t="str">
        <f t="shared" si="0"/>
        <v>September</v>
      </c>
      <c r="H34" s="2">
        <f t="shared" ca="1" si="1"/>
        <v>0</v>
      </c>
      <c r="I34" s="17" t="s">
        <v>30</v>
      </c>
      <c r="J34" s="18">
        <v>38644</v>
      </c>
      <c r="K34" s="19">
        <v>1</v>
      </c>
    </row>
    <row r="35" spans="1:11" x14ac:dyDescent="0.2">
      <c r="A35" s="11" t="s">
        <v>926</v>
      </c>
      <c r="B35" s="14" t="s">
        <v>36</v>
      </c>
      <c r="C35" s="11" t="s">
        <v>20</v>
      </c>
      <c r="D35" s="15">
        <v>964003524</v>
      </c>
      <c r="E35" s="11" t="s">
        <v>29</v>
      </c>
      <c r="F35" s="20">
        <v>37852</v>
      </c>
      <c r="G35" s="16" t="str">
        <f t="shared" si="0"/>
        <v>August</v>
      </c>
      <c r="H35" s="2">
        <f t="shared" ca="1" si="1"/>
        <v>15</v>
      </c>
      <c r="I35" s="17" t="s">
        <v>47</v>
      </c>
      <c r="J35" s="18">
        <v>91652</v>
      </c>
      <c r="K35" s="19">
        <v>5</v>
      </c>
    </row>
    <row r="36" spans="1:11" x14ac:dyDescent="0.2">
      <c r="A36" s="11" t="s">
        <v>1296</v>
      </c>
      <c r="B36" s="14" t="s">
        <v>43</v>
      </c>
      <c r="C36" s="11" t="s">
        <v>145</v>
      </c>
      <c r="D36" s="15">
        <v>291004360</v>
      </c>
      <c r="E36" s="11" t="s">
        <v>29</v>
      </c>
      <c r="F36" s="20">
        <v>38937</v>
      </c>
      <c r="G36" s="16" t="str">
        <f t="shared" si="0"/>
        <v>August</v>
      </c>
      <c r="H36" s="2">
        <f t="shared" ca="1" si="1"/>
        <v>12</v>
      </c>
      <c r="I36" s="17" t="s">
        <v>30</v>
      </c>
      <c r="J36" s="18">
        <v>90999</v>
      </c>
      <c r="K36" s="19">
        <v>5</v>
      </c>
    </row>
    <row r="37" spans="1:11" x14ac:dyDescent="0.2">
      <c r="A37" s="11" t="s">
        <v>580</v>
      </c>
      <c r="B37" s="14" t="s">
        <v>83</v>
      </c>
      <c r="C37" s="11" t="s">
        <v>214</v>
      </c>
      <c r="D37" s="15">
        <v>993003806</v>
      </c>
      <c r="E37" s="11" t="s">
        <v>56</v>
      </c>
      <c r="F37" s="20">
        <v>38923</v>
      </c>
      <c r="G37" s="16" t="str">
        <f t="shared" si="0"/>
        <v>July</v>
      </c>
      <c r="H37" s="2">
        <f t="shared" ca="1" si="1"/>
        <v>12</v>
      </c>
      <c r="I37" s="17"/>
      <c r="J37" s="18">
        <v>50776</v>
      </c>
      <c r="K37" s="19">
        <v>4</v>
      </c>
    </row>
    <row r="38" spans="1:11" x14ac:dyDescent="0.2">
      <c r="A38" s="11" t="s">
        <v>532</v>
      </c>
      <c r="B38" s="14" t="s">
        <v>19</v>
      </c>
      <c r="C38" s="11" t="s">
        <v>214</v>
      </c>
      <c r="D38" s="15">
        <v>470009383</v>
      </c>
      <c r="E38" s="11" t="s">
        <v>29</v>
      </c>
      <c r="F38" s="20">
        <v>38865</v>
      </c>
      <c r="G38" s="16" t="str">
        <f t="shared" si="0"/>
        <v>May</v>
      </c>
      <c r="H38" s="2">
        <f t="shared" ca="1" si="1"/>
        <v>13</v>
      </c>
      <c r="I38" s="17" t="s">
        <v>47</v>
      </c>
      <c r="J38" s="18">
        <v>101412</v>
      </c>
      <c r="K38" s="19">
        <v>5</v>
      </c>
    </row>
    <row r="39" spans="1:11" x14ac:dyDescent="0.2">
      <c r="A39" s="11" t="s">
        <v>68</v>
      </c>
      <c r="B39" s="14" t="s">
        <v>27</v>
      </c>
      <c r="C39" s="11" t="s">
        <v>62</v>
      </c>
      <c r="D39" s="15">
        <v>542001793</v>
      </c>
      <c r="E39" s="11" t="s">
        <v>29</v>
      </c>
      <c r="F39" s="20">
        <v>39116</v>
      </c>
      <c r="G39" s="16" t="str">
        <f t="shared" si="0"/>
        <v>February</v>
      </c>
      <c r="H39" s="2">
        <f t="shared" ca="1" si="1"/>
        <v>12</v>
      </c>
      <c r="I39" s="17" t="s">
        <v>47</v>
      </c>
      <c r="J39" s="18">
        <v>101453</v>
      </c>
      <c r="K39" s="19">
        <v>1</v>
      </c>
    </row>
    <row r="40" spans="1:11" x14ac:dyDescent="0.2">
      <c r="A40" s="11" t="s">
        <v>1344</v>
      </c>
      <c r="B40" s="14" t="s">
        <v>19</v>
      </c>
      <c r="C40" s="11" t="s">
        <v>86</v>
      </c>
      <c r="D40" s="15">
        <v>626007704</v>
      </c>
      <c r="E40" s="11" t="s">
        <v>21</v>
      </c>
      <c r="F40" s="20">
        <v>38632</v>
      </c>
      <c r="G40" s="16" t="str">
        <f t="shared" si="0"/>
        <v>October</v>
      </c>
      <c r="H40" s="2">
        <f t="shared" ca="1" si="1"/>
        <v>13</v>
      </c>
      <c r="I40" s="17"/>
      <c r="J40" s="18">
        <v>105206</v>
      </c>
      <c r="K40" s="19">
        <v>5</v>
      </c>
    </row>
    <row r="41" spans="1:11" x14ac:dyDescent="0.2">
      <c r="A41" s="11" t="s">
        <v>1058</v>
      </c>
      <c r="B41" s="14" t="s">
        <v>27</v>
      </c>
      <c r="C41" s="11" t="s">
        <v>214</v>
      </c>
      <c r="D41" s="15">
        <v>243002914</v>
      </c>
      <c r="E41" s="11" t="s">
        <v>29</v>
      </c>
      <c r="F41" s="20">
        <v>38055</v>
      </c>
      <c r="G41" s="16" t="str">
        <f t="shared" si="0"/>
        <v>March</v>
      </c>
      <c r="H41" s="2">
        <f t="shared" ca="1" si="1"/>
        <v>15</v>
      </c>
      <c r="I41" s="17" t="s">
        <v>47</v>
      </c>
      <c r="J41" s="18">
        <v>99158</v>
      </c>
      <c r="K41" s="19">
        <v>3</v>
      </c>
    </row>
    <row r="42" spans="1:11" x14ac:dyDescent="0.2">
      <c r="A42" s="11" t="s">
        <v>1018</v>
      </c>
      <c r="B42" s="14" t="s">
        <v>51</v>
      </c>
      <c r="C42" s="11" t="s">
        <v>20</v>
      </c>
      <c r="D42" s="15">
        <v>344000854</v>
      </c>
      <c r="E42" s="11" t="s">
        <v>29</v>
      </c>
      <c r="F42" s="20">
        <v>38053</v>
      </c>
      <c r="G42" s="16" t="str">
        <f t="shared" si="0"/>
        <v>March</v>
      </c>
      <c r="H42" s="2">
        <f t="shared" ca="1" si="1"/>
        <v>15</v>
      </c>
      <c r="I42" s="17" t="s">
        <v>71</v>
      </c>
      <c r="J42" s="18">
        <v>110862</v>
      </c>
      <c r="K42" s="19">
        <v>5</v>
      </c>
    </row>
    <row r="43" spans="1:11" x14ac:dyDescent="0.2">
      <c r="A43" s="11" t="s">
        <v>900</v>
      </c>
      <c r="B43" s="14" t="s">
        <v>27</v>
      </c>
      <c r="C43" s="11" t="s">
        <v>136</v>
      </c>
      <c r="D43" s="15">
        <v>933003118</v>
      </c>
      <c r="E43" s="11" t="s">
        <v>21</v>
      </c>
      <c r="F43" s="20">
        <v>37514</v>
      </c>
      <c r="G43" s="16" t="str">
        <f t="shared" si="0"/>
        <v>September</v>
      </c>
      <c r="H43" s="2">
        <f t="shared" ca="1" si="1"/>
        <v>16</v>
      </c>
      <c r="I43" s="17"/>
      <c r="J43" s="18">
        <v>116073</v>
      </c>
      <c r="K43" s="19">
        <v>2</v>
      </c>
    </row>
    <row r="44" spans="1:11" x14ac:dyDescent="0.2">
      <c r="A44" s="11" t="s">
        <v>277</v>
      </c>
      <c r="B44" s="14" t="s">
        <v>27</v>
      </c>
      <c r="C44" s="11" t="s">
        <v>265</v>
      </c>
      <c r="D44" s="15">
        <v>495002805</v>
      </c>
      <c r="E44" s="11" t="s">
        <v>21</v>
      </c>
      <c r="F44" s="20">
        <v>43109</v>
      </c>
      <c r="G44" s="16" t="str">
        <f t="shared" si="0"/>
        <v>January</v>
      </c>
      <c r="H44" s="2">
        <f t="shared" ca="1" si="1"/>
        <v>1</v>
      </c>
      <c r="I44" s="17"/>
      <c r="J44" s="18">
        <v>80123</v>
      </c>
      <c r="K44" s="19">
        <v>5</v>
      </c>
    </row>
    <row r="45" spans="1:11" x14ac:dyDescent="0.2">
      <c r="A45" s="11" t="s">
        <v>346</v>
      </c>
      <c r="B45" s="14" t="s">
        <v>27</v>
      </c>
      <c r="C45" s="11" t="s">
        <v>136</v>
      </c>
      <c r="D45" s="15">
        <v>828005582</v>
      </c>
      <c r="E45" s="11" t="s">
        <v>29</v>
      </c>
      <c r="F45" s="20">
        <v>36429</v>
      </c>
      <c r="G45" s="16" t="str">
        <f t="shared" si="0"/>
        <v>September</v>
      </c>
      <c r="H45" s="2">
        <f t="shared" ca="1" si="1"/>
        <v>19</v>
      </c>
      <c r="I45" s="17" t="s">
        <v>71</v>
      </c>
      <c r="J45" s="18">
        <v>96768</v>
      </c>
      <c r="K45" s="19">
        <v>4</v>
      </c>
    </row>
    <row r="46" spans="1:11" x14ac:dyDescent="0.2">
      <c r="A46" s="11" t="s">
        <v>763</v>
      </c>
      <c r="B46" s="14" t="s">
        <v>19</v>
      </c>
      <c r="C46" s="11" t="s">
        <v>145</v>
      </c>
      <c r="D46" s="15">
        <v>102009909</v>
      </c>
      <c r="E46" s="11" t="s">
        <v>56</v>
      </c>
      <c r="F46" s="20">
        <v>37201</v>
      </c>
      <c r="G46" s="16" t="str">
        <f t="shared" si="0"/>
        <v>November</v>
      </c>
      <c r="H46" s="2">
        <f t="shared" ca="1" si="1"/>
        <v>17</v>
      </c>
      <c r="I46" s="17"/>
      <c r="J46" s="18">
        <v>49664</v>
      </c>
      <c r="K46" s="19">
        <v>4</v>
      </c>
    </row>
    <row r="47" spans="1:11" x14ac:dyDescent="0.2">
      <c r="A47" s="11" t="s">
        <v>246</v>
      </c>
      <c r="B47" s="14" t="s">
        <v>43</v>
      </c>
      <c r="C47" s="11" t="s">
        <v>20</v>
      </c>
      <c r="D47" s="15">
        <v>126002342</v>
      </c>
      <c r="E47" s="11" t="s">
        <v>56</v>
      </c>
      <c r="F47" s="20">
        <v>38915</v>
      </c>
      <c r="G47" s="16" t="str">
        <f t="shared" si="0"/>
        <v>July</v>
      </c>
      <c r="H47" s="2">
        <f t="shared" ca="1" si="1"/>
        <v>12</v>
      </c>
      <c r="I47" s="17"/>
      <c r="J47" s="18">
        <v>24975</v>
      </c>
      <c r="K47" s="19">
        <v>5</v>
      </c>
    </row>
    <row r="48" spans="1:11" x14ac:dyDescent="0.2">
      <c r="A48" s="11" t="s">
        <v>354</v>
      </c>
      <c r="B48" s="14" t="s">
        <v>19</v>
      </c>
      <c r="C48" s="11" t="s">
        <v>59</v>
      </c>
      <c r="D48" s="15">
        <v>518000148</v>
      </c>
      <c r="E48" s="11" t="s">
        <v>29</v>
      </c>
      <c r="F48" s="20">
        <v>43255</v>
      </c>
      <c r="G48" s="16" t="str">
        <f t="shared" si="0"/>
        <v>June</v>
      </c>
      <c r="H48" s="2">
        <f t="shared" ca="1" si="1"/>
        <v>1</v>
      </c>
      <c r="I48" s="17" t="s">
        <v>38</v>
      </c>
      <c r="J48" s="18">
        <v>44064</v>
      </c>
      <c r="K48" s="19">
        <v>4</v>
      </c>
    </row>
    <row r="49" spans="1:11" x14ac:dyDescent="0.2">
      <c r="A49" s="11" t="s">
        <v>1320</v>
      </c>
      <c r="B49" s="14" t="s">
        <v>19</v>
      </c>
      <c r="C49" s="11" t="s">
        <v>214</v>
      </c>
      <c r="D49" s="15">
        <v>853008713</v>
      </c>
      <c r="E49" s="11" t="s">
        <v>29</v>
      </c>
      <c r="F49" s="20">
        <v>38445</v>
      </c>
      <c r="G49" s="16" t="str">
        <f t="shared" si="0"/>
        <v>April</v>
      </c>
      <c r="H49" s="2">
        <f t="shared" ca="1" si="1"/>
        <v>14</v>
      </c>
      <c r="I49" s="17" t="s">
        <v>47</v>
      </c>
      <c r="J49" s="18">
        <v>81378</v>
      </c>
      <c r="K49" s="19">
        <v>1</v>
      </c>
    </row>
    <row r="50" spans="1:11" x14ac:dyDescent="0.2">
      <c r="A50" s="11" t="s">
        <v>886</v>
      </c>
      <c r="B50" s="14" t="s">
        <v>36</v>
      </c>
      <c r="C50" s="11" t="s">
        <v>249</v>
      </c>
      <c r="D50" s="15">
        <v>113007726</v>
      </c>
      <c r="E50" s="11" t="s">
        <v>29</v>
      </c>
      <c r="F50" s="20">
        <v>39322</v>
      </c>
      <c r="G50" s="16" t="str">
        <f t="shared" si="0"/>
        <v>August</v>
      </c>
      <c r="H50" s="2">
        <f t="shared" ca="1" si="1"/>
        <v>11</v>
      </c>
      <c r="I50" s="17" t="s">
        <v>30</v>
      </c>
      <c r="J50" s="18">
        <v>92354</v>
      </c>
      <c r="K50" s="19">
        <v>5</v>
      </c>
    </row>
    <row r="51" spans="1:11" x14ac:dyDescent="0.2">
      <c r="A51" s="11" t="s">
        <v>338</v>
      </c>
      <c r="B51" s="14" t="s">
        <v>43</v>
      </c>
      <c r="C51" s="11" t="s">
        <v>336</v>
      </c>
      <c r="D51" s="15">
        <v>914001569</v>
      </c>
      <c r="E51" s="11" t="s">
        <v>29</v>
      </c>
      <c r="F51" s="20">
        <v>43256</v>
      </c>
      <c r="G51" s="16" t="str">
        <f t="shared" si="0"/>
        <v>June</v>
      </c>
      <c r="H51" s="2">
        <f t="shared" ca="1" si="1"/>
        <v>1</v>
      </c>
      <c r="I51" s="17" t="s">
        <v>30</v>
      </c>
      <c r="J51" s="18">
        <v>106853</v>
      </c>
      <c r="K51" s="19">
        <v>2</v>
      </c>
    </row>
    <row r="52" spans="1:11" x14ac:dyDescent="0.2">
      <c r="A52" s="11" t="s">
        <v>1454</v>
      </c>
      <c r="B52" s="14" t="s">
        <v>51</v>
      </c>
      <c r="C52" s="11" t="s">
        <v>152</v>
      </c>
      <c r="D52" s="15">
        <v>995000510</v>
      </c>
      <c r="E52" s="11" t="s">
        <v>21</v>
      </c>
      <c r="F52" s="20">
        <v>43494</v>
      </c>
      <c r="G52" s="16" t="str">
        <f t="shared" si="0"/>
        <v>January</v>
      </c>
      <c r="H52" s="2">
        <f t="shared" ca="1" si="1"/>
        <v>0</v>
      </c>
      <c r="I52" s="17"/>
      <c r="J52" s="18">
        <v>58037</v>
      </c>
      <c r="K52" s="19">
        <v>4</v>
      </c>
    </row>
    <row r="53" spans="1:11" x14ac:dyDescent="0.2">
      <c r="A53" s="11" t="s">
        <v>990</v>
      </c>
      <c r="B53" s="14" t="s">
        <v>27</v>
      </c>
      <c r="C53" s="11" t="s">
        <v>254</v>
      </c>
      <c r="D53" s="15">
        <v>842004592</v>
      </c>
      <c r="E53" s="11" t="s">
        <v>56</v>
      </c>
      <c r="F53" s="20">
        <v>41000</v>
      </c>
      <c r="G53" s="16" t="str">
        <f t="shared" si="0"/>
        <v>April</v>
      </c>
      <c r="H53" s="2">
        <f t="shared" ca="1" si="1"/>
        <v>7</v>
      </c>
      <c r="I53" s="17"/>
      <c r="J53" s="18">
        <v>45241</v>
      </c>
      <c r="K53" s="19">
        <v>4</v>
      </c>
    </row>
    <row r="54" spans="1:11" x14ac:dyDescent="0.2">
      <c r="A54" s="11" t="s">
        <v>815</v>
      </c>
      <c r="B54" s="14" t="s">
        <v>27</v>
      </c>
      <c r="C54" s="11" t="s">
        <v>20</v>
      </c>
      <c r="D54" s="15">
        <v>496000023</v>
      </c>
      <c r="E54" s="11" t="s">
        <v>29</v>
      </c>
      <c r="F54" s="20">
        <v>37330</v>
      </c>
      <c r="G54" s="16" t="str">
        <f t="shared" si="0"/>
        <v>March</v>
      </c>
      <c r="H54" s="2">
        <f t="shared" ca="1" si="1"/>
        <v>17</v>
      </c>
      <c r="I54" s="17" t="s">
        <v>87</v>
      </c>
      <c r="J54" s="18">
        <v>100805</v>
      </c>
      <c r="K54" s="19">
        <v>5</v>
      </c>
    </row>
    <row r="55" spans="1:11" x14ac:dyDescent="0.2">
      <c r="A55" s="11" t="s">
        <v>994</v>
      </c>
      <c r="B55" s="14" t="s">
        <v>51</v>
      </c>
      <c r="C55" s="11" t="s">
        <v>254</v>
      </c>
      <c r="D55" s="15">
        <v>719005738</v>
      </c>
      <c r="E55" s="11" t="s">
        <v>21</v>
      </c>
      <c r="F55" s="20">
        <v>43324</v>
      </c>
      <c r="G55" s="16" t="str">
        <f t="shared" si="0"/>
        <v>August</v>
      </c>
      <c r="H55" s="2">
        <f t="shared" ca="1" si="1"/>
        <v>0</v>
      </c>
      <c r="I55" s="17"/>
      <c r="J55" s="18">
        <v>53244</v>
      </c>
      <c r="K55" s="19">
        <v>4</v>
      </c>
    </row>
    <row r="56" spans="1:11" x14ac:dyDescent="0.2">
      <c r="A56" s="11" t="s">
        <v>232</v>
      </c>
      <c r="B56" s="14" t="s">
        <v>19</v>
      </c>
      <c r="C56" s="11" t="s">
        <v>86</v>
      </c>
      <c r="D56" s="15">
        <v>555005137</v>
      </c>
      <c r="E56" s="11" t="s">
        <v>80</v>
      </c>
      <c r="F56" s="20">
        <v>36175</v>
      </c>
      <c r="G56" s="16" t="str">
        <f t="shared" si="0"/>
        <v>January</v>
      </c>
      <c r="H56" s="2">
        <f t="shared" ca="1" si="1"/>
        <v>20</v>
      </c>
      <c r="I56" s="17" t="s">
        <v>38</v>
      </c>
      <c r="J56" s="18">
        <v>17672</v>
      </c>
      <c r="K56" s="19">
        <v>4</v>
      </c>
    </row>
    <row r="57" spans="1:11" x14ac:dyDescent="0.2">
      <c r="A57" s="11" t="s">
        <v>1486</v>
      </c>
      <c r="B57" s="14" t="s">
        <v>43</v>
      </c>
      <c r="C57" s="11" t="s">
        <v>152</v>
      </c>
      <c r="D57" s="15">
        <v>683000378</v>
      </c>
      <c r="E57" s="11" t="s">
        <v>29</v>
      </c>
      <c r="F57" s="20">
        <v>41203</v>
      </c>
      <c r="G57" s="16" t="str">
        <f t="shared" si="0"/>
        <v>October</v>
      </c>
      <c r="H57" s="2">
        <f t="shared" ca="1" si="1"/>
        <v>6</v>
      </c>
      <c r="I57" s="17" t="s">
        <v>30</v>
      </c>
      <c r="J57" s="18">
        <v>109809</v>
      </c>
      <c r="K57" s="19">
        <v>2</v>
      </c>
    </row>
    <row r="58" spans="1:11" x14ac:dyDescent="0.2">
      <c r="A58" s="11" t="s">
        <v>1000</v>
      </c>
      <c r="B58" s="14" t="s">
        <v>19</v>
      </c>
      <c r="C58" s="11" t="s">
        <v>145</v>
      </c>
      <c r="D58" s="15">
        <v>709004421</v>
      </c>
      <c r="E58" s="11" t="s">
        <v>29</v>
      </c>
      <c r="F58" s="20">
        <v>37610</v>
      </c>
      <c r="G58" s="16" t="str">
        <f t="shared" si="0"/>
        <v>December</v>
      </c>
      <c r="H58" s="2">
        <f t="shared" ca="1" si="1"/>
        <v>16</v>
      </c>
      <c r="I58" s="17" t="s">
        <v>47</v>
      </c>
      <c r="J58" s="18">
        <v>52650</v>
      </c>
      <c r="K58" s="19">
        <v>5</v>
      </c>
    </row>
    <row r="59" spans="1:11" x14ac:dyDescent="0.2">
      <c r="A59" s="11" t="s">
        <v>1390</v>
      </c>
      <c r="B59" s="14" t="s">
        <v>27</v>
      </c>
      <c r="C59" s="11" t="s">
        <v>145</v>
      </c>
      <c r="D59" s="15">
        <v>110006520</v>
      </c>
      <c r="E59" s="11" t="s">
        <v>29</v>
      </c>
      <c r="F59" s="20">
        <v>38353</v>
      </c>
      <c r="G59" s="16" t="str">
        <f t="shared" si="0"/>
        <v>January</v>
      </c>
      <c r="H59" s="2">
        <f t="shared" ca="1" si="1"/>
        <v>14</v>
      </c>
      <c r="I59" s="17" t="s">
        <v>47</v>
      </c>
      <c r="J59" s="18">
        <v>106259</v>
      </c>
      <c r="K59" s="19">
        <v>4</v>
      </c>
    </row>
    <row r="60" spans="1:11" x14ac:dyDescent="0.2">
      <c r="A60" s="11" t="s">
        <v>1062</v>
      </c>
      <c r="B60" s="14" t="s">
        <v>19</v>
      </c>
      <c r="C60" s="11" t="s">
        <v>214</v>
      </c>
      <c r="D60" s="15">
        <v>687006783</v>
      </c>
      <c r="E60" s="11" t="s">
        <v>21</v>
      </c>
      <c r="F60" s="20">
        <v>38235</v>
      </c>
      <c r="G60" s="16" t="str">
        <f t="shared" si="0"/>
        <v>September</v>
      </c>
      <c r="H60" s="2">
        <f t="shared" ca="1" si="1"/>
        <v>14</v>
      </c>
      <c r="I60" s="17"/>
      <c r="J60" s="18">
        <v>89114</v>
      </c>
      <c r="K60" s="19">
        <v>2</v>
      </c>
    </row>
    <row r="61" spans="1:11" x14ac:dyDescent="0.2">
      <c r="A61" s="11" t="s">
        <v>1212</v>
      </c>
      <c r="B61" s="14" t="s">
        <v>51</v>
      </c>
      <c r="C61" s="11" t="s">
        <v>152</v>
      </c>
      <c r="D61" s="15">
        <v>799004905</v>
      </c>
      <c r="E61" s="11" t="s">
        <v>29</v>
      </c>
      <c r="F61" s="20">
        <v>38163</v>
      </c>
      <c r="G61" s="16" t="str">
        <f t="shared" si="0"/>
        <v>June</v>
      </c>
      <c r="H61" s="2">
        <f t="shared" ca="1" si="1"/>
        <v>14</v>
      </c>
      <c r="I61" s="17" t="s">
        <v>47</v>
      </c>
      <c r="J61" s="18">
        <v>42782</v>
      </c>
      <c r="K61" s="19">
        <v>4</v>
      </c>
    </row>
    <row r="62" spans="1:11" x14ac:dyDescent="0.2">
      <c r="A62" s="11" t="s">
        <v>861</v>
      </c>
      <c r="B62" s="14" t="s">
        <v>51</v>
      </c>
      <c r="C62" s="11" t="s">
        <v>214</v>
      </c>
      <c r="D62" s="15">
        <v>783004212</v>
      </c>
      <c r="E62" s="11" t="s">
        <v>80</v>
      </c>
      <c r="F62" s="20">
        <v>37439</v>
      </c>
      <c r="G62" s="16" t="str">
        <f t="shared" si="0"/>
        <v>July</v>
      </c>
      <c r="H62" s="2">
        <f t="shared" ca="1" si="1"/>
        <v>16</v>
      </c>
      <c r="I62" s="17" t="s">
        <v>87</v>
      </c>
      <c r="J62" s="18">
        <v>20601</v>
      </c>
      <c r="K62" s="19">
        <v>2</v>
      </c>
    </row>
    <row r="63" spans="1:11" x14ac:dyDescent="0.2">
      <c r="A63" s="11" t="s">
        <v>1202</v>
      </c>
      <c r="B63" s="14" t="s">
        <v>43</v>
      </c>
      <c r="C63" s="11" t="s">
        <v>136</v>
      </c>
      <c r="D63" s="15">
        <v>151007827</v>
      </c>
      <c r="E63" s="11" t="s">
        <v>29</v>
      </c>
      <c r="F63" s="20">
        <v>42755</v>
      </c>
      <c r="G63" s="16" t="str">
        <f t="shared" si="0"/>
        <v>January</v>
      </c>
      <c r="H63" s="2">
        <f t="shared" ca="1" si="1"/>
        <v>2</v>
      </c>
      <c r="I63" s="17" t="s">
        <v>47</v>
      </c>
      <c r="J63" s="18">
        <v>33467</v>
      </c>
      <c r="K63" s="19">
        <v>3</v>
      </c>
    </row>
    <row r="64" spans="1:11" x14ac:dyDescent="0.2">
      <c r="A64" s="11" t="s">
        <v>1318</v>
      </c>
      <c r="B64" s="14" t="s">
        <v>83</v>
      </c>
      <c r="C64" s="11" t="s">
        <v>214</v>
      </c>
      <c r="D64" s="15">
        <v>350004448</v>
      </c>
      <c r="E64" s="11" t="s">
        <v>29</v>
      </c>
      <c r="F64" s="20">
        <v>38385</v>
      </c>
      <c r="G64" s="16" t="str">
        <f t="shared" si="0"/>
        <v>February</v>
      </c>
      <c r="H64" s="2">
        <f t="shared" ca="1" si="1"/>
        <v>14</v>
      </c>
      <c r="I64" s="17" t="s">
        <v>38</v>
      </c>
      <c r="J64" s="18">
        <v>60642</v>
      </c>
      <c r="K64" s="19">
        <v>1</v>
      </c>
    </row>
    <row r="65" spans="1:11" x14ac:dyDescent="0.2">
      <c r="A65" s="11" t="s">
        <v>301</v>
      </c>
      <c r="B65" s="14" t="s">
        <v>19</v>
      </c>
      <c r="C65" s="11" t="s">
        <v>52</v>
      </c>
      <c r="D65" s="15">
        <v>907001320</v>
      </c>
      <c r="E65" s="11" t="s">
        <v>80</v>
      </c>
      <c r="F65" s="20">
        <v>39213</v>
      </c>
      <c r="G65" s="16" t="str">
        <f t="shared" si="0"/>
        <v>May</v>
      </c>
      <c r="H65" s="2">
        <f t="shared" ca="1" si="1"/>
        <v>12</v>
      </c>
      <c r="I65" s="17" t="s">
        <v>71</v>
      </c>
      <c r="J65" s="18">
        <v>57922</v>
      </c>
      <c r="K65" s="19">
        <v>1</v>
      </c>
    </row>
    <row r="66" spans="1:11" x14ac:dyDescent="0.2">
      <c r="A66" s="11" t="s">
        <v>737</v>
      </c>
      <c r="B66" s="14" t="s">
        <v>51</v>
      </c>
      <c r="C66" s="11" t="s">
        <v>214</v>
      </c>
      <c r="D66" s="15">
        <v>311003362</v>
      </c>
      <c r="E66" s="11" t="s">
        <v>21</v>
      </c>
      <c r="F66" s="20">
        <v>40182</v>
      </c>
      <c r="G66" s="16" t="str">
        <f t="shared" ref="G66:G129" si="2">CHOOSE(MONTH(F66),"January","February","March","April","May","June","July","August","September","October","November","December")</f>
        <v>January</v>
      </c>
      <c r="H66" s="2">
        <f t="shared" ref="H66:H129" ca="1" si="3">DATEDIF(F66,TODAY(),"Y")</f>
        <v>9</v>
      </c>
      <c r="I66" s="17"/>
      <c r="J66" s="18">
        <v>71240</v>
      </c>
      <c r="K66" s="19">
        <v>2</v>
      </c>
    </row>
    <row r="67" spans="1:11" x14ac:dyDescent="0.2">
      <c r="A67" s="11" t="s">
        <v>1054</v>
      </c>
      <c r="B67" s="14" t="s">
        <v>51</v>
      </c>
      <c r="C67" s="11" t="s">
        <v>136</v>
      </c>
      <c r="D67" s="15">
        <v>265003292</v>
      </c>
      <c r="E67" s="11" t="s">
        <v>29</v>
      </c>
      <c r="F67" s="20">
        <v>38992</v>
      </c>
      <c r="G67" s="16" t="str">
        <f t="shared" si="2"/>
        <v>October</v>
      </c>
      <c r="H67" s="2">
        <f t="shared" ca="1" si="3"/>
        <v>12</v>
      </c>
      <c r="I67" s="17" t="s">
        <v>30</v>
      </c>
      <c r="J67" s="18">
        <v>60750</v>
      </c>
      <c r="K67" s="19">
        <v>4</v>
      </c>
    </row>
    <row r="68" spans="1:11" x14ac:dyDescent="0.2">
      <c r="A68" s="11" t="s">
        <v>964</v>
      </c>
      <c r="B68" s="14" t="s">
        <v>19</v>
      </c>
      <c r="C68" s="11" t="s">
        <v>254</v>
      </c>
      <c r="D68" s="15">
        <v>960007007</v>
      </c>
      <c r="E68" s="11" t="s">
        <v>21</v>
      </c>
      <c r="F68" s="20">
        <v>39479</v>
      </c>
      <c r="G68" s="16" t="str">
        <f t="shared" si="2"/>
        <v>February</v>
      </c>
      <c r="H68" s="2">
        <f t="shared" ca="1" si="3"/>
        <v>11</v>
      </c>
      <c r="I68" s="17"/>
      <c r="J68" s="18">
        <v>40905</v>
      </c>
      <c r="K68" s="19">
        <v>1</v>
      </c>
    </row>
    <row r="69" spans="1:11" x14ac:dyDescent="0.2">
      <c r="A69" s="11" t="s">
        <v>1210</v>
      </c>
      <c r="B69" s="14" t="s">
        <v>19</v>
      </c>
      <c r="C69" s="11" t="s">
        <v>145</v>
      </c>
      <c r="D69" s="15">
        <v>718000584</v>
      </c>
      <c r="E69" s="11" t="s">
        <v>80</v>
      </c>
      <c r="F69" s="20">
        <v>39052</v>
      </c>
      <c r="G69" s="16" t="str">
        <f t="shared" si="2"/>
        <v>December</v>
      </c>
      <c r="H69" s="2">
        <f t="shared" ca="1" si="3"/>
        <v>12</v>
      </c>
      <c r="I69" s="17" t="s">
        <v>47</v>
      </c>
      <c r="J69" s="18">
        <v>47223</v>
      </c>
      <c r="K69" s="19">
        <v>2</v>
      </c>
    </row>
    <row r="70" spans="1:11" x14ac:dyDescent="0.2">
      <c r="A70" s="11" t="s">
        <v>514</v>
      </c>
      <c r="B70" s="14" t="s">
        <v>51</v>
      </c>
      <c r="C70" s="11" t="s">
        <v>214</v>
      </c>
      <c r="D70" s="15">
        <v>317004971</v>
      </c>
      <c r="E70" s="11" t="s">
        <v>21</v>
      </c>
      <c r="F70" s="20">
        <v>38783</v>
      </c>
      <c r="G70" s="16" t="str">
        <f t="shared" si="2"/>
        <v>March</v>
      </c>
      <c r="H70" s="2">
        <f t="shared" ca="1" si="3"/>
        <v>13</v>
      </c>
      <c r="I70" s="17"/>
      <c r="J70" s="18">
        <v>103829</v>
      </c>
      <c r="K70" s="19">
        <v>1</v>
      </c>
    </row>
    <row r="71" spans="1:11" x14ac:dyDescent="0.2">
      <c r="A71" s="11" t="s">
        <v>1456</v>
      </c>
      <c r="B71" s="14" t="s">
        <v>27</v>
      </c>
      <c r="C71" s="11" t="s">
        <v>152</v>
      </c>
      <c r="D71" s="15">
        <v>163000417</v>
      </c>
      <c r="E71" s="11" t="s">
        <v>29</v>
      </c>
      <c r="F71" s="20">
        <v>39528</v>
      </c>
      <c r="G71" s="16" t="str">
        <f t="shared" si="2"/>
        <v>March</v>
      </c>
      <c r="H71" s="2">
        <f t="shared" ca="1" si="3"/>
        <v>11</v>
      </c>
      <c r="I71" s="17" t="s">
        <v>87</v>
      </c>
      <c r="J71" s="18">
        <v>88182</v>
      </c>
      <c r="K71" s="19">
        <v>5</v>
      </c>
    </row>
    <row r="72" spans="1:11" x14ac:dyDescent="0.2">
      <c r="A72" s="11" t="s">
        <v>1356</v>
      </c>
      <c r="B72" s="14" t="s">
        <v>83</v>
      </c>
      <c r="C72" s="11" t="s">
        <v>152</v>
      </c>
      <c r="D72" s="15">
        <v>651009482</v>
      </c>
      <c r="E72" s="11" t="s">
        <v>29</v>
      </c>
      <c r="F72" s="20">
        <v>42535</v>
      </c>
      <c r="G72" s="16" t="str">
        <f t="shared" si="2"/>
        <v>June</v>
      </c>
      <c r="H72" s="2">
        <f t="shared" ca="1" si="3"/>
        <v>2</v>
      </c>
      <c r="I72" s="17" t="s">
        <v>47</v>
      </c>
      <c r="J72" s="18">
        <v>30807</v>
      </c>
      <c r="K72" s="19">
        <v>5</v>
      </c>
    </row>
    <row r="73" spans="1:11" x14ac:dyDescent="0.2">
      <c r="A73" s="11" t="s">
        <v>344</v>
      </c>
      <c r="B73" s="14" t="s">
        <v>27</v>
      </c>
      <c r="C73" s="11" t="s">
        <v>336</v>
      </c>
      <c r="D73" s="15">
        <v>699003064</v>
      </c>
      <c r="E73" s="11" t="s">
        <v>21</v>
      </c>
      <c r="F73" s="20">
        <v>41383</v>
      </c>
      <c r="G73" s="16" t="str">
        <f t="shared" si="2"/>
        <v>April</v>
      </c>
      <c r="H73" s="2">
        <f t="shared" ca="1" si="3"/>
        <v>6</v>
      </c>
      <c r="I73" s="17"/>
      <c r="J73" s="18">
        <v>81081</v>
      </c>
      <c r="K73" s="19">
        <v>2</v>
      </c>
    </row>
    <row r="74" spans="1:11" x14ac:dyDescent="0.2">
      <c r="A74" s="11" t="s">
        <v>170</v>
      </c>
      <c r="B74" s="14" t="s">
        <v>43</v>
      </c>
      <c r="C74" s="11" t="s">
        <v>20</v>
      </c>
      <c r="D74" s="15">
        <v>787006286</v>
      </c>
      <c r="E74" s="11" t="s">
        <v>29</v>
      </c>
      <c r="F74" s="20">
        <v>36204</v>
      </c>
      <c r="G74" s="16" t="str">
        <f t="shared" si="2"/>
        <v>February</v>
      </c>
      <c r="H74" s="2">
        <f t="shared" ca="1" si="3"/>
        <v>20</v>
      </c>
      <c r="I74" s="17" t="s">
        <v>71</v>
      </c>
      <c r="J74" s="18">
        <v>67244</v>
      </c>
      <c r="K74" s="19">
        <v>2</v>
      </c>
    </row>
    <row r="75" spans="1:11" x14ac:dyDescent="0.2">
      <c r="A75" s="4" t="s">
        <v>335</v>
      </c>
      <c r="B75" s="14" t="s">
        <v>27</v>
      </c>
      <c r="C75" s="11" t="s">
        <v>336</v>
      </c>
      <c r="D75" s="15">
        <v>850000766</v>
      </c>
      <c r="E75" s="11" t="s">
        <v>29</v>
      </c>
      <c r="F75" s="20">
        <v>41443</v>
      </c>
      <c r="G75" s="16" t="str">
        <f t="shared" si="2"/>
        <v>June</v>
      </c>
      <c r="H75" s="2">
        <f t="shared" ca="1" si="3"/>
        <v>5</v>
      </c>
      <c r="I75" s="17" t="s">
        <v>47</v>
      </c>
      <c r="J75" s="18">
        <v>63923</v>
      </c>
      <c r="K75" s="19">
        <v>5</v>
      </c>
    </row>
    <row r="76" spans="1:11" x14ac:dyDescent="0.2">
      <c r="A76" s="11" t="s">
        <v>1088</v>
      </c>
      <c r="B76" s="14" t="s">
        <v>19</v>
      </c>
      <c r="C76" s="11" t="s">
        <v>214</v>
      </c>
      <c r="D76" s="15">
        <v>592001929</v>
      </c>
      <c r="E76" s="11" t="s">
        <v>21</v>
      </c>
      <c r="F76" s="20">
        <v>38205</v>
      </c>
      <c r="G76" s="16" t="str">
        <f t="shared" si="2"/>
        <v>August</v>
      </c>
      <c r="H76" s="2">
        <f t="shared" ca="1" si="3"/>
        <v>14</v>
      </c>
      <c r="I76" s="17"/>
      <c r="J76" s="18">
        <v>71469</v>
      </c>
      <c r="K76" s="19">
        <v>4</v>
      </c>
    </row>
    <row r="77" spans="1:11" x14ac:dyDescent="0.2">
      <c r="A77" s="11" t="s">
        <v>1444</v>
      </c>
      <c r="B77" s="14" t="s">
        <v>36</v>
      </c>
      <c r="C77" s="11" t="s">
        <v>52</v>
      </c>
      <c r="D77" s="15">
        <v>707002019</v>
      </c>
      <c r="E77" s="11" t="s">
        <v>21</v>
      </c>
      <c r="F77" s="20">
        <v>39198</v>
      </c>
      <c r="G77" s="16" t="str">
        <f t="shared" si="2"/>
        <v>April</v>
      </c>
      <c r="H77" s="2">
        <f t="shared" ca="1" si="3"/>
        <v>12</v>
      </c>
      <c r="I77" s="17"/>
      <c r="J77" s="18">
        <v>117410</v>
      </c>
      <c r="K77" s="19">
        <v>4</v>
      </c>
    </row>
    <row r="78" spans="1:11" x14ac:dyDescent="0.2">
      <c r="A78" s="11" t="s">
        <v>707</v>
      </c>
      <c r="B78" s="14" t="s">
        <v>19</v>
      </c>
      <c r="C78" s="11" t="s">
        <v>214</v>
      </c>
      <c r="D78" s="15">
        <v>257009459</v>
      </c>
      <c r="E78" s="11" t="s">
        <v>21</v>
      </c>
      <c r="F78" s="20">
        <v>39493</v>
      </c>
      <c r="G78" s="16" t="str">
        <f t="shared" si="2"/>
        <v>February</v>
      </c>
      <c r="H78" s="2">
        <f t="shared" ca="1" si="3"/>
        <v>11</v>
      </c>
      <c r="I78" s="17"/>
      <c r="J78" s="18">
        <v>77760</v>
      </c>
      <c r="K78" s="19">
        <v>3</v>
      </c>
    </row>
    <row r="79" spans="1:11" x14ac:dyDescent="0.2">
      <c r="A79" s="11" t="s">
        <v>847</v>
      </c>
      <c r="B79" s="14" t="s">
        <v>27</v>
      </c>
      <c r="C79" s="11" t="s">
        <v>86</v>
      </c>
      <c r="D79" s="15">
        <v>424000509</v>
      </c>
      <c r="E79" s="11" t="s">
        <v>29</v>
      </c>
      <c r="F79" s="20">
        <v>39319</v>
      </c>
      <c r="G79" s="16" t="str">
        <f t="shared" si="2"/>
        <v>August</v>
      </c>
      <c r="H79" s="2">
        <f t="shared" ca="1" si="3"/>
        <v>11</v>
      </c>
      <c r="I79" s="17" t="s">
        <v>47</v>
      </c>
      <c r="J79" s="18">
        <v>59697</v>
      </c>
      <c r="K79" s="19">
        <v>3</v>
      </c>
    </row>
    <row r="80" spans="1:11" x14ac:dyDescent="0.2">
      <c r="A80" s="11" t="s">
        <v>299</v>
      </c>
      <c r="B80" s="14" t="s">
        <v>19</v>
      </c>
      <c r="C80" s="11" t="s">
        <v>101</v>
      </c>
      <c r="D80" s="15">
        <v>904000184</v>
      </c>
      <c r="E80" s="11" t="s">
        <v>29</v>
      </c>
      <c r="F80" s="20">
        <v>36316</v>
      </c>
      <c r="G80" s="16" t="str">
        <f t="shared" si="2"/>
        <v>June</v>
      </c>
      <c r="H80" s="2">
        <f t="shared" ca="1" si="3"/>
        <v>20</v>
      </c>
      <c r="I80" s="17" t="s">
        <v>30</v>
      </c>
      <c r="J80" s="18">
        <v>104922</v>
      </c>
      <c r="K80" s="19">
        <v>3</v>
      </c>
    </row>
    <row r="81" spans="1:11" x14ac:dyDescent="0.2">
      <c r="A81" s="11" t="s">
        <v>1294</v>
      </c>
      <c r="B81" s="14" t="s">
        <v>51</v>
      </c>
      <c r="C81" s="11" t="s">
        <v>214</v>
      </c>
      <c r="D81" s="15">
        <v>338007629</v>
      </c>
      <c r="E81" s="11" t="s">
        <v>29</v>
      </c>
      <c r="F81" s="20">
        <v>38657</v>
      </c>
      <c r="G81" s="16" t="str">
        <f t="shared" si="2"/>
        <v>November</v>
      </c>
      <c r="H81" s="2">
        <f t="shared" ca="1" si="3"/>
        <v>13</v>
      </c>
      <c r="I81" s="17" t="s">
        <v>47</v>
      </c>
      <c r="J81" s="18">
        <v>106070</v>
      </c>
      <c r="K81" s="19">
        <v>1</v>
      </c>
    </row>
    <row r="82" spans="1:11" x14ac:dyDescent="0.2">
      <c r="A82" s="11" t="s">
        <v>384</v>
      </c>
      <c r="B82" s="14" t="s">
        <v>27</v>
      </c>
      <c r="C82" s="11" t="s">
        <v>145</v>
      </c>
      <c r="D82" s="15">
        <v>784004156</v>
      </c>
      <c r="E82" s="11" t="s">
        <v>29</v>
      </c>
      <c r="F82" s="20">
        <v>36460</v>
      </c>
      <c r="G82" s="16" t="str">
        <f t="shared" si="2"/>
        <v>October</v>
      </c>
      <c r="H82" s="2">
        <f t="shared" ca="1" si="3"/>
        <v>19</v>
      </c>
      <c r="I82" s="17" t="s">
        <v>47</v>
      </c>
      <c r="J82" s="18">
        <v>74021</v>
      </c>
      <c r="K82" s="19">
        <v>1</v>
      </c>
    </row>
    <row r="83" spans="1:11" x14ac:dyDescent="0.2">
      <c r="A83" s="11" t="s">
        <v>594</v>
      </c>
      <c r="B83" s="14" t="s">
        <v>27</v>
      </c>
      <c r="C83" s="11" t="s">
        <v>214</v>
      </c>
      <c r="D83" s="15">
        <v>337003008</v>
      </c>
      <c r="E83" s="11" t="s">
        <v>29</v>
      </c>
      <c r="F83" s="20">
        <v>40250</v>
      </c>
      <c r="G83" s="16" t="str">
        <f t="shared" si="2"/>
        <v>March</v>
      </c>
      <c r="H83" s="2">
        <f t="shared" ca="1" si="3"/>
        <v>9</v>
      </c>
      <c r="I83" s="17" t="s">
        <v>47</v>
      </c>
      <c r="J83" s="18">
        <v>39110</v>
      </c>
      <c r="K83" s="19">
        <v>3</v>
      </c>
    </row>
    <row r="84" spans="1:11" x14ac:dyDescent="0.2">
      <c r="A84" s="11" t="s">
        <v>663</v>
      </c>
      <c r="B84" s="14" t="s">
        <v>19</v>
      </c>
      <c r="C84" s="11" t="s">
        <v>20</v>
      </c>
      <c r="D84" s="15">
        <v>148009089</v>
      </c>
      <c r="E84" s="11" t="s">
        <v>80</v>
      </c>
      <c r="F84" s="20">
        <v>37022</v>
      </c>
      <c r="G84" s="16" t="str">
        <f t="shared" si="2"/>
        <v>May</v>
      </c>
      <c r="H84" s="2">
        <f t="shared" ca="1" si="3"/>
        <v>18</v>
      </c>
      <c r="I84" s="17" t="s">
        <v>47</v>
      </c>
      <c r="J84" s="18">
        <v>36302</v>
      </c>
      <c r="K84" s="19">
        <v>3</v>
      </c>
    </row>
    <row r="85" spans="1:11" x14ac:dyDescent="0.2">
      <c r="A85" s="11" t="s">
        <v>1196</v>
      </c>
      <c r="B85" s="14" t="s">
        <v>27</v>
      </c>
      <c r="C85" s="11" t="s">
        <v>152</v>
      </c>
      <c r="D85" s="15">
        <v>483003618</v>
      </c>
      <c r="E85" s="11" t="s">
        <v>29</v>
      </c>
      <c r="F85" s="20">
        <v>37993</v>
      </c>
      <c r="G85" s="16" t="str">
        <f t="shared" si="2"/>
        <v>January</v>
      </c>
      <c r="H85" s="2">
        <f t="shared" ca="1" si="3"/>
        <v>15</v>
      </c>
      <c r="I85" s="17" t="s">
        <v>30</v>
      </c>
      <c r="J85" s="18">
        <v>45347</v>
      </c>
      <c r="K85" s="19">
        <v>5</v>
      </c>
    </row>
    <row r="86" spans="1:11" x14ac:dyDescent="0.2">
      <c r="A86" s="11" t="s">
        <v>313</v>
      </c>
      <c r="B86" s="14" t="s">
        <v>51</v>
      </c>
      <c r="C86" s="11" t="s">
        <v>101</v>
      </c>
      <c r="D86" s="15">
        <v>264000848</v>
      </c>
      <c r="E86" s="11" t="s">
        <v>21</v>
      </c>
      <c r="F86" s="20">
        <v>36142</v>
      </c>
      <c r="G86" s="16" t="str">
        <f t="shared" si="2"/>
        <v>December</v>
      </c>
      <c r="H86" s="2">
        <f t="shared" ca="1" si="3"/>
        <v>20</v>
      </c>
      <c r="I86" s="17"/>
      <c r="J86" s="18">
        <v>66245</v>
      </c>
      <c r="K86" s="19">
        <v>3</v>
      </c>
    </row>
    <row r="87" spans="1:11" x14ac:dyDescent="0.2">
      <c r="A87" s="11" t="s">
        <v>566</v>
      </c>
      <c r="B87" s="14" t="s">
        <v>36</v>
      </c>
      <c r="C87" s="11" t="s">
        <v>214</v>
      </c>
      <c r="D87" s="15">
        <v>858000513</v>
      </c>
      <c r="E87" s="11" t="s">
        <v>29</v>
      </c>
      <c r="F87" s="20">
        <v>42168</v>
      </c>
      <c r="G87" s="16" t="str">
        <f t="shared" si="2"/>
        <v>June</v>
      </c>
      <c r="H87" s="2">
        <f t="shared" ca="1" si="3"/>
        <v>3</v>
      </c>
      <c r="I87" s="17" t="s">
        <v>87</v>
      </c>
      <c r="J87" s="18">
        <v>95891</v>
      </c>
      <c r="K87" s="19">
        <v>3</v>
      </c>
    </row>
    <row r="88" spans="1:11" x14ac:dyDescent="0.2">
      <c r="A88" s="11" t="s">
        <v>311</v>
      </c>
      <c r="B88" s="14" t="s">
        <v>19</v>
      </c>
      <c r="C88" s="11" t="s">
        <v>52</v>
      </c>
      <c r="D88" s="15">
        <v>863001920</v>
      </c>
      <c r="E88" s="11" t="s">
        <v>29</v>
      </c>
      <c r="F88" s="20">
        <v>38933</v>
      </c>
      <c r="G88" s="16" t="str">
        <f t="shared" si="2"/>
        <v>August</v>
      </c>
      <c r="H88" s="2">
        <f t="shared" ca="1" si="3"/>
        <v>12</v>
      </c>
      <c r="I88" s="17" t="s">
        <v>30</v>
      </c>
      <c r="J88" s="18">
        <v>67649</v>
      </c>
      <c r="K88" s="19">
        <v>1</v>
      </c>
    </row>
    <row r="89" spans="1:11" x14ac:dyDescent="0.2">
      <c r="A89" s="11" t="s">
        <v>236</v>
      </c>
      <c r="B89" s="14" t="s">
        <v>19</v>
      </c>
      <c r="C89" s="11" t="s">
        <v>20</v>
      </c>
      <c r="D89" s="15">
        <v>436003732</v>
      </c>
      <c r="E89" s="11" t="s">
        <v>29</v>
      </c>
      <c r="F89" s="20">
        <v>40032</v>
      </c>
      <c r="G89" s="16" t="str">
        <f t="shared" si="2"/>
        <v>August</v>
      </c>
      <c r="H89" s="2">
        <f t="shared" ca="1" si="3"/>
        <v>9</v>
      </c>
      <c r="I89" s="17" t="s">
        <v>38</v>
      </c>
      <c r="J89" s="18">
        <v>84767</v>
      </c>
      <c r="K89" s="19">
        <v>2</v>
      </c>
    </row>
    <row r="90" spans="1:11" x14ac:dyDescent="0.2">
      <c r="A90" s="11" t="s">
        <v>805</v>
      </c>
      <c r="B90" s="14" t="s">
        <v>83</v>
      </c>
      <c r="C90" s="11" t="s">
        <v>152</v>
      </c>
      <c r="D90" s="15">
        <v>426002736</v>
      </c>
      <c r="E90" s="11" t="s">
        <v>21</v>
      </c>
      <c r="F90" s="20">
        <v>37015</v>
      </c>
      <c r="G90" s="16" t="str">
        <f t="shared" si="2"/>
        <v>May</v>
      </c>
      <c r="H90" s="2">
        <f t="shared" ca="1" si="3"/>
        <v>18</v>
      </c>
      <c r="I90" s="17"/>
      <c r="J90" s="18">
        <v>47574</v>
      </c>
      <c r="K90" s="19">
        <v>3</v>
      </c>
    </row>
    <row r="91" spans="1:11" x14ac:dyDescent="0.2">
      <c r="A91" s="11" t="s">
        <v>845</v>
      </c>
      <c r="B91" s="14" t="s">
        <v>43</v>
      </c>
      <c r="C91" s="11" t="s">
        <v>86</v>
      </c>
      <c r="D91" s="15">
        <v>372003786</v>
      </c>
      <c r="E91" s="11" t="s">
        <v>80</v>
      </c>
      <c r="F91" s="20">
        <v>39994</v>
      </c>
      <c r="G91" s="16" t="str">
        <f t="shared" si="2"/>
        <v>June</v>
      </c>
      <c r="H91" s="2">
        <f t="shared" ca="1" si="3"/>
        <v>9</v>
      </c>
      <c r="I91" s="17" t="s">
        <v>87</v>
      </c>
      <c r="J91" s="18">
        <v>41999</v>
      </c>
      <c r="K91" s="19">
        <v>1</v>
      </c>
    </row>
    <row r="92" spans="1:11" x14ac:dyDescent="0.2">
      <c r="A92" s="4" t="s">
        <v>196</v>
      </c>
      <c r="B92" s="14" t="s">
        <v>83</v>
      </c>
      <c r="C92" s="11" t="s">
        <v>20</v>
      </c>
      <c r="D92" s="15">
        <v>163002583</v>
      </c>
      <c r="E92" s="11" t="s">
        <v>21</v>
      </c>
      <c r="F92" s="20">
        <v>38894</v>
      </c>
      <c r="G92" s="16" t="str">
        <f t="shared" si="2"/>
        <v>June</v>
      </c>
      <c r="H92" s="2">
        <f t="shared" ca="1" si="3"/>
        <v>12</v>
      </c>
      <c r="I92" s="17"/>
      <c r="J92" s="18">
        <v>40959</v>
      </c>
      <c r="K92" s="19">
        <v>3</v>
      </c>
    </row>
    <row r="93" spans="1:11" x14ac:dyDescent="0.2">
      <c r="A93" s="11" t="s">
        <v>90</v>
      </c>
      <c r="B93" s="14" t="s">
        <v>51</v>
      </c>
      <c r="C93" s="11" t="s">
        <v>62</v>
      </c>
      <c r="D93" s="15">
        <v>975003308</v>
      </c>
      <c r="E93" s="11" t="s">
        <v>29</v>
      </c>
      <c r="F93" s="20">
        <v>40260</v>
      </c>
      <c r="G93" s="16" t="str">
        <f t="shared" si="2"/>
        <v>March</v>
      </c>
      <c r="H93" s="2">
        <f t="shared" ca="1" si="3"/>
        <v>9</v>
      </c>
      <c r="I93" s="17" t="s">
        <v>47</v>
      </c>
      <c r="J93" s="18">
        <v>41553</v>
      </c>
      <c r="K93" s="19">
        <v>4</v>
      </c>
    </row>
    <row r="94" spans="1:11" x14ac:dyDescent="0.2">
      <c r="A94" s="11" t="s">
        <v>888</v>
      </c>
      <c r="B94" s="14" t="s">
        <v>51</v>
      </c>
      <c r="C94" s="11" t="s">
        <v>254</v>
      </c>
      <c r="D94" s="15">
        <v>761007848</v>
      </c>
      <c r="E94" s="11" t="s">
        <v>21</v>
      </c>
      <c r="F94" s="20">
        <v>37358</v>
      </c>
      <c r="G94" s="16" t="str">
        <f t="shared" si="2"/>
        <v>April</v>
      </c>
      <c r="H94" s="2">
        <f t="shared" ca="1" si="3"/>
        <v>17</v>
      </c>
      <c r="I94" s="17"/>
      <c r="J94" s="18">
        <v>90059</v>
      </c>
      <c r="K94" s="19">
        <v>2</v>
      </c>
    </row>
    <row r="95" spans="1:11" x14ac:dyDescent="0.2">
      <c r="A95" s="11" t="s">
        <v>827</v>
      </c>
      <c r="B95" s="14" t="s">
        <v>27</v>
      </c>
      <c r="C95" s="11" t="s">
        <v>86</v>
      </c>
      <c r="D95" s="15">
        <v>294001481</v>
      </c>
      <c r="E95" s="11" t="s">
        <v>80</v>
      </c>
      <c r="F95" s="20">
        <v>38950</v>
      </c>
      <c r="G95" s="16" t="str">
        <f t="shared" si="2"/>
        <v>August</v>
      </c>
      <c r="H95" s="2">
        <f t="shared" ca="1" si="3"/>
        <v>12</v>
      </c>
      <c r="I95" s="17" t="s">
        <v>47</v>
      </c>
      <c r="J95" s="18">
        <v>64645</v>
      </c>
      <c r="K95" s="19">
        <v>1</v>
      </c>
    </row>
    <row r="96" spans="1:11" x14ac:dyDescent="0.2">
      <c r="A96" s="11" t="s">
        <v>209</v>
      </c>
      <c r="B96" s="14" t="s">
        <v>27</v>
      </c>
      <c r="C96" s="11" t="s">
        <v>20</v>
      </c>
      <c r="D96" s="15">
        <v>129007083</v>
      </c>
      <c r="E96" s="11" t="s">
        <v>29</v>
      </c>
      <c r="F96" s="20">
        <v>43452</v>
      </c>
      <c r="G96" s="16" t="str">
        <f t="shared" si="2"/>
        <v>December</v>
      </c>
      <c r="H96" s="2">
        <f t="shared" ca="1" si="3"/>
        <v>0</v>
      </c>
      <c r="I96" s="17" t="s">
        <v>38</v>
      </c>
      <c r="J96" s="18">
        <v>93029</v>
      </c>
      <c r="K96" s="19">
        <v>5</v>
      </c>
    </row>
    <row r="97" spans="1:11" x14ac:dyDescent="0.2">
      <c r="A97" s="11" t="s">
        <v>1524</v>
      </c>
      <c r="B97" s="14" t="s">
        <v>27</v>
      </c>
      <c r="C97" s="11" t="s">
        <v>214</v>
      </c>
      <c r="D97" s="15">
        <v>876007922</v>
      </c>
      <c r="E97" s="11" t="s">
        <v>21</v>
      </c>
      <c r="F97" s="20">
        <v>43305</v>
      </c>
      <c r="G97" s="16" t="str">
        <f t="shared" si="2"/>
        <v>July</v>
      </c>
      <c r="H97" s="2">
        <f t="shared" ca="1" si="3"/>
        <v>0</v>
      </c>
      <c r="I97" s="17"/>
      <c r="J97" s="18">
        <v>119934</v>
      </c>
      <c r="K97" s="19">
        <v>5</v>
      </c>
    </row>
    <row r="98" spans="1:11" x14ac:dyDescent="0.2">
      <c r="A98" s="11" t="s">
        <v>253</v>
      </c>
      <c r="B98" s="14" t="s">
        <v>19</v>
      </c>
      <c r="C98" s="11" t="s">
        <v>254</v>
      </c>
      <c r="D98" s="15">
        <v>290005638</v>
      </c>
      <c r="E98" s="11" t="s">
        <v>80</v>
      </c>
      <c r="F98" s="20">
        <v>36358</v>
      </c>
      <c r="G98" s="16" t="str">
        <f t="shared" si="2"/>
        <v>July</v>
      </c>
      <c r="H98" s="2">
        <f t="shared" ca="1" si="3"/>
        <v>19</v>
      </c>
      <c r="I98" s="17" t="s">
        <v>87</v>
      </c>
      <c r="J98" s="18">
        <v>47311</v>
      </c>
      <c r="K98" s="19">
        <v>4</v>
      </c>
    </row>
    <row r="99" spans="1:11" x14ac:dyDescent="0.2">
      <c r="A99" s="11" t="s">
        <v>1438</v>
      </c>
      <c r="B99" s="14" t="s">
        <v>36</v>
      </c>
      <c r="C99" s="11" t="s">
        <v>152</v>
      </c>
      <c r="D99" s="15">
        <v>929004686</v>
      </c>
      <c r="E99" s="11" t="s">
        <v>29</v>
      </c>
      <c r="F99" s="20">
        <v>43392</v>
      </c>
      <c r="G99" s="16" t="str">
        <f t="shared" si="2"/>
        <v>October</v>
      </c>
      <c r="H99" s="2">
        <f t="shared" ca="1" si="3"/>
        <v>0</v>
      </c>
      <c r="I99" s="17" t="s">
        <v>30</v>
      </c>
      <c r="J99" s="18">
        <v>95486</v>
      </c>
      <c r="K99" s="19">
        <v>1</v>
      </c>
    </row>
    <row r="100" spans="1:11" x14ac:dyDescent="0.2">
      <c r="A100" s="11" t="s">
        <v>1508</v>
      </c>
      <c r="B100" s="14" t="s">
        <v>27</v>
      </c>
      <c r="C100" s="11" t="s">
        <v>152</v>
      </c>
      <c r="D100" s="15">
        <v>879004558</v>
      </c>
      <c r="E100" s="11" t="s">
        <v>80</v>
      </c>
      <c r="F100" s="20">
        <v>39774</v>
      </c>
      <c r="G100" s="16" t="str">
        <f t="shared" si="2"/>
        <v>November</v>
      </c>
      <c r="H100" s="2">
        <f t="shared" ca="1" si="3"/>
        <v>10</v>
      </c>
      <c r="I100" s="17" t="s">
        <v>47</v>
      </c>
      <c r="J100" s="18">
        <v>23227</v>
      </c>
      <c r="K100" s="19">
        <v>5</v>
      </c>
    </row>
    <row r="101" spans="1:11" x14ac:dyDescent="0.2">
      <c r="A101" s="11" t="s">
        <v>1080</v>
      </c>
      <c r="B101" s="14" t="s">
        <v>83</v>
      </c>
      <c r="C101" s="11" t="s">
        <v>136</v>
      </c>
      <c r="D101" s="15">
        <v>369000573</v>
      </c>
      <c r="E101" s="11" t="s">
        <v>80</v>
      </c>
      <c r="F101" s="20">
        <v>39073</v>
      </c>
      <c r="G101" s="16" t="str">
        <f t="shared" si="2"/>
        <v>December</v>
      </c>
      <c r="H101" s="2">
        <f t="shared" ca="1" si="3"/>
        <v>12</v>
      </c>
      <c r="I101" s="17" t="s">
        <v>30</v>
      </c>
      <c r="J101" s="18">
        <v>30341</v>
      </c>
      <c r="K101" s="19">
        <v>4</v>
      </c>
    </row>
    <row r="102" spans="1:11" x14ac:dyDescent="0.2">
      <c r="A102" s="11" t="s">
        <v>562</v>
      </c>
      <c r="B102" s="14" t="s">
        <v>19</v>
      </c>
      <c r="C102" s="11" t="s">
        <v>214</v>
      </c>
      <c r="D102" s="15">
        <v>930004379</v>
      </c>
      <c r="E102" s="11" t="s">
        <v>29</v>
      </c>
      <c r="F102" s="20">
        <v>42246</v>
      </c>
      <c r="G102" s="16" t="str">
        <f t="shared" si="2"/>
        <v>August</v>
      </c>
      <c r="H102" s="2">
        <f t="shared" ca="1" si="3"/>
        <v>3</v>
      </c>
      <c r="I102" s="17" t="s">
        <v>38</v>
      </c>
      <c r="J102" s="18">
        <v>96512</v>
      </c>
      <c r="K102" s="19">
        <v>5</v>
      </c>
    </row>
    <row r="103" spans="1:11" x14ac:dyDescent="0.2">
      <c r="A103" s="11" t="s">
        <v>374</v>
      </c>
      <c r="B103" s="14" t="s">
        <v>36</v>
      </c>
      <c r="C103" s="11" t="s">
        <v>145</v>
      </c>
      <c r="D103" s="15">
        <v>781002289</v>
      </c>
      <c r="E103" s="11" t="s">
        <v>29</v>
      </c>
      <c r="F103" s="20">
        <v>36404</v>
      </c>
      <c r="G103" s="16" t="str">
        <f t="shared" si="2"/>
        <v>September</v>
      </c>
      <c r="H103" s="2">
        <f t="shared" ca="1" si="3"/>
        <v>19</v>
      </c>
      <c r="I103" s="17" t="s">
        <v>30</v>
      </c>
      <c r="J103" s="18">
        <v>85118</v>
      </c>
      <c r="K103" s="19">
        <v>3</v>
      </c>
    </row>
    <row r="104" spans="1:11" x14ac:dyDescent="0.2">
      <c r="A104" s="11" t="s">
        <v>182</v>
      </c>
      <c r="B104" s="14" t="s">
        <v>27</v>
      </c>
      <c r="C104" s="11" t="s">
        <v>20</v>
      </c>
      <c r="D104" s="15">
        <v>768005237</v>
      </c>
      <c r="E104" s="11" t="s">
        <v>80</v>
      </c>
      <c r="F104" s="20">
        <v>36328</v>
      </c>
      <c r="G104" s="16" t="str">
        <f t="shared" si="2"/>
        <v>June</v>
      </c>
      <c r="H104" s="2">
        <f t="shared" ca="1" si="3"/>
        <v>19</v>
      </c>
      <c r="I104" s="17" t="s">
        <v>87</v>
      </c>
      <c r="J104" s="18">
        <v>18630</v>
      </c>
      <c r="K104" s="19">
        <v>3</v>
      </c>
    </row>
    <row r="105" spans="1:11" x14ac:dyDescent="0.2">
      <c r="A105" s="11" t="s">
        <v>262</v>
      </c>
      <c r="B105" s="14" t="s">
        <v>27</v>
      </c>
      <c r="C105" s="11" t="s">
        <v>254</v>
      </c>
      <c r="D105" s="15">
        <v>959008761</v>
      </c>
      <c r="E105" s="11" t="s">
        <v>29</v>
      </c>
      <c r="F105" s="20">
        <v>36313</v>
      </c>
      <c r="G105" s="16" t="str">
        <f t="shared" si="2"/>
        <v>June</v>
      </c>
      <c r="H105" s="2">
        <f t="shared" ca="1" si="3"/>
        <v>20</v>
      </c>
      <c r="I105" s="17" t="s">
        <v>38</v>
      </c>
      <c r="J105" s="18">
        <v>82985</v>
      </c>
      <c r="K105" s="19">
        <v>5</v>
      </c>
    </row>
    <row r="106" spans="1:11" x14ac:dyDescent="0.2">
      <c r="A106" s="11" t="s">
        <v>799</v>
      </c>
      <c r="B106" s="14" t="s">
        <v>83</v>
      </c>
      <c r="C106" s="11" t="s">
        <v>152</v>
      </c>
      <c r="D106" s="15">
        <v>641002645</v>
      </c>
      <c r="E106" s="11" t="s">
        <v>21</v>
      </c>
      <c r="F106" s="20">
        <v>36991</v>
      </c>
      <c r="G106" s="16" t="str">
        <f t="shared" si="2"/>
        <v>April</v>
      </c>
      <c r="H106" s="2">
        <f t="shared" ca="1" si="3"/>
        <v>18</v>
      </c>
      <c r="I106" s="17"/>
      <c r="J106" s="18">
        <v>106097</v>
      </c>
      <c r="K106" s="19">
        <v>1</v>
      </c>
    </row>
    <row r="107" spans="1:11" x14ac:dyDescent="0.2">
      <c r="A107" s="11" t="s">
        <v>1184</v>
      </c>
      <c r="B107" s="14" t="s">
        <v>27</v>
      </c>
      <c r="C107" s="11" t="s">
        <v>136</v>
      </c>
      <c r="D107" s="15">
        <v>349004221</v>
      </c>
      <c r="E107" s="11" t="s">
        <v>80</v>
      </c>
      <c r="F107" s="20">
        <v>38940</v>
      </c>
      <c r="G107" s="16" t="str">
        <f t="shared" si="2"/>
        <v>August</v>
      </c>
      <c r="H107" s="2">
        <f t="shared" ca="1" si="3"/>
        <v>12</v>
      </c>
      <c r="I107" s="17" t="s">
        <v>87</v>
      </c>
      <c r="J107" s="18">
        <v>61763</v>
      </c>
      <c r="K107" s="19">
        <v>5</v>
      </c>
    </row>
    <row r="108" spans="1:11" x14ac:dyDescent="0.2">
      <c r="A108" s="11" t="s">
        <v>1024</v>
      </c>
      <c r="B108" s="14" t="s">
        <v>43</v>
      </c>
      <c r="C108" s="11" t="s">
        <v>20</v>
      </c>
      <c r="D108" s="15">
        <v>841003875</v>
      </c>
      <c r="E108" s="11" t="s">
        <v>21</v>
      </c>
      <c r="F108" s="20">
        <v>38016</v>
      </c>
      <c r="G108" s="16" t="str">
        <f t="shared" si="2"/>
        <v>January</v>
      </c>
      <c r="H108" s="2">
        <f t="shared" ca="1" si="3"/>
        <v>15</v>
      </c>
      <c r="I108" s="17"/>
      <c r="J108" s="18">
        <v>68243</v>
      </c>
      <c r="K108" s="19">
        <v>2</v>
      </c>
    </row>
    <row r="109" spans="1:11" x14ac:dyDescent="0.2">
      <c r="A109" s="11" t="s">
        <v>518</v>
      </c>
      <c r="B109" s="14" t="s">
        <v>27</v>
      </c>
      <c r="C109" s="11" t="s">
        <v>214</v>
      </c>
      <c r="D109" s="15">
        <v>589009495</v>
      </c>
      <c r="E109" s="11" t="s">
        <v>29</v>
      </c>
      <c r="F109" s="20">
        <v>39563</v>
      </c>
      <c r="G109" s="16" t="str">
        <f t="shared" si="2"/>
        <v>April</v>
      </c>
      <c r="H109" s="2">
        <f t="shared" ca="1" si="3"/>
        <v>11</v>
      </c>
      <c r="I109" s="17" t="s">
        <v>71</v>
      </c>
      <c r="J109" s="18">
        <v>52475</v>
      </c>
      <c r="K109" s="19">
        <v>2</v>
      </c>
    </row>
    <row r="110" spans="1:11" x14ac:dyDescent="0.2">
      <c r="A110" s="11" t="s">
        <v>1208</v>
      </c>
      <c r="B110" s="14" t="s">
        <v>27</v>
      </c>
      <c r="C110" s="11" t="s">
        <v>152</v>
      </c>
      <c r="D110" s="15">
        <v>894005096</v>
      </c>
      <c r="E110" s="11" t="s">
        <v>80</v>
      </c>
      <c r="F110" s="20">
        <v>38322</v>
      </c>
      <c r="G110" s="16" t="str">
        <f t="shared" si="2"/>
        <v>December</v>
      </c>
      <c r="H110" s="2">
        <f t="shared" ca="1" si="3"/>
        <v>14</v>
      </c>
      <c r="I110" s="17" t="s">
        <v>87</v>
      </c>
      <c r="J110" s="18">
        <v>50841</v>
      </c>
      <c r="K110" s="19">
        <v>4</v>
      </c>
    </row>
    <row r="111" spans="1:11" x14ac:dyDescent="0.2">
      <c r="A111" s="11" t="s">
        <v>421</v>
      </c>
      <c r="B111" s="14" t="s">
        <v>19</v>
      </c>
      <c r="C111" s="11" t="s">
        <v>59</v>
      </c>
      <c r="D111" s="15">
        <v>407009017</v>
      </c>
      <c r="E111" s="11" t="s">
        <v>56</v>
      </c>
      <c r="F111" s="20">
        <v>42749</v>
      </c>
      <c r="G111" s="16" t="str">
        <f t="shared" si="2"/>
        <v>January</v>
      </c>
      <c r="H111" s="2">
        <f t="shared" ca="1" si="3"/>
        <v>2</v>
      </c>
      <c r="I111" s="17"/>
      <c r="J111" s="18">
        <v>21254</v>
      </c>
      <c r="K111" s="19">
        <v>3</v>
      </c>
    </row>
    <row r="112" spans="1:11" x14ac:dyDescent="0.2">
      <c r="A112" s="11" t="s">
        <v>612</v>
      </c>
      <c r="B112" s="14" t="s">
        <v>19</v>
      </c>
      <c r="C112" s="11" t="s">
        <v>214</v>
      </c>
      <c r="D112" s="15">
        <v>387007948</v>
      </c>
      <c r="E112" s="11" t="s">
        <v>29</v>
      </c>
      <c r="F112" s="20">
        <v>43490</v>
      </c>
      <c r="G112" s="16" t="str">
        <f t="shared" si="2"/>
        <v>January</v>
      </c>
      <c r="H112" s="2">
        <f t="shared" ca="1" si="3"/>
        <v>0</v>
      </c>
      <c r="I112" s="17" t="s">
        <v>47</v>
      </c>
      <c r="J112" s="18">
        <v>64044</v>
      </c>
      <c r="K112" s="19">
        <v>3</v>
      </c>
    </row>
    <row r="113" spans="1:11" x14ac:dyDescent="0.2">
      <c r="A113" s="11" t="s">
        <v>1422</v>
      </c>
      <c r="B113" s="14" t="s">
        <v>36</v>
      </c>
      <c r="C113" s="11" t="s">
        <v>20</v>
      </c>
      <c r="D113" s="15">
        <v>267008084</v>
      </c>
      <c r="E113" s="11" t="s">
        <v>21</v>
      </c>
      <c r="F113" s="20">
        <v>38796</v>
      </c>
      <c r="G113" s="16" t="str">
        <f t="shared" si="2"/>
        <v>March</v>
      </c>
      <c r="H113" s="2">
        <f t="shared" ca="1" si="3"/>
        <v>13</v>
      </c>
      <c r="I113" s="17"/>
      <c r="J113" s="18">
        <v>118800</v>
      </c>
      <c r="K113" s="19">
        <v>5</v>
      </c>
    </row>
    <row r="114" spans="1:11" x14ac:dyDescent="0.2">
      <c r="A114" s="11" t="s">
        <v>482</v>
      </c>
      <c r="B114" s="14" t="s">
        <v>43</v>
      </c>
      <c r="C114" s="11" t="s">
        <v>86</v>
      </c>
      <c r="D114" s="15">
        <v>948009231</v>
      </c>
      <c r="E114" s="11" t="s">
        <v>29</v>
      </c>
      <c r="F114" s="20">
        <v>36558</v>
      </c>
      <c r="G114" s="16" t="str">
        <f t="shared" si="2"/>
        <v>February</v>
      </c>
      <c r="H114" s="2">
        <f t="shared" ca="1" si="3"/>
        <v>19</v>
      </c>
      <c r="I114" s="17" t="s">
        <v>47</v>
      </c>
      <c r="J114" s="18">
        <v>49977</v>
      </c>
      <c r="K114" s="19">
        <v>2</v>
      </c>
    </row>
    <row r="115" spans="1:11" x14ac:dyDescent="0.2">
      <c r="A115" s="11" t="s">
        <v>1250</v>
      </c>
      <c r="B115" s="14" t="s">
        <v>19</v>
      </c>
      <c r="C115" s="11" t="s">
        <v>145</v>
      </c>
      <c r="D115" s="15">
        <v>975007784</v>
      </c>
      <c r="E115" s="11" t="s">
        <v>21</v>
      </c>
      <c r="F115" s="20">
        <v>39498</v>
      </c>
      <c r="G115" s="16" t="str">
        <f t="shared" si="2"/>
        <v>February</v>
      </c>
      <c r="H115" s="2">
        <f t="shared" ca="1" si="3"/>
        <v>11</v>
      </c>
      <c r="I115" s="17"/>
      <c r="J115" s="18">
        <v>104976</v>
      </c>
      <c r="K115" s="19">
        <v>3</v>
      </c>
    </row>
    <row r="116" spans="1:11" x14ac:dyDescent="0.2">
      <c r="A116" s="11" t="s">
        <v>655</v>
      </c>
      <c r="B116" s="14" t="s">
        <v>19</v>
      </c>
      <c r="C116" s="11" t="s">
        <v>214</v>
      </c>
      <c r="D116" s="15">
        <v>931005030</v>
      </c>
      <c r="E116" s="11" t="s">
        <v>29</v>
      </c>
      <c r="F116" s="20">
        <v>39129</v>
      </c>
      <c r="G116" s="16" t="str">
        <f t="shared" si="2"/>
        <v>February</v>
      </c>
      <c r="H116" s="2">
        <f t="shared" ca="1" si="3"/>
        <v>12</v>
      </c>
      <c r="I116" s="17" t="s">
        <v>30</v>
      </c>
      <c r="J116" s="18">
        <v>82796</v>
      </c>
      <c r="K116" s="19">
        <v>4</v>
      </c>
    </row>
    <row r="117" spans="1:11" x14ac:dyDescent="0.2">
      <c r="A117" s="11" t="s">
        <v>480</v>
      </c>
      <c r="B117" s="14" t="s">
        <v>51</v>
      </c>
      <c r="C117" s="11" t="s">
        <v>86</v>
      </c>
      <c r="D117" s="15">
        <v>159005552</v>
      </c>
      <c r="E117" s="11" t="s">
        <v>29</v>
      </c>
      <c r="F117" s="20">
        <v>36621</v>
      </c>
      <c r="G117" s="16" t="str">
        <f t="shared" si="2"/>
        <v>April</v>
      </c>
      <c r="H117" s="2">
        <f t="shared" ca="1" si="3"/>
        <v>19</v>
      </c>
      <c r="I117" s="17" t="s">
        <v>87</v>
      </c>
      <c r="J117" s="18">
        <v>99806</v>
      </c>
      <c r="K117" s="19">
        <v>1</v>
      </c>
    </row>
    <row r="118" spans="1:11" x14ac:dyDescent="0.2">
      <c r="A118" s="11" t="s">
        <v>220</v>
      </c>
      <c r="B118" s="14" t="s">
        <v>27</v>
      </c>
      <c r="C118" s="11" t="s">
        <v>20</v>
      </c>
      <c r="D118" s="15">
        <v>856005418</v>
      </c>
      <c r="E118" s="11" t="s">
        <v>56</v>
      </c>
      <c r="F118" s="20">
        <v>39458</v>
      </c>
      <c r="G118" s="16" t="str">
        <f t="shared" si="2"/>
        <v>January</v>
      </c>
      <c r="H118" s="2">
        <f t="shared" ca="1" si="3"/>
        <v>11</v>
      </c>
      <c r="I118" s="17"/>
      <c r="J118" s="18">
        <v>40608</v>
      </c>
      <c r="K118" s="19">
        <v>3</v>
      </c>
    </row>
    <row r="119" spans="1:11" x14ac:dyDescent="0.2">
      <c r="A119" s="11" t="s">
        <v>398</v>
      </c>
      <c r="B119" s="14" t="s">
        <v>36</v>
      </c>
      <c r="C119" s="11" t="s">
        <v>59</v>
      </c>
      <c r="D119" s="15">
        <v>956001859</v>
      </c>
      <c r="E119" s="11" t="s">
        <v>21</v>
      </c>
      <c r="F119" s="20">
        <v>43115</v>
      </c>
      <c r="G119" s="16" t="str">
        <f t="shared" si="2"/>
        <v>January</v>
      </c>
      <c r="H119" s="2">
        <f t="shared" ca="1" si="3"/>
        <v>1</v>
      </c>
      <c r="I119" s="17"/>
      <c r="J119" s="18">
        <v>61709</v>
      </c>
      <c r="K119" s="19">
        <v>3</v>
      </c>
    </row>
    <row r="120" spans="1:11" x14ac:dyDescent="0.2">
      <c r="A120" s="11" t="s">
        <v>465</v>
      </c>
      <c r="B120" s="14" t="s">
        <v>19</v>
      </c>
      <c r="C120" s="11" t="s">
        <v>214</v>
      </c>
      <c r="D120" s="15">
        <v>820004290</v>
      </c>
      <c r="E120" s="11" t="s">
        <v>21</v>
      </c>
      <c r="F120" s="20">
        <v>36835</v>
      </c>
      <c r="G120" s="16" t="str">
        <f t="shared" si="2"/>
        <v>November</v>
      </c>
      <c r="H120" s="2">
        <f t="shared" ca="1" si="3"/>
        <v>18</v>
      </c>
      <c r="I120" s="17"/>
      <c r="J120" s="18">
        <v>99887</v>
      </c>
      <c r="K120" s="19">
        <v>3</v>
      </c>
    </row>
    <row r="121" spans="1:11" x14ac:dyDescent="0.2">
      <c r="A121" s="4" t="s">
        <v>1278</v>
      </c>
      <c r="B121" s="14" t="s">
        <v>27</v>
      </c>
      <c r="C121" s="11" t="s">
        <v>59</v>
      </c>
      <c r="D121" s="15">
        <v>659006304</v>
      </c>
      <c r="E121" s="11" t="s">
        <v>29</v>
      </c>
      <c r="F121" s="20">
        <v>38357</v>
      </c>
      <c r="G121" s="16" t="str">
        <f t="shared" si="2"/>
        <v>January</v>
      </c>
      <c r="H121" s="2">
        <f t="shared" ca="1" si="3"/>
        <v>14</v>
      </c>
      <c r="I121" s="17" t="s">
        <v>30</v>
      </c>
      <c r="J121" s="18">
        <v>50963</v>
      </c>
      <c r="K121" s="19">
        <v>5</v>
      </c>
    </row>
    <row r="122" spans="1:11" x14ac:dyDescent="0.2">
      <c r="A122" s="11" t="s">
        <v>213</v>
      </c>
      <c r="B122" s="14" t="s">
        <v>27</v>
      </c>
      <c r="C122" s="11" t="s">
        <v>214</v>
      </c>
      <c r="D122" s="15">
        <v>291005078</v>
      </c>
      <c r="E122" s="11" t="s">
        <v>29</v>
      </c>
      <c r="F122" s="20">
        <v>36469</v>
      </c>
      <c r="G122" s="16" t="str">
        <f t="shared" si="2"/>
        <v>November</v>
      </c>
      <c r="H122" s="2">
        <f t="shared" ca="1" si="3"/>
        <v>19</v>
      </c>
      <c r="I122" s="17" t="s">
        <v>215</v>
      </c>
      <c r="J122" s="18">
        <v>76815</v>
      </c>
      <c r="K122" s="19">
        <v>5</v>
      </c>
    </row>
    <row r="123" spans="1:11" x14ac:dyDescent="0.2">
      <c r="A123" s="11" t="s">
        <v>1396</v>
      </c>
      <c r="B123" s="14" t="s">
        <v>83</v>
      </c>
      <c r="C123" s="11" t="s">
        <v>145</v>
      </c>
      <c r="D123" s="15">
        <v>269003478</v>
      </c>
      <c r="E123" s="11" t="s">
        <v>29</v>
      </c>
      <c r="F123" s="20">
        <v>38571</v>
      </c>
      <c r="G123" s="16" t="str">
        <f t="shared" si="2"/>
        <v>August</v>
      </c>
      <c r="H123" s="2">
        <f t="shared" ca="1" si="3"/>
        <v>13</v>
      </c>
      <c r="I123" s="17" t="s">
        <v>30</v>
      </c>
      <c r="J123" s="18">
        <v>43362</v>
      </c>
      <c r="K123" s="19">
        <v>1</v>
      </c>
    </row>
    <row r="124" spans="1:11" x14ac:dyDescent="0.2">
      <c r="A124" s="11" t="s">
        <v>1132</v>
      </c>
      <c r="B124" s="14" t="s">
        <v>27</v>
      </c>
      <c r="C124" s="11" t="s">
        <v>254</v>
      </c>
      <c r="D124" s="15">
        <v>824006378</v>
      </c>
      <c r="E124" s="11" t="s">
        <v>29</v>
      </c>
      <c r="F124" s="20">
        <v>38235</v>
      </c>
      <c r="G124" s="16" t="str">
        <f t="shared" si="2"/>
        <v>September</v>
      </c>
      <c r="H124" s="2">
        <f t="shared" ca="1" si="3"/>
        <v>14</v>
      </c>
      <c r="I124" s="17" t="s">
        <v>71</v>
      </c>
      <c r="J124" s="18">
        <v>90761</v>
      </c>
      <c r="K124" s="19">
        <v>4</v>
      </c>
    </row>
    <row r="125" spans="1:11" x14ac:dyDescent="0.2">
      <c r="A125" s="11" t="s">
        <v>956</v>
      </c>
      <c r="B125" s="14" t="s">
        <v>27</v>
      </c>
      <c r="C125" s="11" t="s">
        <v>214</v>
      </c>
      <c r="D125" s="15">
        <v>682000261</v>
      </c>
      <c r="E125" s="11" t="s">
        <v>29</v>
      </c>
      <c r="F125" s="20">
        <v>37737</v>
      </c>
      <c r="G125" s="16" t="str">
        <f t="shared" si="2"/>
        <v>April</v>
      </c>
      <c r="H125" s="2">
        <f t="shared" ca="1" si="3"/>
        <v>16</v>
      </c>
      <c r="I125" s="17" t="s">
        <v>87</v>
      </c>
      <c r="J125" s="18">
        <v>85145</v>
      </c>
      <c r="K125" s="19">
        <v>1</v>
      </c>
    </row>
    <row r="126" spans="1:11" x14ac:dyDescent="0.2">
      <c r="A126" s="11" t="s">
        <v>164</v>
      </c>
      <c r="B126" s="14" t="s">
        <v>19</v>
      </c>
      <c r="C126" s="11" t="s">
        <v>20</v>
      </c>
      <c r="D126" s="15">
        <v>631005285</v>
      </c>
      <c r="E126" s="11" t="s">
        <v>29</v>
      </c>
      <c r="F126" s="20">
        <v>36383</v>
      </c>
      <c r="G126" s="16" t="str">
        <f t="shared" si="2"/>
        <v>August</v>
      </c>
      <c r="H126" s="2">
        <f t="shared" ca="1" si="3"/>
        <v>19</v>
      </c>
      <c r="I126" s="17" t="s">
        <v>30</v>
      </c>
      <c r="J126" s="18">
        <v>115992</v>
      </c>
      <c r="K126" s="19">
        <v>4</v>
      </c>
    </row>
    <row r="127" spans="1:11" x14ac:dyDescent="0.2">
      <c r="A127" s="11" t="s">
        <v>1218</v>
      </c>
      <c r="B127" s="14" t="s">
        <v>83</v>
      </c>
      <c r="C127" s="4" t="s">
        <v>62</v>
      </c>
      <c r="D127" s="22">
        <v>475006935</v>
      </c>
      <c r="E127" s="4" t="s">
        <v>29</v>
      </c>
      <c r="F127" s="20">
        <v>38598</v>
      </c>
      <c r="G127" s="16" t="str">
        <f t="shared" si="2"/>
        <v>September</v>
      </c>
      <c r="H127" s="2">
        <f t="shared" ca="1" si="3"/>
        <v>13</v>
      </c>
      <c r="I127" s="17" t="s">
        <v>30</v>
      </c>
      <c r="J127" s="18">
        <v>115155</v>
      </c>
      <c r="K127" s="19">
        <v>2</v>
      </c>
    </row>
    <row r="128" spans="1:11" x14ac:dyDescent="0.2">
      <c r="A128" s="11" t="s">
        <v>473</v>
      </c>
      <c r="B128" s="14" t="s">
        <v>36</v>
      </c>
      <c r="C128" s="11" t="s">
        <v>214</v>
      </c>
      <c r="D128" s="15">
        <v>425004540</v>
      </c>
      <c r="E128" s="11" t="s">
        <v>29</v>
      </c>
      <c r="F128" s="20">
        <v>43031</v>
      </c>
      <c r="G128" s="16" t="str">
        <f t="shared" si="2"/>
        <v>October</v>
      </c>
      <c r="H128" s="2">
        <f t="shared" ca="1" si="3"/>
        <v>1</v>
      </c>
      <c r="I128" s="17" t="s">
        <v>38</v>
      </c>
      <c r="J128" s="18">
        <v>46832</v>
      </c>
      <c r="K128" s="19">
        <v>2</v>
      </c>
    </row>
    <row r="129" spans="1:11" x14ac:dyDescent="0.2">
      <c r="A129" s="11" t="s">
        <v>689</v>
      </c>
      <c r="B129" s="14" t="s">
        <v>51</v>
      </c>
      <c r="C129" s="11" t="s">
        <v>214</v>
      </c>
      <c r="D129" s="15">
        <v>884005623</v>
      </c>
      <c r="E129" s="11" t="s">
        <v>21</v>
      </c>
      <c r="F129" s="20">
        <v>36887</v>
      </c>
      <c r="G129" s="16" t="str">
        <f t="shared" si="2"/>
        <v>December</v>
      </c>
      <c r="H129" s="2">
        <f t="shared" ca="1" si="3"/>
        <v>18</v>
      </c>
      <c r="I129" s="17"/>
      <c r="J129" s="18">
        <v>86981</v>
      </c>
      <c r="K129" s="19">
        <v>4</v>
      </c>
    </row>
    <row r="130" spans="1:11" x14ac:dyDescent="0.2">
      <c r="A130" s="11" t="s">
        <v>1158</v>
      </c>
      <c r="B130" s="14" t="s">
        <v>27</v>
      </c>
      <c r="C130" s="11" t="s">
        <v>136</v>
      </c>
      <c r="D130" s="15">
        <v>556007593</v>
      </c>
      <c r="E130" s="11" t="s">
        <v>21</v>
      </c>
      <c r="F130" s="20">
        <v>38157</v>
      </c>
      <c r="G130" s="16" t="str">
        <f t="shared" ref="G130:G193" si="4">CHOOSE(MONTH(F130),"January","February","March","April","May","June","July","August","September","October","November","December")</f>
        <v>June</v>
      </c>
      <c r="H130" s="2">
        <f t="shared" ref="H130:H193" ca="1" si="5">DATEDIF(F130,TODAY(),"Y")</f>
        <v>14</v>
      </c>
      <c r="I130" s="17"/>
      <c r="J130" s="18">
        <v>81095</v>
      </c>
      <c r="K130" s="19">
        <v>2</v>
      </c>
    </row>
    <row r="131" spans="1:11" x14ac:dyDescent="0.2">
      <c r="A131" s="11" t="s">
        <v>1148</v>
      </c>
      <c r="B131" s="14" t="s">
        <v>27</v>
      </c>
      <c r="C131" s="11" t="s">
        <v>136</v>
      </c>
      <c r="D131" s="15">
        <v>160002505</v>
      </c>
      <c r="E131" s="11" t="s">
        <v>21</v>
      </c>
      <c r="F131" s="20">
        <v>40382</v>
      </c>
      <c r="G131" s="16" t="str">
        <f t="shared" si="4"/>
        <v>July</v>
      </c>
      <c r="H131" s="2">
        <f t="shared" ca="1" si="5"/>
        <v>8</v>
      </c>
      <c r="I131" s="17"/>
      <c r="J131" s="18">
        <v>83133</v>
      </c>
      <c r="K131" s="19">
        <v>3</v>
      </c>
    </row>
    <row r="132" spans="1:11" x14ac:dyDescent="0.2">
      <c r="A132" s="11" t="s">
        <v>1304</v>
      </c>
      <c r="B132" s="14" t="s">
        <v>27</v>
      </c>
      <c r="C132" s="11" t="s">
        <v>214</v>
      </c>
      <c r="D132" s="15">
        <v>482007373</v>
      </c>
      <c r="E132" s="11" t="s">
        <v>29</v>
      </c>
      <c r="F132" s="20">
        <v>38382</v>
      </c>
      <c r="G132" s="16" t="str">
        <f t="shared" si="4"/>
        <v>January</v>
      </c>
      <c r="H132" s="2">
        <f t="shared" ca="1" si="5"/>
        <v>14</v>
      </c>
      <c r="I132" s="17" t="s">
        <v>30</v>
      </c>
      <c r="J132" s="18">
        <v>43727</v>
      </c>
      <c r="K132" s="19">
        <v>2</v>
      </c>
    </row>
    <row r="133" spans="1:11" x14ac:dyDescent="0.2">
      <c r="A133" s="11" t="s">
        <v>238</v>
      </c>
      <c r="B133" s="14" t="s">
        <v>43</v>
      </c>
      <c r="C133" s="11" t="s">
        <v>20</v>
      </c>
      <c r="D133" s="15">
        <v>580000042</v>
      </c>
      <c r="E133" s="11" t="s">
        <v>21</v>
      </c>
      <c r="F133" s="20">
        <v>41896</v>
      </c>
      <c r="G133" s="16" t="str">
        <f t="shared" si="4"/>
        <v>September</v>
      </c>
      <c r="H133" s="2">
        <f t="shared" ca="1" si="5"/>
        <v>4</v>
      </c>
      <c r="I133" s="17"/>
      <c r="J133" s="18">
        <v>83903</v>
      </c>
      <c r="K133" s="19">
        <v>4</v>
      </c>
    </row>
    <row r="134" spans="1:11" x14ac:dyDescent="0.2">
      <c r="A134" s="11" t="s">
        <v>795</v>
      </c>
      <c r="B134" s="14" t="s">
        <v>19</v>
      </c>
      <c r="C134" s="11" t="s">
        <v>86</v>
      </c>
      <c r="D134" s="15">
        <v>400000342</v>
      </c>
      <c r="E134" s="11" t="s">
        <v>21</v>
      </c>
      <c r="F134" s="20">
        <v>42139</v>
      </c>
      <c r="G134" s="16" t="str">
        <f t="shared" si="4"/>
        <v>May</v>
      </c>
      <c r="H134" s="2">
        <f t="shared" ca="1" si="5"/>
        <v>4</v>
      </c>
      <c r="I134" s="17"/>
      <c r="J134" s="18">
        <v>100535</v>
      </c>
      <c r="K134" s="19">
        <v>3</v>
      </c>
    </row>
    <row r="135" spans="1:11" x14ac:dyDescent="0.2">
      <c r="A135" s="11" t="s">
        <v>204</v>
      </c>
      <c r="B135" s="14" t="s">
        <v>19</v>
      </c>
      <c r="C135" s="11" t="s">
        <v>205</v>
      </c>
      <c r="D135" s="15">
        <v>861004260</v>
      </c>
      <c r="E135" s="11" t="s">
        <v>29</v>
      </c>
      <c r="F135" s="20">
        <v>36241</v>
      </c>
      <c r="G135" s="16" t="str">
        <f t="shared" si="4"/>
        <v>March</v>
      </c>
      <c r="H135" s="2">
        <f t="shared" ca="1" si="5"/>
        <v>20</v>
      </c>
      <c r="I135" s="17" t="s">
        <v>47</v>
      </c>
      <c r="J135" s="18">
        <v>120339</v>
      </c>
      <c r="K135" s="19">
        <v>1</v>
      </c>
    </row>
    <row r="136" spans="1:11" x14ac:dyDescent="0.2">
      <c r="A136" s="11" t="s">
        <v>317</v>
      </c>
      <c r="B136" s="14" t="s">
        <v>36</v>
      </c>
      <c r="C136" s="11" t="s">
        <v>52</v>
      </c>
      <c r="D136" s="15">
        <v>434007073</v>
      </c>
      <c r="E136" s="11" t="s">
        <v>29</v>
      </c>
      <c r="F136" s="20">
        <v>40468</v>
      </c>
      <c r="G136" s="16" t="str">
        <f t="shared" si="4"/>
        <v>October</v>
      </c>
      <c r="H136" s="2">
        <f t="shared" ca="1" si="5"/>
        <v>8</v>
      </c>
      <c r="I136" s="17" t="s">
        <v>38</v>
      </c>
      <c r="J136" s="18">
        <v>53649</v>
      </c>
      <c r="K136" s="19">
        <v>1</v>
      </c>
    </row>
    <row r="137" spans="1:11" x14ac:dyDescent="0.2">
      <c r="A137" s="11" t="s">
        <v>1232</v>
      </c>
      <c r="B137" s="14" t="s">
        <v>27</v>
      </c>
      <c r="C137" s="11" t="s">
        <v>20</v>
      </c>
      <c r="D137" s="15">
        <v>164004130</v>
      </c>
      <c r="E137" s="11" t="s">
        <v>21</v>
      </c>
      <c r="F137" s="20">
        <v>38425</v>
      </c>
      <c r="G137" s="16" t="str">
        <f t="shared" si="4"/>
        <v>March</v>
      </c>
      <c r="H137" s="2">
        <f t="shared" ca="1" si="5"/>
        <v>14</v>
      </c>
      <c r="I137" s="17"/>
      <c r="J137" s="18">
        <v>113670</v>
      </c>
      <c r="K137" s="19">
        <v>2</v>
      </c>
    </row>
    <row r="138" spans="1:11" x14ac:dyDescent="0.2">
      <c r="A138" s="11" t="s">
        <v>1102</v>
      </c>
      <c r="B138" s="14" t="s">
        <v>36</v>
      </c>
      <c r="C138" s="11" t="s">
        <v>136</v>
      </c>
      <c r="D138" s="15">
        <v>239007790</v>
      </c>
      <c r="E138" s="11" t="s">
        <v>21</v>
      </c>
      <c r="F138" s="20">
        <v>39231</v>
      </c>
      <c r="G138" s="16" t="str">
        <f t="shared" si="4"/>
        <v>May</v>
      </c>
      <c r="H138" s="2">
        <f t="shared" ca="1" si="5"/>
        <v>12</v>
      </c>
      <c r="I138" s="17"/>
      <c r="J138" s="18">
        <v>96255</v>
      </c>
      <c r="K138" s="19">
        <v>5</v>
      </c>
    </row>
    <row r="139" spans="1:11" x14ac:dyDescent="0.2">
      <c r="A139" s="11" t="s">
        <v>202</v>
      </c>
      <c r="B139" s="14" t="s">
        <v>19</v>
      </c>
      <c r="C139" s="11" t="s">
        <v>59</v>
      </c>
      <c r="D139" s="15">
        <v>503009830</v>
      </c>
      <c r="E139" s="11" t="s">
        <v>29</v>
      </c>
      <c r="F139" s="20">
        <v>36261</v>
      </c>
      <c r="G139" s="16" t="str">
        <f t="shared" si="4"/>
        <v>April</v>
      </c>
      <c r="H139" s="2">
        <f t="shared" ca="1" si="5"/>
        <v>20</v>
      </c>
      <c r="I139" s="17" t="s">
        <v>30</v>
      </c>
      <c r="J139" s="18">
        <v>43389</v>
      </c>
      <c r="K139" s="19">
        <v>2</v>
      </c>
    </row>
    <row r="140" spans="1:11" x14ac:dyDescent="0.2">
      <c r="A140" s="11" t="s">
        <v>1308</v>
      </c>
      <c r="B140" s="14" t="s">
        <v>51</v>
      </c>
      <c r="C140" s="11" t="s">
        <v>145</v>
      </c>
      <c r="D140" s="15">
        <v>626001093</v>
      </c>
      <c r="E140" s="11" t="s">
        <v>21</v>
      </c>
      <c r="F140" s="20">
        <v>40883</v>
      </c>
      <c r="G140" s="16" t="str">
        <f t="shared" si="4"/>
        <v>December</v>
      </c>
      <c r="H140" s="2">
        <f t="shared" ca="1" si="5"/>
        <v>7</v>
      </c>
      <c r="I140" s="17"/>
      <c r="J140" s="18">
        <v>87197</v>
      </c>
      <c r="K140" s="19">
        <v>1</v>
      </c>
    </row>
    <row r="141" spans="1:11" x14ac:dyDescent="0.2">
      <c r="A141" s="11" t="s">
        <v>142</v>
      </c>
      <c r="B141" s="14" t="s">
        <v>19</v>
      </c>
      <c r="C141" s="11" t="s">
        <v>136</v>
      </c>
      <c r="D141" s="15">
        <v>554009540</v>
      </c>
      <c r="E141" s="11" t="s">
        <v>21</v>
      </c>
      <c r="F141" s="20">
        <v>36090</v>
      </c>
      <c r="G141" s="16" t="str">
        <f t="shared" si="4"/>
        <v>October</v>
      </c>
      <c r="H141" s="2">
        <f t="shared" ca="1" si="5"/>
        <v>20</v>
      </c>
      <c r="I141" s="17"/>
      <c r="J141" s="18">
        <v>79178</v>
      </c>
      <c r="K141" s="19">
        <v>4</v>
      </c>
    </row>
    <row r="142" spans="1:11" x14ac:dyDescent="0.2">
      <c r="A142" s="11" t="s">
        <v>572</v>
      </c>
      <c r="B142" s="14" t="s">
        <v>36</v>
      </c>
      <c r="C142" s="11" t="s">
        <v>145</v>
      </c>
      <c r="D142" s="15">
        <v>878002154</v>
      </c>
      <c r="E142" s="11" t="s">
        <v>80</v>
      </c>
      <c r="F142" s="20">
        <v>36746</v>
      </c>
      <c r="G142" s="16" t="str">
        <f t="shared" si="4"/>
        <v>August</v>
      </c>
      <c r="H142" s="2">
        <f t="shared" ca="1" si="5"/>
        <v>18</v>
      </c>
      <c r="I142" s="17" t="s">
        <v>30</v>
      </c>
      <c r="J142" s="18">
        <v>34945</v>
      </c>
      <c r="K142" s="19">
        <v>5</v>
      </c>
    </row>
    <row r="143" spans="1:11" x14ac:dyDescent="0.2">
      <c r="A143" s="11" t="s">
        <v>305</v>
      </c>
      <c r="B143" s="14" t="s">
        <v>19</v>
      </c>
      <c r="C143" s="11" t="s">
        <v>101</v>
      </c>
      <c r="D143" s="15">
        <v>763008183</v>
      </c>
      <c r="E143" s="11" t="s">
        <v>29</v>
      </c>
      <c r="F143" s="20">
        <v>36296</v>
      </c>
      <c r="G143" s="16" t="str">
        <f t="shared" si="4"/>
        <v>May</v>
      </c>
      <c r="H143" s="2">
        <f t="shared" ca="1" si="5"/>
        <v>20</v>
      </c>
      <c r="I143" s="17" t="s">
        <v>47</v>
      </c>
      <c r="J143" s="18">
        <v>93690</v>
      </c>
      <c r="K143" s="19">
        <v>5</v>
      </c>
    </row>
    <row r="144" spans="1:11" x14ac:dyDescent="0.2">
      <c r="A144" s="11" t="s">
        <v>166</v>
      </c>
      <c r="B144" s="14" t="s">
        <v>27</v>
      </c>
      <c r="C144" s="11" t="s">
        <v>20</v>
      </c>
      <c r="D144" s="15">
        <v>653003221</v>
      </c>
      <c r="E144" s="11" t="s">
        <v>21</v>
      </c>
      <c r="F144" s="20">
        <v>42815</v>
      </c>
      <c r="G144" s="16" t="str">
        <f t="shared" si="4"/>
        <v>March</v>
      </c>
      <c r="H144" s="2">
        <f t="shared" ca="1" si="5"/>
        <v>2</v>
      </c>
      <c r="I144" s="17"/>
      <c r="J144" s="18">
        <v>107271</v>
      </c>
      <c r="K144" s="19">
        <v>5</v>
      </c>
    </row>
    <row r="145" spans="1:11" x14ac:dyDescent="0.2">
      <c r="A145" s="11" t="s">
        <v>1002</v>
      </c>
      <c r="B145" s="14" t="s">
        <v>27</v>
      </c>
      <c r="C145" s="11" t="s">
        <v>145</v>
      </c>
      <c r="D145" s="15">
        <v>744000329</v>
      </c>
      <c r="E145" s="11" t="s">
        <v>29</v>
      </c>
      <c r="F145" s="20">
        <v>37656</v>
      </c>
      <c r="G145" s="16" t="str">
        <f t="shared" si="4"/>
        <v>February</v>
      </c>
      <c r="H145" s="2">
        <f t="shared" ca="1" si="5"/>
        <v>16</v>
      </c>
      <c r="I145" s="17" t="s">
        <v>87</v>
      </c>
      <c r="J145" s="18">
        <v>111645</v>
      </c>
      <c r="K145" s="19">
        <v>3</v>
      </c>
    </row>
    <row r="146" spans="1:11" x14ac:dyDescent="0.2">
      <c r="A146" s="11" t="s">
        <v>1366</v>
      </c>
      <c r="B146" s="14" t="s">
        <v>43</v>
      </c>
      <c r="C146" s="11" t="s">
        <v>136</v>
      </c>
      <c r="D146" s="15">
        <v>217008415</v>
      </c>
      <c r="E146" s="11" t="s">
        <v>29</v>
      </c>
      <c r="F146" s="20">
        <v>38677</v>
      </c>
      <c r="G146" s="16" t="str">
        <f t="shared" si="4"/>
        <v>November</v>
      </c>
      <c r="H146" s="2">
        <f t="shared" ca="1" si="5"/>
        <v>13</v>
      </c>
      <c r="I146" s="17" t="s">
        <v>38</v>
      </c>
      <c r="J146" s="18">
        <v>30875</v>
      </c>
      <c r="K146" s="19">
        <v>3</v>
      </c>
    </row>
    <row r="147" spans="1:11" x14ac:dyDescent="0.2">
      <c r="A147" s="11" t="s">
        <v>910</v>
      </c>
      <c r="B147" s="14" t="s">
        <v>19</v>
      </c>
      <c r="C147" s="11" t="s">
        <v>152</v>
      </c>
      <c r="D147" s="15">
        <v>855003308</v>
      </c>
      <c r="E147" s="11" t="s">
        <v>29</v>
      </c>
      <c r="F147" s="20">
        <v>37526</v>
      </c>
      <c r="G147" s="16" t="str">
        <f t="shared" si="4"/>
        <v>September</v>
      </c>
      <c r="H147" s="2">
        <f t="shared" ca="1" si="5"/>
        <v>16</v>
      </c>
      <c r="I147" s="17" t="s">
        <v>47</v>
      </c>
      <c r="J147" s="18">
        <v>93839</v>
      </c>
      <c r="K147" s="19">
        <v>5</v>
      </c>
    </row>
    <row r="148" spans="1:11" x14ac:dyDescent="0.2">
      <c r="A148" s="11" t="s">
        <v>1490</v>
      </c>
      <c r="B148" s="14" t="s">
        <v>19</v>
      </c>
      <c r="C148" s="11" t="s">
        <v>152</v>
      </c>
      <c r="D148" s="15">
        <v>159004851</v>
      </c>
      <c r="E148" s="11" t="s">
        <v>29</v>
      </c>
      <c r="F148" s="20">
        <v>43536</v>
      </c>
      <c r="G148" s="16" t="str">
        <f t="shared" si="4"/>
        <v>March</v>
      </c>
      <c r="H148" s="2">
        <f t="shared" ca="1" si="5"/>
        <v>0</v>
      </c>
      <c r="I148" s="17" t="s">
        <v>71</v>
      </c>
      <c r="J148" s="18">
        <v>54351</v>
      </c>
      <c r="K148" s="19">
        <v>5</v>
      </c>
    </row>
    <row r="149" spans="1:11" x14ac:dyDescent="0.2">
      <c r="A149" s="11" t="s">
        <v>1386</v>
      </c>
      <c r="B149" s="14" t="s">
        <v>83</v>
      </c>
      <c r="C149" s="11" t="s">
        <v>136</v>
      </c>
      <c r="D149" s="15">
        <v>451009170</v>
      </c>
      <c r="E149" s="11" t="s">
        <v>80</v>
      </c>
      <c r="F149" s="20">
        <v>38682</v>
      </c>
      <c r="G149" s="16" t="str">
        <f t="shared" si="4"/>
        <v>November</v>
      </c>
      <c r="H149" s="2">
        <f t="shared" ca="1" si="5"/>
        <v>13</v>
      </c>
      <c r="I149" s="17" t="s">
        <v>47</v>
      </c>
      <c r="J149" s="18">
        <v>42127</v>
      </c>
      <c r="K149" s="19">
        <v>2</v>
      </c>
    </row>
    <row r="150" spans="1:11" x14ac:dyDescent="0.2">
      <c r="A150" s="11" t="s">
        <v>1258</v>
      </c>
      <c r="B150" s="14" t="s">
        <v>27</v>
      </c>
      <c r="C150" s="11" t="s">
        <v>145</v>
      </c>
      <c r="D150" s="15">
        <v>826008763</v>
      </c>
      <c r="E150" s="11" t="s">
        <v>29</v>
      </c>
      <c r="F150" s="20">
        <v>42601</v>
      </c>
      <c r="G150" s="16" t="str">
        <f t="shared" si="4"/>
        <v>August</v>
      </c>
      <c r="H150" s="2">
        <f t="shared" ca="1" si="5"/>
        <v>2</v>
      </c>
      <c r="I150" s="17" t="s">
        <v>30</v>
      </c>
      <c r="J150" s="18">
        <v>39596</v>
      </c>
      <c r="K150" s="19">
        <v>5</v>
      </c>
    </row>
    <row r="151" spans="1:11" x14ac:dyDescent="0.2">
      <c r="A151" s="11" t="s">
        <v>938</v>
      </c>
      <c r="B151" s="14" t="s">
        <v>19</v>
      </c>
      <c r="C151" s="11" t="s">
        <v>59</v>
      </c>
      <c r="D151" s="15">
        <v>707003376</v>
      </c>
      <c r="E151" s="11" t="s">
        <v>29</v>
      </c>
      <c r="F151" s="20">
        <v>37940</v>
      </c>
      <c r="G151" s="16" t="str">
        <f t="shared" si="4"/>
        <v>November</v>
      </c>
      <c r="H151" s="2">
        <f t="shared" ca="1" si="5"/>
        <v>15</v>
      </c>
      <c r="I151" s="17" t="s">
        <v>71</v>
      </c>
      <c r="J151" s="18">
        <v>66501</v>
      </c>
      <c r="K151" s="19">
        <v>3</v>
      </c>
    </row>
    <row r="152" spans="1:11" x14ac:dyDescent="0.2">
      <c r="A152" s="11" t="s">
        <v>1182</v>
      </c>
      <c r="B152" s="14" t="s">
        <v>43</v>
      </c>
      <c r="C152" s="11" t="s">
        <v>136</v>
      </c>
      <c r="D152" s="15">
        <v>502000672</v>
      </c>
      <c r="E152" s="11" t="s">
        <v>21</v>
      </c>
      <c r="F152" s="20">
        <v>43266</v>
      </c>
      <c r="G152" s="16" t="str">
        <f t="shared" si="4"/>
        <v>June</v>
      </c>
      <c r="H152" s="2">
        <f t="shared" ca="1" si="5"/>
        <v>0</v>
      </c>
      <c r="I152" s="17"/>
      <c r="J152" s="18">
        <v>77868</v>
      </c>
      <c r="K152" s="19">
        <v>4</v>
      </c>
    </row>
    <row r="153" spans="1:11" x14ac:dyDescent="0.2">
      <c r="A153" s="11" t="s">
        <v>380</v>
      </c>
      <c r="B153" s="14" t="s">
        <v>19</v>
      </c>
      <c r="C153" s="11" t="s">
        <v>59</v>
      </c>
      <c r="D153" s="15">
        <v>625001462</v>
      </c>
      <c r="E153" s="11" t="s">
        <v>29</v>
      </c>
      <c r="F153" s="20">
        <v>40144</v>
      </c>
      <c r="G153" s="16" t="str">
        <f t="shared" si="4"/>
        <v>November</v>
      </c>
      <c r="H153" s="2">
        <f t="shared" ca="1" si="5"/>
        <v>9</v>
      </c>
      <c r="I153" s="17" t="s">
        <v>47</v>
      </c>
      <c r="J153" s="18">
        <v>57348</v>
      </c>
      <c r="K153" s="19">
        <v>3</v>
      </c>
    </row>
    <row r="154" spans="1:11" x14ac:dyDescent="0.2">
      <c r="A154" s="11" t="s">
        <v>1262</v>
      </c>
      <c r="B154" s="14" t="s">
        <v>27</v>
      </c>
      <c r="C154" s="11" t="s">
        <v>145</v>
      </c>
      <c r="D154" s="15">
        <v>647001956</v>
      </c>
      <c r="E154" s="11" t="s">
        <v>29</v>
      </c>
      <c r="F154" s="20">
        <v>41758</v>
      </c>
      <c r="G154" s="16" t="str">
        <f t="shared" si="4"/>
        <v>April</v>
      </c>
      <c r="H154" s="2">
        <f t="shared" ca="1" si="5"/>
        <v>5</v>
      </c>
      <c r="I154" s="17" t="s">
        <v>47</v>
      </c>
      <c r="J154" s="18">
        <v>99306</v>
      </c>
      <c r="K154" s="19">
        <v>3</v>
      </c>
    </row>
    <row r="155" spans="1:11" x14ac:dyDescent="0.2">
      <c r="A155" s="11" t="s">
        <v>1008</v>
      </c>
      <c r="B155" s="14" t="s">
        <v>27</v>
      </c>
      <c r="C155" s="11" t="s">
        <v>152</v>
      </c>
      <c r="D155" s="15">
        <v>471004761</v>
      </c>
      <c r="E155" s="11" t="s">
        <v>56</v>
      </c>
      <c r="F155" s="20">
        <v>37681</v>
      </c>
      <c r="G155" s="16" t="str">
        <f t="shared" si="4"/>
        <v>March</v>
      </c>
      <c r="H155" s="2">
        <f t="shared" ca="1" si="5"/>
        <v>16</v>
      </c>
      <c r="I155" s="17"/>
      <c r="J155" s="18">
        <v>36374</v>
      </c>
      <c r="K155" s="19">
        <v>4</v>
      </c>
    </row>
    <row r="156" spans="1:11" x14ac:dyDescent="0.2">
      <c r="A156" s="11" t="s">
        <v>1334</v>
      </c>
      <c r="B156" s="14" t="s">
        <v>43</v>
      </c>
      <c r="C156" s="11" t="s">
        <v>214</v>
      </c>
      <c r="D156" s="15">
        <v>313008501</v>
      </c>
      <c r="E156" s="11" t="s">
        <v>56</v>
      </c>
      <c r="F156" s="20">
        <v>38346</v>
      </c>
      <c r="G156" s="16" t="str">
        <f t="shared" si="4"/>
        <v>December</v>
      </c>
      <c r="H156" s="2">
        <f t="shared" ca="1" si="5"/>
        <v>14</v>
      </c>
      <c r="I156" s="17"/>
      <c r="J156" s="18">
        <v>30337</v>
      </c>
      <c r="K156" s="19">
        <v>1</v>
      </c>
    </row>
    <row r="157" spans="1:11" x14ac:dyDescent="0.2">
      <c r="A157" s="11" t="s">
        <v>1376</v>
      </c>
      <c r="B157" s="14" t="s">
        <v>43</v>
      </c>
      <c r="C157" s="11" t="s">
        <v>136</v>
      </c>
      <c r="D157" s="15">
        <v>643009374</v>
      </c>
      <c r="E157" s="11" t="s">
        <v>21</v>
      </c>
      <c r="F157" s="20">
        <v>38397</v>
      </c>
      <c r="G157" s="16" t="str">
        <f t="shared" si="4"/>
        <v>February</v>
      </c>
      <c r="H157" s="2">
        <f t="shared" ca="1" si="5"/>
        <v>14</v>
      </c>
      <c r="I157" s="17"/>
      <c r="J157" s="18">
        <v>66866</v>
      </c>
      <c r="K157" s="19">
        <v>4</v>
      </c>
    </row>
    <row r="158" spans="1:11" x14ac:dyDescent="0.2">
      <c r="A158" s="11" t="s">
        <v>429</v>
      </c>
      <c r="B158" s="14" t="s">
        <v>51</v>
      </c>
      <c r="C158" s="11" t="s">
        <v>205</v>
      </c>
      <c r="D158" s="15">
        <v>117006630</v>
      </c>
      <c r="E158" s="11" t="s">
        <v>21</v>
      </c>
      <c r="F158" s="20">
        <v>43119</v>
      </c>
      <c r="G158" s="16" t="str">
        <f t="shared" si="4"/>
        <v>January</v>
      </c>
      <c r="H158" s="2">
        <f t="shared" ca="1" si="5"/>
        <v>1</v>
      </c>
      <c r="I158" s="17" t="s">
        <v>38</v>
      </c>
      <c r="J158" s="18">
        <v>96107</v>
      </c>
      <c r="K158" s="19">
        <v>4</v>
      </c>
    </row>
    <row r="159" spans="1:11" x14ac:dyDescent="0.2">
      <c r="A159" s="11" t="s">
        <v>1256</v>
      </c>
      <c r="B159" s="14" t="s">
        <v>27</v>
      </c>
      <c r="C159" s="11" t="s">
        <v>145</v>
      </c>
      <c r="D159" s="15">
        <v>337001408</v>
      </c>
      <c r="E159" s="11" t="s">
        <v>29</v>
      </c>
      <c r="F159" s="20">
        <v>39382</v>
      </c>
      <c r="G159" s="16" t="str">
        <f t="shared" si="4"/>
        <v>October</v>
      </c>
      <c r="H159" s="2">
        <f t="shared" ca="1" si="5"/>
        <v>11</v>
      </c>
      <c r="I159" s="17" t="s">
        <v>47</v>
      </c>
      <c r="J159" s="18">
        <v>39501</v>
      </c>
      <c r="K159" s="19">
        <v>4</v>
      </c>
    </row>
    <row r="160" spans="1:11" x14ac:dyDescent="0.2">
      <c r="A160" s="11" t="s">
        <v>409</v>
      </c>
      <c r="B160" s="14" t="s">
        <v>27</v>
      </c>
      <c r="C160" s="11" t="s">
        <v>62</v>
      </c>
      <c r="D160" s="15">
        <v>608006012</v>
      </c>
      <c r="E160" s="11" t="s">
        <v>29</v>
      </c>
      <c r="F160" s="20">
        <v>36687</v>
      </c>
      <c r="G160" s="16" t="str">
        <f t="shared" si="4"/>
        <v>June</v>
      </c>
      <c r="H160" s="2">
        <f t="shared" ca="1" si="5"/>
        <v>18</v>
      </c>
      <c r="I160" s="17" t="s">
        <v>47</v>
      </c>
      <c r="J160" s="18">
        <v>107676</v>
      </c>
      <c r="K160" s="19">
        <v>5</v>
      </c>
    </row>
    <row r="161" spans="1:11" x14ac:dyDescent="0.2">
      <c r="A161" s="11" t="s">
        <v>596</v>
      </c>
      <c r="B161" s="14" t="s">
        <v>19</v>
      </c>
      <c r="C161" s="11" t="s">
        <v>214</v>
      </c>
      <c r="D161" s="15">
        <v>332009257</v>
      </c>
      <c r="E161" s="11" t="s">
        <v>21</v>
      </c>
      <c r="F161" s="20">
        <v>38848</v>
      </c>
      <c r="G161" s="16" t="str">
        <f t="shared" si="4"/>
        <v>May</v>
      </c>
      <c r="H161" s="2">
        <f t="shared" ca="1" si="5"/>
        <v>13</v>
      </c>
      <c r="I161" s="17"/>
      <c r="J161" s="18">
        <v>92151</v>
      </c>
      <c r="K161" s="19">
        <v>5</v>
      </c>
    </row>
    <row r="162" spans="1:11" x14ac:dyDescent="0.2">
      <c r="A162" s="11" t="s">
        <v>928</v>
      </c>
      <c r="B162" s="14" t="s">
        <v>19</v>
      </c>
      <c r="C162" s="11" t="s">
        <v>254</v>
      </c>
      <c r="D162" s="15">
        <v>272004784</v>
      </c>
      <c r="E162" s="11" t="s">
        <v>56</v>
      </c>
      <c r="F162" s="20">
        <v>40567</v>
      </c>
      <c r="G162" s="16" t="str">
        <f t="shared" si="4"/>
        <v>January</v>
      </c>
      <c r="H162" s="2">
        <f t="shared" ca="1" si="5"/>
        <v>8</v>
      </c>
      <c r="I162" s="17"/>
      <c r="J162" s="18">
        <v>29225</v>
      </c>
      <c r="K162" s="19">
        <v>2</v>
      </c>
    </row>
    <row r="163" spans="1:11" x14ac:dyDescent="0.2">
      <c r="A163" s="4" t="s">
        <v>55</v>
      </c>
      <c r="B163" s="14" t="s">
        <v>27</v>
      </c>
      <c r="C163" s="11" t="s">
        <v>52</v>
      </c>
      <c r="D163" s="15">
        <v>828006583</v>
      </c>
      <c r="E163" s="11" t="s">
        <v>56</v>
      </c>
      <c r="F163" s="20">
        <v>36039</v>
      </c>
      <c r="G163" s="16" t="str">
        <f t="shared" si="4"/>
        <v>September</v>
      </c>
      <c r="H163" s="2">
        <f t="shared" ca="1" si="5"/>
        <v>20</v>
      </c>
      <c r="I163" s="17"/>
      <c r="J163" s="18">
        <v>19861</v>
      </c>
      <c r="K163" s="19">
        <v>5</v>
      </c>
    </row>
    <row r="164" spans="1:11" x14ac:dyDescent="0.2">
      <c r="A164" s="11" t="s">
        <v>823</v>
      </c>
      <c r="B164" s="14" t="s">
        <v>43</v>
      </c>
      <c r="C164" s="11" t="s">
        <v>86</v>
      </c>
      <c r="D164" s="15">
        <v>980000186</v>
      </c>
      <c r="E164" s="11" t="s">
        <v>80</v>
      </c>
      <c r="F164" s="20">
        <v>41954</v>
      </c>
      <c r="G164" s="16" t="str">
        <f t="shared" si="4"/>
        <v>November</v>
      </c>
      <c r="H164" s="2">
        <f t="shared" ca="1" si="5"/>
        <v>4</v>
      </c>
      <c r="I164" s="17" t="s">
        <v>30</v>
      </c>
      <c r="J164" s="18">
        <v>64402</v>
      </c>
      <c r="K164" s="19">
        <v>5</v>
      </c>
    </row>
    <row r="165" spans="1:11" x14ac:dyDescent="0.2">
      <c r="A165" s="11" t="s">
        <v>1266</v>
      </c>
      <c r="B165" s="14" t="s">
        <v>43</v>
      </c>
      <c r="C165" s="11" t="s">
        <v>145</v>
      </c>
      <c r="D165" s="15">
        <v>357008979</v>
      </c>
      <c r="E165" s="11" t="s">
        <v>80</v>
      </c>
      <c r="F165" s="20">
        <v>40631</v>
      </c>
      <c r="G165" s="16" t="str">
        <f t="shared" si="4"/>
        <v>March</v>
      </c>
      <c r="H165" s="2">
        <f t="shared" ca="1" si="5"/>
        <v>8</v>
      </c>
      <c r="I165" s="17" t="s">
        <v>87</v>
      </c>
      <c r="J165" s="18">
        <v>38509</v>
      </c>
      <c r="K165" s="19">
        <v>4</v>
      </c>
    </row>
    <row r="166" spans="1:11" x14ac:dyDescent="0.2">
      <c r="A166" s="11" t="s">
        <v>281</v>
      </c>
      <c r="B166" s="14" t="s">
        <v>19</v>
      </c>
      <c r="C166" s="11" t="s">
        <v>28</v>
      </c>
      <c r="D166" s="15">
        <v>925009144</v>
      </c>
      <c r="E166" s="11" t="s">
        <v>29</v>
      </c>
      <c r="F166" s="20">
        <v>39105</v>
      </c>
      <c r="G166" s="16" t="str">
        <f t="shared" si="4"/>
        <v>January</v>
      </c>
      <c r="H166" s="2">
        <f t="shared" ca="1" si="5"/>
        <v>12</v>
      </c>
      <c r="I166" s="17" t="s">
        <v>47</v>
      </c>
      <c r="J166" s="18">
        <v>67311</v>
      </c>
      <c r="K166" s="19">
        <v>2</v>
      </c>
    </row>
    <row r="167" spans="1:11" x14ac:dyDescent="0.2">
      <c r="A167" s="11" t="s">
        <v>819</v>
      </c>
      <c r="B167" s="14" t="s">
        <v>27</v>
      </c>
      <c r="C167" s="11" t="s">
        <v>20</v>
      </c>
      <c r="D167" s="15">
        <v>644002142</v>
      </c>
      <c r="E167" s="11" t="s">
        <v>21</v>
      </c>
      <c r="F167" s="20">
        <v>37507</v>
      </c>
      <c r="G167" s="16" t="str">
        <f t="shared" si="4"/>
        <v>September</v>
      </c>
      <c r="H167" s="2">
        <f t="shared" ca="1" si="5"/>
        <v>16</v>
      </c>
      <c r="I167" s="17"/>
      <c r="J167" s="18">
        <v>63005</v>
      </c>
      <c r="K167" s="19">
        <v>3</v>
      </c>
    </row>
    <row r="168" spans="1:11" x14ac:dyDescent="0.2">
      <c r="A168" s="11" t="s">
        <v>1286</v>
      </c>
      <c r="B168" s="14" t="s">
        <v>43</v>
      </c>
      <c r="C168" s="11" t="s">
        <v>145</v>
      </c>
      <c r="D168" s="15">
        <v>765006666</v>
      </c>
      <c r="E168" s="11" t="s">
        <v>29</v>
      </c>
      <c r="F168" s="20">
        <v>42009</v>
      </c>
      <c r="G168" s="16" t="str">
        <f t="shared" si="4"/>
        <v>January</v>
      </c>
      <c r="H168" s="2">
        <f t="shared" ca="1" si="5"/>
        <v>4</v>
      </c>
      <c r="I168" s="17" t="s">
        <v>30</v>
      </c>
      <c r="J168" s="18">
        <v>58860</v>
      </c>
      <c r="K168" s="19">
        <v>5</v>
      </c>
    </row>
    <row r="169" spans="1:11" x14ac:dyDescent="0.2">
      <c r="A169" s="11" t="s">
        <v>920</v>
      </c>
      <c r="B169" s="14" t="s">
        <v>51</v>
      </c>
      <c r="C169" s="11" t="s">
        <v>254</v>
      </c>
      <c r="D169" s="15">
        <v>120009503</v>
      </c>
      <c r="E169" s="11" t="s">
        <v>80</v>
      </c>
      <c r="F169" s="20">
        <v>42155</v>
      </c>
      <c r="G169" s="16" t="str">
        <f t="shared" si="4"/>
        <v>May</v>
      </c>
      <c r="H169" s="2">
        <f t="shared" ca="1" si="5"/>
        <v>4</v>
      </c>
      <c r="I169" s="17" t="s">
        <v>71</v>
      </c>
      <c r="J169" s="18">
        <v>64476</v>
      </c>
      <c r="K169" s="19">
        <v>3</v>
      </c>
    </row>
    <row r="170" spans="1:11" x14ac:dyDescent="0.2">
      <c r="A170" s="11" t="s">
        <v>755</v>
      </c>
      <c r="B170" s="14" t="s">
        <v>36</v>
      </c>
      <c r="C170" s="11" t="s">
        <v>478</v>
      </c>
      <c r="D170" s="15">
        <v>723000767</v>
      </c>
      <c r="E170" s="11" t="s">
        <v>29</v>
      </c>
      <c r="F170" s="20">
        <v>43169</v>
      </c>
      <c r="G170" s="16" t="str">
        <f t="shared" si="4"/>
        <v>March</v>
      </c>
      <c r="H170" s="2">
        <f t="shared" ca="1" si="5"/>
        <v>1</v>
      </c>
      <c r="I170" s="17" t="s">
        <v>30</v>
      </c>
      <c r="J170" s="18">
        <v>36788</v>
      </c>
      <c r="K170" s="19">
        <v>5</v>
      </c>
    </row>
    <row r="171" spans="1:11" x14ac:dyDescent="0.2">
      <c r="A171" s="11" t="s">
        <v>415</v>
      </c>
      <c r="B171" s="14" t="s">
        <v>27</v>
      </c>
      <c r="C171" s="11" t="s">
        <v>59</v>
      </c>
      <c r="D171" s="15">
        <v>536006131</v>
      </c>
      <c r="E171" s="11" t="s">
        <v>29</v>
      </c>
      <c r="F171" s="20">
        <v>43326</v>
      </c>
      <c r="G171" s="16" t="str">
        <f t="shared" si="4"/>
        <v>August</v>
      </c>
      <c r="H171" s="2">
        <f t="shared" ca="1" si="5"/>
        <v>0</v>
      </c>
      <c r="I171" s="17" t="s">
        <v>30</v>
      </c>
      <c r="J171" s="18">
        <v>57537</v>
      </c>
      <c r="K171" s="19">
        <v>3</v>
      </c>
    </row>
    <row r="172" spans="1:11" x14ac:dyDescent="0.2">
      <c r="A172" s="11" t="s">
        <v>522</v>
      </c>
      <c r="B172" s="14" t="s">
        <v>43</v>
      </c>
      <c r="C172" s="11" t="s">
        <v>214</v>
      </c>
      <c r="D172" s="15">
        <v>561008668</v>
      </c>
      <c r="E172" s="11" t="s">
        <v>29</v>
      </c>
      <c r="F172" s="20">
        <v>41665</v>
      </c>
      <c r="G172" s="16" t="str">
        <f t="shared" si="4"/>
        <v>January</v>
      </c>
      <c r="H172" s="2">
        <f t="shared" ca="1" si="5"/>
        <v>5</v>
      </c>
      <c r="I172" s="17" t="s">
        <v>87</v>
      </c>
      <c r="J172" s="18">
        <v>103388</v>
      </c>
      <c r="K172" s="19">
        <v>1</v>
      </c>
    </row>
    <row r="173" spans="1:11" x14ac:dyDescent="0.2">
      <c r="A173" s="11" t="s">
        <v>618</v>
      </c>
      <c r="B173" s="14" t="s">
        <v>27</v>
      </c>
      <c r="C173" s="11" t="s">
        <v>152</v>
      </c>
      <c r="D173" s="15">
        <v>287006507</v>
      </c>
      <c r="E173" s="11" t="s">
        <v>80</v>
      </c>
      <c r="F173" s="20">
        <v>36861</v>
      </c>
      <c r="G173" s="16" t="str">
        <f t="shared" si="4"/>
        <v>December</v>
      </c>
      <c r="H173" s="2">
        <f t="shared" ca="1" si="5"/>
        <v>18</v>
      </c>
      <c r="I173" s="17" t="s">
        <v>47</v>
      </c>
      <c r="J173" s="18">
        <v>26912</v>
      </c>
      <c r="K173" s="19">
        <v>1</v>
      </c>
    </row>
    <row r="174" spans="1:11" x14ac:dyDescent="0.2">
      <c r="A174" s="11" t="s">
        <v>1358</v>
      </c>
      <c r="B174" s="14" t="s">
        <v>19</v>
      </c>
      <c r="C174" s="11" t="s">
        <v>152</v>
      </c>
      <c r="D174" s="15">
        <v>916004119</v>
      </c>
      <c r="E174" s="11" t="s">
        <v>21</v>
      </c>
      <c r="F174" s="20">
        <v>39955</v>
      </c>
      <c r="G174" s="16" t="str">
        <f t="shared" si="4"/>
        <v>May</v>
      </c>
      <c r="H174" s="2">
        <f t="shared" ca="1" si="5"/>
        <v>10</v>
      </c>
      <c r="I174" s="17"/>
      <c r="J174" s="18">
        <v>38165</v>
      </c>
      <c r="K174" s="19">
        <v>5</v>
      </c>
    </row>
    <row r="175" spans="1:11" x14ac:dyDescent="0.2">
      <c r="A175" s="11" t="s">
        <v>1474</v>
      </c>
      <c r="B175" s="14" t="s">
        <v>27</v>
      </c>
      <c r="C175" s="11" t="s">
        <v>214</v>
      </c>
      <c r="D175" s="15">
        <v>564008088</v>
      </c>
      <c r="E175" s="11" t="s">
        <v>29</v>
      </c>
      <c r="F175" s="20">
        <v>41233</v>
      </c>
      <c r="G175" s="16" t="str">
        <f t="shared" si="4"/>
        <v>November</v>
      </c>
      <c r="H175" s="2">
        <f t="shared" ca="1" si="5"/>
        <v>6</v>
      </c>
      <c r="I175" s="17" t="s">
        <v>47</v>
      </c>
      <c r="J175" s="18">
        <v>118476</v>
      </c>
      <c r="K175" s="19">
        <v>1</v>
      </c>
    </row>
    <row r="176" spans="1:11" x14ac:dyDescent="0.2">
      <c r="A176" s="11" t="s">
        <v>1260</v>
      </c>
      <c r="B176" s="14" t="s">
        <v>27</v>
      </c>
      <c r="C176" s="11" t="s">
        <v>52</v>
      </c>
      <c r="D176" s="15">
        <v>195005117</v>
      </c>
      <c r="E176" s="11" t="s">
        <v>56</v>
      </c>
      <c r="F176" s="20">
        <v>38529</v>
      </c>
      <c r="G176" s="16" t="str">
        <f t="shared" si="4"/>
        <v>June</v>
      </c>
      <c r="H176" s="2">
        <f t="shared" ca="1" si="5"/>
        <v>13</v>
      </c>
      <c r="I176" s="17"/>
      <c r="J176" s="18">
        <v>17113</v>
      </c>
      <c r="K176" s="19">
        <v>2</v>
      </c>
    </row>
    <row r="177" spans="1:11" x14ac:dyDescent="0.2">
      <c r="A177" s="11" t="s">
        <v>542</v>
      </c>
      <c r="B177" s="14" t="s">
        <v>19</v>
      </c>
      <c r="C177" s="11" t="s">
        <v>214</v>
      </c>
      <c r="D177" s="15">
        <v>506007536</v>
      </c>
      <c r="E177" s="11" t="s">
        <v>56</v>
      </c>
      <c r="F177" s="20">
        <v>39161</v>
      </c>
      <c r="G177" s="16" t="str">
        <f t="shared" si="4"/>
        <v>March</v>
      </c>
      <c r="H177" s="2">
        <f t="shared" ca="1" si="5"/>
        <v>12</v>
      </c>
      <c r="I177" s="17"/>
      <c r="J177" s="18">
        <v>12722</v>
      </c>
      <c r="K177" s="19">
        <v>4</v>
      </c>
    </row>
    <row r="178" spans="1:11" x14ac:dyDescent="0.2">
      <c r="A178" s="11" t="s">
        <v>616</v>
      </c>
      <c r="B178" s="14" t="s">
        <v>19</v>
      </c>
      <c r="C178" s="11" t="s">
        <v>152</v>
      </c>
      <c r="D178" s="15">
        <v>693004759</v>
      </c>
      <c r="E178" s="11" t="s">
        <v>29</v>
      </c>
      <c r="F178" s="20">
        <v>36662</v>
      </c>
      <c r="G178" s="16" t="str">
        <f t="shared" si="4"/>
        <v>May</v>
      </c>
      <c r="H178" s="2">
        <f t="shared" ca="1" si="5"/>
        <v>19</v>
      </c>
      <c r="I178" s="17" t="s">
        <v>87</v>
      </c>
      <c r="J178" s="18">
        <v>84753</v>
      </c>
      <c r="K178" s="19">
        <v>3</v>
      </c>
    </row>
    <row r="179" spans="1:11" x14ac:dyDescent="0.2">
      <c r="A179" s="11" t="s">
        <v>675</v>
      </c>
      <c r="B179" s="14" t="s">
        <v>36</v>
      </c>
      <c r="C179" s="11" t="s">
        <v>214</v>
      </c>
      <c r="D179" s="15">
        <v>596001549</v>
      </c>
      <c r="E179" s="11" t="s">
        <v>21</v>
      </c>
      <c r="F179" s="20">
        <v>39206</v>
      </c>
      <c r="G179" s="16" t="str">
        <f t="shared" si="4"/>
        <v>May</v>
      </c>
      <c r="H179" s="2">
        <f t="shared" ca="1" si="5"/>
        <v>12</v>
      </c>
      <c r="I179" s="17"/>
      <c r="J179" s="18">
        <v>36963</v>
      </c>
      <c r="K179" s="19">
        <v>3</v>
      </c>
    </row>
    <row r="180" spans="1:11" x14ac:dyDescent="0.2">
      <c r="A180" s="11" t="s">
        <v>986</v>
      </c>
      <c r="B180" s="14" t="s">
        <v>43</v>
      </c>
      <c r="C180" s="11" t="s">
        <v>136</v>
      </c>
      <c r="D180" s="15">
        <v>476003591</v>
      </c>
      <c r="E180" s="11" t="s">
        <v>29</v>
      </c>
      <c r="F180" s="20">
        <v>37845</v>
      </c>
      <c r="G180" s="16" t="str">
        <f t="shared" si="4"/>
        <v>August</v>
      </c>
      <c r="H180" s="2">
        <f t="shared" ca="1" si="5"/>
        <v>15</v>
      </c>
      <c r="I180" s="17" t="s">
        <v>47</v>
      </c>
      <c r="J180" s="18">
        <v>68270</v>
      </c>
      <c r="K180" s="19">
        <v>4</v>
      </c>
    </row>
    <row r="181" spans="1:11" x14ac:dyDescent="0.2">
      <c r="A181" s="11" t="s">
        <v>1534</v>
      </c>
      <c r="B181" s="14" t="s">
        <v>27</v>
      </c>
      <c r="C181" s="11" t="s">
        <v>152</v>
      </c>
      <c r="D181" s="15">
        <v>794004501</v>
      </c>
      <c r="E181" s="11" t="s">
        <v>21</v>
      </c>
      <c r="F181" s="20">
        <v>43091</v>
      </c>
      <c r="G181" s="16" t="str">
        <f t="shared" si="4"/>
        <v>December</v>
      </c>
      <c r="H181" s="2">
        <f t="shared" ca="1" si="5"/>
        <v>1</v>
      </c>
      <c r="I181" s="17"/>
      <c r="J181" s="18">
        <v>108984</v>
      </c>
      <c r="K181" s="19">
        <v>3</v>
      </c>
    </row>
    <row r="182" spans="1:11" x14ac:dyDescent="0.2">
      <c r="A182" s="4" t="s">
        <v>1384</v>
      </c>
      <c r="B182" s="14" t="s">
        <v>27</v>
      </c>
      <c r="C182" s="11" t="s">
        <v>136</v>
      </c>
      <c r="D182" s="15">
        <v>394006677</v>
      </c>
      <c r="E182" s="11" t="s">
        <v>29</v>
      </c>
      <c r="F182" s="20">
        <v>38472</v>
      </c>
      <c r="G182" s="16" t="str">
        <f t="shared" si="4"/>
        <v>April</v>
      </c>
      <c r="H182" s="2">
        <f t="shared" ca="1" si="5"/>
        <v>14</v>
      </c>
      <c r="I182" s="17" t="s">
        <v>30</v>
      </c>
      <c r="J182" s="18">
        <v>45981</v>
      </c>
      <c r="K182" s="19">
        <v>2</v>
      </c>
    </row>
    <row r="183" spans="1:11" x14ac:dyDescent="0.2">
      <c r="A183" s="11" t="s">
        <v>1032</v>
      </c>
      <c r="B183" s="14" t="s">
        <v>19</v>
      </c>
      <c r="C183" s="11" t="s">
        <v>336</v>
      </c>
      <c r="D183" s="15">
        <v>999009446</v>
      </c>
      <c r="E183" s="11" t="s">
        <v>29</v>
      </c>
      <c r="F183" s="20">
        <v>38185</v>
      </c>
      <c r="G183" s="16" t="str">
        <f t="shared" si="4"/>
        <v>July</v>
      </c>
      <c r="H183" s="2">
        <f t="shared" ca="1" si="5"/>
        <v>14</v>
      </c>
      <c r="I183" s="17" t="s">
        <v>47</v>
      </c>
      <c r="J183" s="18">
        <v>90099</v>
      </c>
      <c r="K183" s="19">
        <v>2</v>
      </c>
    </row>
    <row r="184" spans="1:11" x14ac:dyDescent="0.2">
      <c r="A184" s="11" t="s">
        <v>962</v>
      </c>
      <c r="B184" s="14" t="s">
        <v>51</v>
      </c>
      <c r="C184" s="11" t="s">
        <v>214</v>
      </c>
      <c r="D184" s="15">
        <v>944003994</v>
      </c>
      <c r="E184" s="11" t="s">
        <v>29</v>
      </c>
      <c r="F184" s="20">
        <v>37641</v>
      </c>
      <c r="G184" s="16" t="str">
        <f t="shared" si="4"/>
        <v>January</v>
      </c>
      <c r="H184" s="2">
        <f t="shared" ca="1" si="5"/>
        <v>16</v>
      </c>
      <c r="I184" s="17" t="s">
        <v>47</v>
      </c>
      <c r="J184" s="18">
        <v>32805</v>
      </c>
      <c r="K184" s="19">
        <v>3</v>
      </c>
    </row>
    <row r="185" spans="1:11" x14ac:dyDescent="0.2">
      <c r="A185" s="11" t="s">
        <v>568</v>
      </c>
      <c r="B185" s="14" t="s">
        <v>36</v>
      </c>
      <c r="C185" s="11" t="s">
        <v>214</v>
      </c>
      <c r="D185" s="15">
        <v>590006401</v>
      </c>
      <c r="E185" s="11" t="s">
        <v>29</v>
      </c>
      <c r="F185" s="20">
        <v>41177</v>
      </c>
      <c r="G185" s="16" t="str">
        <f t="shared" si="4"/>
        <v>September</v>
      </c>
      <c r="H185" s="2">
        <f t="shared" ca="1" si="5"/>
        <v>6</v>
      </c>
      <c r="I185" s="17" t="s">
        <v>87</v>
      </c>
      <c r="J185" s="18">
        <v>95526</v>
      </c>
      <c r="K185" s="19">
        <v>1</v>
      </c>
    </row>
    <row r="186" spans="1:11" x14ac:dyDescent="0.2">
      <c r="A186" s="11" t="s">
        <v>42</v>
      </c>
      <c r="B186" s="14" t="s">
        <v>43</v>
      </c>
      <c r="C186" s="4" t="s">
        <v>37</v>
      </c>
      <c r="D186" s="22">
        <v>948005711</v>
      </c>
      <c r="E186" s="4" t="s">
        <v>21</v>
      </c>
      <c r="F186" s="20">
        <v>42003</v>
      </c>
      <c r="G186" s="16" t="str">
        <f t="shared" si="4"/>
        <v>December</v>
      </c>
      <c r="H186" s="2">
        <f t="shared" ca="1" si="5"/>
        <v>4</v>
      </c>
      <c r="I186" s="17"/>
      <c r="J186" s="18">
        <v>57429</v>
      </c>
      <c r="K186" s="19">
        <v>5</v>
      </c>
    </row>
    <row r="187" spans="1:11" x14ac:dyDescent="0.2">
      <c r="A187" s="11" t="s">
        <v>435</v>
      </c>
      <c r="B187" s="14" t="s">
        <v>19</v>
      </c>
      <c r="C187" s="11" t="s">
        <v>205</v>
      </c>
      <c r="D187" s="15">
        <v>351008538</v>
      </c>
      <c r="E187" s="11" t="s">
        <v>56</v>
      </c>
      <c r="F187" s="20">
        <v>39375</v>
      </c>
      <c r="G187" s="16" t="str">
        <f t="shared" si="4"/>
        <v>October</v>
      </c>
      <c r="H187" s="2">
        <f t="shared" ca="1" si="5"/>
        <v>11</v>
      </c>
      <c r="I187" s="17" t="s">
        <v>30</v>
      </c>
      <c r="J187" s="18">
        <v>83511</v>
      </c>
      <c r="K187" s="19">
        <v>5</v>
      </c>
    </row>
    <row r="188" spans="1:11" x14ac:dyDescent="0.2">
      <c r="A188" s="11" t="s">
        <v>1150</v>
      </c>
      <c r="B188" s="14" t="s">
        <v>43</v>
      </c>
      <c r="C188" s="11" t="s">
        <v>136</v>
      </c>
      <c r="D188" s="15">
        <v>174009111</v>
      </c>
      <c r="E188" s="11" t="s">
        <v>29</v>
      </c>
      <c r="F188" s="20">
        <v>38142</v>
      </c>
      <c r="G188" s="16" t="str">
        <f t="shared" si="4"/>
        <v>June</v>
      </c>
      <c r="H188" s="2">
        <f t="shared" ca="1" si="5"/>
        <v>15</v>
      </c>
      <c r="I188" s="17" t="s">
        <v>87</v>
      </c>
      <c r="J188" s="18">
        <v>98145</v>
      </c>
      <c r="K188" s="19">
        <v>5</v>
      </c>
    </row>
    <row r="189" spans="1:11" x14ac:dyDescent="0.2">
      <c r="A189" s="11" t="s">
        <v>323</v>
      </c>
      <c r="B189" s="14" t="s">
        <v>19</v>
      </c>
      <c r="C189" s="11" t="s">
        <v>136</v>
      </c>
      <c r="D189" s="15">
        <v>880007384</v>
      </c>
      <c r="E189" s="11" t="s">
        <v>29</v>
      </c>
      <c r="F189" s="20">
        <v>36382</v>
      </c>
      <c r="G189" s="16" t="str">
        <f t="shared" si="4"/>
        <v>August</v>
      </c>
      <c r="H189" s="2">
        <f t="shared" ca="1" si="5"/>
        <v>19</v>
      </c>
      <c r="I189" s="17" t="s">
        <v>38</v>
      </c>
      <c r="J189" s="18">
        <v>107190</v>
      </c>
      <c r="K189" s="19">
        <v>4</v>
      </c>
    </row>
    <row r="190" spans="1:11" x14ac:dyDescent="0.2">
      <c r="A190" s="11" t="s">
        <v>1254</v>
      </c>
      <c r="B190" s="14" t="s">
        <v>27</v>
      </c>
      <c r="C190" s="11" t="s">
        <v>145</v>
      </c>
      <c r="D190" s="15">
        <v>489007166</v>
      </c>
      <c r="E190" s="11" t="s">
        <v>29</v>
      </c>
      <c r="F190" s="20">
        <v>39263</v>
      </c>
      <c r="G190" s="16" t="str">
        <f t="shared" si="4"/>
        <v>June</v>
      </c>
      <c r="H190" s="2">
        <f t="shared" ca="1" si="5"/>
        <v>11</v>
      </c>
      <c r="I190" s="17" t="s">
        <v>87</v>
      </c>
      <c r="J190" s="18">
        <v>61938</v>
      </c>
      <c r="K190" s="19">
        <v>5</v>
      </c>
    </row>
    <row r="191" spans="1:11" x14ac:dyDescent="0.2">
      <c r="A191" s="11" t="s">
        <v>1178</v>
      </c>
      <c r="B191" s="14" t="s">
        <v>19</v>
      </c>
      <c r="C191" s="11" t="s">
        <v>145</v>
      </c>
      <c r="D191" s="15">
        <v>562007973</v>
      </c>
      <c r="E191" s="11" t="s">
        <v>29</v>
      </c>
      <c r="F191" s="20">
        <v>38212</v>
      </c>
      <c r="G191" s="16" t="str">
        <f t="shared" si="4"/>
        <v>August</v>
      </c>
      <c r="H191" s="2">
        <f t="shared" ca="1" si="5"/>
        <v>14</v>
      </c>
      <c r="I191" s="17" t="s">
        <v>87</v>
      </c>
      <c r="J191" s="18">
        <v>85091</v>
      </c>
      <c r="K191" s="19">
        <v>1</v>
      </c>
    </row>
    <row r="192" spans="1:11" x14ac:dyDescent="0.2">
      <c r="A192" s="11" t="s">
        <v>258</v>
      </c>
      <c r="B192" s="14" t="s">
        <v>43</v>
      </c>
      <c r="C192" s="11" t="s">
        <v>254</v>
      </c>
      <c r="D192" s="15">
        <v>294000565</v>
      </c>
      <c r="E192" s="11" t="s">
        <v>29</v>
      </c>
      <c r="F192" s="20">
        <v>36492</v>
      </c>
      <c r="G192" s="16" t="str">
        <f t="shared" si="4"/>
        <v>November</v>
      </c>
      <c r="H192" s="2">
        <f t="shared" ca="1" si="5"/>
        <v>19</v>
      </c>
      <c r="I192" s="17" t="s">
        <v>47</v>
      </c>
      <c r="J192" s="18">
        <v>35586</v>
      </c>
      <c r="K192" s="19">
        <v>1</v>
      </c>
    </row>
    <row r="193" spans="1:11" x14ac:dyDescent="0.2">
      <c r="A193" s="11" t="s">
        <v>1434</v>
      </c>
      <c r="B193" s="14" t="s">
        <v>19</v>
      </c>
      <c r="C193" s="11" t="s">
        <v>214</v>
      </c>
      <c r="D193" s="15">
        <v>462005574</v>
      </c>
      <c r="E193" s="11" t="s">
        <v>29</v>
      </c>
      <c r="F193" s="20">
        <v>38957</v>
      </c>
      <c r="G193" s="16" t="str">
        <f t="shared" si="4"/>
        <v>August</v>
      </c>
      <c r="H193" s="2">
        <f t="shared" ca="1" si="5"/>
        <v>12</v>
      </c>
      <c r="I193" s="17" t="s">
        <v>47</v>
      </c>
      <c r="J193" s="18">
        <v>119124</v>
      </c>
      <c r="K193" s="19">
        <v>5</v>
      </c>
    </row>
    <row r="194" spans="1:11" x14ac:dyDescent="0.2">
      <c r="A194" s="11" t="s">
        <v>894</v>
      </c>
      <c r="B194" s="14" t="s">
        <v>83</v>
      </c>
      <c r="C194" s="11" t="s">
        <v>136</v>
      </c>
      <c r="D194" s="15">
        <v>422003024</v>
      </c>
      <c r="E194" s="11" t="s">
        <v>29</v>
      </c>
      <c r="F194" s="20">
        <v>37549</v>
      </c>
      <c r="G194" s="16" t="str">
        <f t="shared" ref="G194:G257" si="6">CHOOSE(MONTH(F194),"January","February","March","April","May","June","July","August","September","October","November","December")</f>
        <v>October</v>
      </c>
      <c r="H194" s="2">
        <f t="shared" ref="H194:H257" ca="1" si="7">DATEDIF(F194,TODAY(),"Y")</f>
        <v>16</v>
      </c>
      <c r="I194" s="17" t="s">
        <v>87</v>
      </c>
      <c r="J194" s="18">
        <v>119907</v>
      </c>
      <c r="K194" s="19">
        <v>2</v>
      </c>
    </row>
    <row r="195" spans="1:11" x14ac:dyDescent="0.2">
      <c r="A195" s="11" t="s">
        <v>283</v>
      </c>
      <c r="B195" s="14" t="s">
        <v>19</v>
      </c>
      <c r="C195" s="11" t="s">
        <v>254</v>
      </c>
      <c r="D195" s="15">
        <v>617005992</v>
      </c>
      <c r="E195" s="11" t="s">
        <v>29</v>
      </c>
      <c r="F195" s="20">
        <v>36434</v>
      </c>
      <c r="G195" s="16" t="str">
        <f t="shared" si="6"/>
        <v>October</v>
      </c>
      <c r="H195" s="2">
        <f t="shared" ca="1" si="7"/>
        <v>19</v>
      </c>
      <c r="I195" s="17" t="s">
        <v>47</v>
      </c>
      <c r="J195" s="18">
        <v>58833</v>
      </c>
      <c r="K195" s="19">
        <v>5</v>
      </c>
    </row>
    <row r="196" spans="1:11" x14ac:dyDescent="0.2">
      <c r="A196" s="11" t="s">
        <v>427</v>
      </c>
      <c r="B196" s="14" t="s">
        <v>27</v>
      </c>
      <c r="C196" s="11" t="s">
        <v>20</v>
      </c>
      <c r="D196" s="15">
        <v>667002117</v>
      </c>
      <c r="E196" s="11" t="s">
        <v>29</v>
      </c>
      <c r="F196" s="20">
        <v>36602</v>
      </c>
      <c r="G196" s="16" t="str">
        <f t="shared" si="6"/>
        <v>March</v>
      </c>
      <c r="H196" s="2">
        <f t="shared" ca="1" si="7"/>
        <v>19</v>
      </c>
      <c r="I196" s="17" t="s">
        <v>87</v>
      </c>
      <c r="J196" s="18">
        <v>42971</v>
      </c>
      <c r="K196" s="19">
        <v>3</v>
      </c>
    </row>
    <row r="197" spans="1:11" x14ac:dyDescent="0.2">
      <c r="A197" s="11" t="s">
        <v>651</v>
      </c>
      <c r="B197" s="14" t="s">
        <v>27</v>
      </c>
      <c r="C197" s="11" t="s">
        <v>214</v>
      </c>
      <c r="D197" s="15">
        <v>110007055</v>
      </c>
      <c r="E197" s="11" t="s">
        <v>80</v>
      </c>
      <c r="F197" s="20">
        <v>39216</v>
      </c>
      <c r="G197" s="16" t="str">
        <f t="shared" si="6"/>
        <v>May</v>
      </c>
      <c r="H197" s="2">
        <f t="shared" ca="1" si="7"/>
        <v>12</v>
      </c>
      <c r="I197" s="17" t="s">
        <v>30</v>
      </c>
      <c r="J197" s="18">
        <v>14938</v>
      </c>
      <c r="K197" s="19">
        <v>1</v>
      </c>
    </row>
    <row r="198" spans="1:11" x14ac:dyDescent="0.2">
      <c r="A198" s="11" t="s">
        <v>366</v>
      </c>
      <c r="B198" s="14" t="s">
        <v>19</v>
      </c>
      <c r="C198" s="11" t="s">
        <v>59</v>
      </c>
      <c r="D198" s="15">
        <v>282002141</v>
      </c>
      <c r="E198" s="11" t="s">
        <v>21</v>
      </c>
      <c r="F198" s="20">
        <v>38795</v>
      </c>
      <c r="G198" s="16" t="str">
        <f t="shared" si="6"/>
        <v>March</v>
      </c>
      <c r="H198" s="2">
        <f t="shared" ca="1" si="7"/>
        <v>13</v>
      </c>
      <c r="I198" s="17"/>
      <c r="J198" s="18">
        <v>33912</v>
      </c>
      <c r="K198" s="19">
        <v>5</v>
      </c>
    </row>
    <row r="199" spans="1:11" x14ac:dyDescent="0.2">
      <c r="A199" s="11" t="s">
        <v>198</v>
      </c>
      <c r="B199" s="14" t="s">
        <v>19</v>
      </c>
      <c r="C199" s="11" t="s">
        <v>20</v>
      </c>
      <c r="D199" s="15">
        <v>831008207</v>
      </c>
      <c r="E199" s="11" t="s">
        <v>29</v>
      </c>
      <c r="F199" s="20">
        <v>40097</v>
      </c>
      <c r="G199" s="16" t="str">
        <f t="shared" si="6"/>
        <v>October</v>
      </c>
      <c r="H199" s="2">
        <f t="shared" ca="1" si="7"/>
        <v>9</v>
      </c>
      <c r="I199" s="17" t="s">
        <v>47</v>
      </c>
      <c r="J199" s="18">
        <v>97133</v>
      </c>
      <c r="K199" s="19">
        <v>5</v>
      </c>
    </row>
    <row r="200" spans="1:11" x14ac:dyDescent="0.2">
      <c r="A200" s="11" t="s">
        <v>1142</v>
      </c>
      <c r="B200" s="14" t="s">
        <v>83</v>
      </c>
      <c r="C200" s="11" t="s">
        <v>254</v>
      </c>
      <c r="D200" s="15">
        <v>577009513</v>
      </c>
      <c r="E200" s="11" t="s">
        <v>29</v>
      </c>
      <c r="F200" s="20">
        <v>37989</v>
      </c>
      <c r="G200" s="16" t="str">
        <f t="shared" si="6"/>
        <v>January</v>
      </c>
      <c r="H200" s="2">
        <f t="shared" ca="1" si="7"/>
        <v>15</v>
      </c>
      <c r="I200" s="17" t="s">
        <v>30</v>
      </c>
      <c r="J200" s="18">
        <v>85158</v>
      </c>
      <c r="K200" s="19">
        <v>5</v>
      </c>
    </row>
    <row r="201" spans="1:11" x14ac:dyDescent="0.2">
      <c r="A201" s="11" t="s">
        <v>705</v>
      </c>
      <c r="B201" s="14" t="s">
        <v>83</v>
      </c>
      <c r="C201" s="11" t="s">
        <v>214</v>
      </c>
      <c r="D201" s="15">
        <v>826000563</v>
      </c>
      <c r="E201" s="11" t="s">
        <v>21</v>
      </c>
      <c r="F201" s="20">
        <v>39560</v>
      </c>
      <c r="G201" s="16" t="str">
        <f t="shared" si="6"/>
        <v>April</v>
      </c>
      <c r="H201" s="2">
        <f t="shared" ca="1" si="7"/>
        <v>11</v>
      </c>
      <c r="I201" s="17"/>
      <c r="J201" s="18">
        <v>77976</v>
      </c>
      <c r="K201" s="19">
        <v>3</v>
      </c>
    </row>
    <row r="202" spans="1:11" x14ac:dyDescent="0.2">
      <c r="A202" s="11" t="s">
        <v>1200</v>
      </c>
      <c r="B202" s="14" t="s">
        <v>27</v>
      </c>
      <c r="C202" s="11" t="s">
        <v>152</v>
      </c>
      <c r="D202" s="15">
        <v>101009876</v>
      </c>
      <c r="E202" s="11" t="s">
        <v>56</v>
      </c>
      <c r="F202" s="20">
        <v>38103</v>
      </c>
      <c r="G202" s="16" t="str">
        <f t="shared" si="6"/>
        <v>April</v>
      </c>
      <c r="H202" s="2">
        <f t="shared" ca="1" si="7"/>
        <v>15</v>
      </c>
      <c r="I202" s="17"/>
      <c r="J202" s="18">
        <v>45565</v>
      </c>
      <c r="K202" s="19">
        <v>3</v>
      </c>
    </row>
    <row r="203" spans="1:11" x14ac:dyDescent="0.2">
      <c r="A203" s="11" t="s">
        <v>1316</v>
      </c>
      <c r="B203" s="14" t="s">
        <v>51</v>
      </c>
      <c r="C203" s="11" t="s">
        <v>214</v>
      </c>
      <c r="D203" s="15">
        <v>696005191</v>
      </c>
      <c r="E203" s="11" t="s">
        <v>29</v>
      </c>
      <c r="F203" s="20">
        <v>38447</v>
      </c>
      <c r="G203" s="16" t="str">
        <f t="shared" si="6"/>
        <v>April</v>
      </c>
      <c r="H203" s="2">
        <f t="shared" ca="1" si="7"/>
        <v>14</v>
      </c>
      <c r="I203" s="17" t="s">
        <v>30</v>
      </c>
      <c r="J203" s="18">
        <v>82553</v>
      </c>
      <c r="K203" s="19">
        <v>2</v>
      </c>
    </row>
    <row r="204" spans="1:11" x14ac:dyDescent="0.2">
      <c r="A204" s="11" t="s">
        <v>1116</v>
      </c>
      <c r="B204" s="14" t="s">
        <v>19</v>
      </c>
      <c r="C204" s="11" t="s">
        <v>249</v>
      </c>
      <c r="D204" s="15">
        <v>788002967</v>
      </c>
      <c r="E204" s="11" t="s">
        <v>56</v>
      </c>
      <c r="F204" s="20">
        <v>38237</v>
      </c>
      <c r="G204" s="16" t="str">
        <f t="shared" si="6"/>
        <v>September</v>
      </c>
      <c r="H204" s="2">
        <f t="shared" ca="1" si="7"/>
        <v>14</v>
      </c>
      <c r="I204" s="17"/>
      <c r="J204" s="18">
        <v>47671</v>
      </c>
      <c r="K204" s="19">
        <v>3</v>
      </c>
    </row>
    <row r="205" spans="1:11" x14ac:dyDescent="0.2">
      <c r="A205" s="11" t="s">
        <v>528</v>
      </c>
      <c r="B205" s="14" t="s">
        <v>36</v>
      </c>
      <c r="C205" s="11" t="s">
        <v>214</v>
      </c>
      <c r="D205" s="15">
        <v>143004593</v>
      </c>
      <c r="E205" s="11" t="s">
        <v>21</v>
      </c>
      <c r="F205" s="20">
        <v>40676</v>
      </c>
      <c r="G205" s="16" t="str">
        <f t="shared" si="6"/>
        <v>May</v>
      </c>
      <c r="H205" s="2">
        <f t="shared" ca="1" si="7"/>
        <v>8</v>
      </c>
      <c r="I205" s="17"/>
      <c r="J205" s="18">
        <v>101817</v>
      </c>
      <c r="K205" s="19">
        <v>1</v>
      </c>
    </row>
    <row r="206" spans="1:11" x14ac:dyDescent="0.2">
      <c r="A206" s="11" t="s">
        <v>1164</v>
      </c>
      <c r="B206" s="14" t="s">
        <v>19</v>
      </c>
      <c r="C206" s="11" t="s">
        <v>136</v>
      </c>
      <c r="D206" s="15">
        <v>339008599</v>
      </c>
      <c r="E206" s="11" t="s">
        <v>21</v>
      </c>
      <c r="F206" s="20">
        <v>40260</v>
      </c>
      <c r="G206" s="16" t="str">
        <f t="shared" si="6"/>
        <v>March</v>
      </c>
      <c r="H206" s="2">
        <f t="shared" ca="1" si="7"/>
        <v>9</v>
      </c>
      <c r="I206" s="17"/>
      <c r="J206" s="18">
        <v>81095</v>
      </c>
      <c r="K206" s="19">
        <v>3</v>
      </c>
    </row>
    <row r="207" spans="1:11" x14ac:dyDescent="0.2">
      <c r="A207" s="11" t="s">
        <v>896</v>
      </c>
      <c r="B207" s="14" t="s">
        <v>19</v>
      </c>
      <c r="C207" s="11" t="s">
        <v>249</v>
      </c>
      <c r="D207" s="15">
        <v>797001044</v>
      </c>
      <c r="E207" s="11" t="s">
        <v>56</v>
      </c>
      <c r="F207" s="20">
        <v>38940</v>
      </c>
      <c r="G207" s="16" t="str">
        <f t="shared" si="6"/>
        <v>August</v>
      </c>
      <c r="H207" s="2">
        <f t="shared" ca="1" si="7"/>
        <v>12</v>
      </c>
      <c r="I207" s="17"/>
      <c r="J207" s="18">
        <v>29252</v>
      </c>
      <c r="K207" s="19">
        <v>4</v>
      </c>
    </row>
    <row r="208" spans="1:11" x14ac:dyDescent="0.2">
      <c r="A208" s="11" t="s">
        <v>813</v>
      </c>
      <c r="B208" s="14" t="s">
        <v>36</v>
      </c>
      <c r="C208" s="11" t="s">
        <v>86</v>
      </c>
      <c r="D208" s="15">
        <v>506005137</v>
      </c>
      <c r="E208" s="11" t="s">
        <v>29</v>
      </c>
      <c r="F208" s="20">
        <v>42939</v>
      </c>
      <c r="G208" s="16" t="str">
        <f t="shared" si="6"/>
        <v>July</v>
      </c>
      <c r="H208" s="2">
        <f t="shared" ca="1" si="7"/>
        <v>1</v>
      </c>
      <c r="I208" s="17" t="s">
        <v>30</v>
      </c>
      <c r="J208" s="18">
        <v>59603</v>
      </c>
      <c r="K208" s="19">
        <v>4</v>
      </c>
    </row>
    <row r="209" spans="1:11" x14ac:dyDescent="0.2">
      <c r="A209" s="11" t="s">
        <v>669</v>
      </c>
      <c r="B209" s="14" t="s">
        <v>43</v>
      </c>
      <c r="C209" s="11" t="s">
        <v>59</v>
      </c>
      <c r="D209" s="15">
        <v>932007692</v>
      </c>
      <c r="E209" s="11" t="s">
        <v>21</v>
      </c>
      <c r="F209" s="20">
        <v>37017</v>
      </c>
      <c r="G209" s="16" t="str">
        <f t="shared" si="6"/>
        <v>May</v>
      </c>
      <c r="H209" s="2">
        <f t="shared" ca="1" si="7"/>
        <v>18</v>
      </c>
      <c r="I209" s="17"/>
      <c r="J209" s="18">
        <v>86522</v>
      </c>
      <c r="K209" s="19">
        <v>2</v>
      </c>
    </row>
    <row r="210" spans="1:11" x14ac:dyDescent="0.2">
      <c r="A210" s="11" t="s">
        <v>356</v>
      </c>
      <c r="B210" s="14" t="s">
        <v>19</v>
      </c>
      <c r="C210" s="11" t="s">
        <v>136</v>
      </c>
      <c r="D210" s="15">
        <v>561000671</v>
      </c>
      <c r="E210" s="11" t="s">
        <v>29</v>
      </c>
      <c r="F210" s="20">
        <v>36366</v>
      </c>
      <c r="G210" s="16" t="str">
        <f t="shared" si="6"/>
        <v>July</v>
      </c>
      <c r="H210" s="2">
        <f t="shared" ca="1" si="7"/>
        <v>19</v>
      </c>
      <c r="I210" s="17" t="s">
        <v>87</v>
      </c>
      <c r="J210" s="18">
        <v>73575</v>
      </c>
      <c r="K210" s="19">
        <v>5</v>
      </c>
    </row>
    <row r="211" spans="1:11" x14ac:dyDescent="0.2">
      <c r="A211" s="11" t="s">
        <v>930</v>
      </c>
      <c r="B211" s="14" t="s">
        <v>19</v>
      </c>
      <c r="C211" s="11" t="s">
        <v>20</v>
      </c>
      <c r="D211" s="15">
        <v>147001161</v>
      </c>
      <c r="E211" s="11" t="s">
        <v>29</v>
      </c>
      <c r="F211" s="20">
        <v>37688</v>
      </c>
      <c r="G211" s="16" t="str">
        <f t="shared" si="6"/>
        <v>March</v>
      </c>
      <c r="H211" s="2">
        <f t="shared" ca="1" si="7"/>
        <v>16</v>
      </c>
      <c r="I211" s="17" t="s">
        <v>47</v>
      </c>
      <c r="J211" s="18">
        <v>43079</v>
      </c>
      <c r="K211" s="19">
        <v>5</v>
      </c>
    </row>
    <row r="212" spans="1:11" x14ac:dyDescent="0.2">
      <c r="A212" s="11" t="s">
        <v>1122</v>
      </c>
      <c r="B212" s="14" t="s">
        <v>27</v>
      </c>
      <c r="C212" s="11" t="s">
        <v>136</v>
      </c>
      <c r="D212" s="15">
        <v>765002793</v>
      </c>
      <c r="E212" s="11" t="s">
        <v>29</v>
      </c>
      <c r="F212" s="20">
        <v>42720</v>
      </c>
      <c r="G212" s="16" t="str">
        <f t="shared" si="6"/>
        <v>December</v>
      </c>
      <c r="H212" s="2">
        <f t="shared" ca="1" si="7"/>
        <v>2</v>
      </c>
      <c r="I212" s="17" t="s">
        <v>47</v>
      </c>
      <c r="J212" s="18">
        <v>86832</v>
      </c>
      <c r="K212" s="19">
        <v>5</v>
      </c>
    </row>
    <row r="213" spans="1:11" x14ac:dyDescent="0.2">
      <c r="A213" s="11" t="s">
        <v>851</v>
      </c>
      <c r="B213" s="14" t="s">
        <v>19</v>
      </c>
      <c r="C213" s="11" t="s">
        <v>86</v>
      </c>
      <c r="D213" s="15">
        <v>247006371</v>
      </c>
      <c r="E213" s="11" t="s">
        <v>80</v>
      </c>
      <c r="F213" s="20">
        <v>43207</v>
      </c>
      <c r="G213" s="16" t="str">
        <f t="shared" si="6"/>
        <v>April</v>
      </c>
      <c r="H213" s="2">
        <f t="shared" ca="1" si="7"/>
        <v>1</v>
      </c>
      <c r="I213" s="17" t="s">
        <v>30</v>
      </c>
      <c r="J213" s="18">
        <v>27054</v>
      </c>
      <c r="K213" s="19">
        <v>3</v>
      </c>
    </row>
    <row r="214" spans="1:11" x14ac:dyDescent="0.2">
      <c r="A214" s="11" t="s">
        <v>244</v>
      </c>
      <c r="B214" s="14" t="s">
        <v>51</v>
      </c>
      <c r="C214" s="11" t="s">
        <v>86</v>
      </c>
      <c r="D214" s="15">
        <v>154004918</v>
      </c>
      <c r="E214" s="11" t="s">
        <v>29</v>
      </c>
      <c r="F214" s="20">
        <v>36263</v>
      </c>
      <c r="G214" s="16" t="str">
        <f t="shared" si="6"/>
        <v>April</v>
      </c>
      <c r="H214" s="2">
        <f t="shared" ca="1" si="7"/>
        <v>20</v>
      </c>
      <c r="I214" s="17" t="s">
        <v>47</v>
      </c>
      <c r="J214" s="18">
        <v>30915</v>
      </c>
      <c r="K214" s="19">
        <v>1</v>
      </c>
    </row>
    <row r="215" spans="1:11" x14ac:dyDescent="0.2">
      <c r="A215" s="11" t="s">
        <v>574</v>
      </c>
      <c r="B215" s="14" t="s">
        <v>19</v>
      </c>
      <c r="C215" s="11" t="s">
        <v>214</v>
      </c>
      <c r="D215" s="15">
        <v>384004025</v>
      </c>
      <c r="E215" s="11" t="s">
        <v>21</v>
      </c>
      <c r="F215" s="20">
        <v>39311</v>
      </c>
      <c r="G215" s="16" t="str">
        <f t="shared" si="6"/>
        <v>August</v>
      </c>
      <c r="H215" s="2">
        <f t="shared" ca="1" si="7"/>
        <v>11</v>
      </c>
      <c r="I215" s="17"/>
      <c r="J215" s="18">
        <v>32144</v>
      </c>
      <c r="K215" s="19">
        <v>4</v>
      </c>
    </row>
    <row r="216" spans="1:11" x14ac:dyDescent="0.2">
      <c r="A216" s="11" t="s">
        <v>1012</v>
      </c>
      <c r="B216" s="14" t="s">
        <v>27</v>
      </c>
      <c r="C216" s="11" t="s">
        <v>62</v>
      </c>
      <c r="D216" s="15">
        <v>768001542</v>
      </c>
      <c r="E216" s="11" t="s">
        <v>29</v>
      </c>
      <c r="F216" s="20">
        <v>38320</v>
      </c>
      <c r="G216" s="16" t="str">
        <f t="shared" si="6"/>
        <v>November</v>
      </c>
      <c r="H216" s="2">
        <f t="shared" ca="1" si="7"/>
        <v>14</v>
      </c>
      <c r="I216" s="17" t="s">
        <v>47</v>
      </c>
      <c r="J216" s="18">
        <v>82121</v>
      </c>
      <c r="K216" s="19">
        <v>2</v>
      </c>
    </row>
    <row r="217" spans="1:11" x14ac:dyDescent="0.2">
      <c r="A217" s="11" t="s">
        <v>546</v>
      </c>
      <c r="B217" s="14" t="s">
        <v>43</v>
      </c>
      <c r="C217" s="11" t="s">
        <v>136</v>
      </c>
      <c r="D217" s="15">
        <v>808002612</v>
      </c>
      <c r="E217" s="11" t="s">
        <v>21</v>
      </c>
      <c r="F217" s="20">
        <v>36514</v>
      </c>
      <c r="G217" s="16" t="str">
        <f t="shared" si="6"/>
        <v>December</v>
      </c>
      <c r="H217" s="2">
        <f t="shared" ca="1" si="7"/>
        <v>19</v>
      </c>
      <c r="I217" s="17"/>
      <c r="J217" s="18">
        <v>81743</v>
      </c>
      <c r="K217" s="19">
        <v>2</v>
      </c>
    </row>
    <row r="218" spans="1:11" x14ac:dyDescent="0.2">
      <c r="A218" s="11" t="s">
        <v>1398</v>
      </c>
      <c r="B218" s="14" t="s">
        <v>51</v>
      </c>
      <c r="C218" s="11" t="s">
        <v>152</v>
      </c>
      <c r="D218" s="15">
        <v>759001070</v>
      </c>
      <c r="E218" s="11" t="s">
        <v>29</v>
      </c>
      <c r="F218" s="20">
        <v>39865</v>
      </c>
      <c r="G218" s="16" t="str">
        <f t="shared" si="6"/>
        <v>February</v>
      </c>
      <c r="H218" s="2">
        <f t="shared" ca="1" si="7"/>
        <v>10</v>
      </c>
      <c r="I218" s="17" t="s">
        <v>30</v>
      </c>
      <c r="J218" s="18">
        <v>106259</v>
      </c>
      <c r="K218" s="19">
        <v>2</v>
      </c>
    </row>
    <row r="219" spans="1:11" x14ac:dyDescent="0.2">
      <c r="A219" s="11" t="s">
        <v>1458</v>
      </c>
      <c r="B219" s="14" t="s">
        <v>27</v>
      </c>
      <c r="C219" s="11" t="s">
        <v>20</v>
      </c>
      <c r="D219" s="15">
        <v>333007685</v>
      </c>
      <c r="E219" s="11" t="s">
        <v>29</v>
      </c>
      <c r="F219" s="20">
        <v>40204</v>
      </c>
      <c r="G219" s="16" t="str">
        <f t="shared" si="6"/>
        <v>January</v>
      </c>
      <c r="H219" s="2">
        <f t="shared" ca="1" si="7"/>
        <v>9</v>
      </c>
      <c r="I219" s="17" t="s">
        <v>87</v>
      </c>
      <c r="J219" s="18">
        <v>115938</v>
      </c>
      <c r="K219" s="19">
        <v>3</v>
      </c>
    </row>
    <row r="220" spans="1:11" x14ac:dyDescent="0.2">
      <c r="A220" s="11" t="s">
        <v>948</v>
      </c>
      <c r="B220" s="14" t="s">
        <v>43</v>
      </c>
      <c r="C220" s="11" t="s">
        <v>214</v>
      </c>
      <c r="D220" s="15">
        <v>566006453</v>
      </c>
      <c r="E220" s="11" t="s">
        <v>29</v>
      </c>
      <c r="F220" s="20">
        <v>37876</v>
      </c>
      <c r="G220" s="16" t="str">
        <f t="shared" si="6"/>
        <v>September</v>
      </c>
      <c r="H220" s="2">
        <f t="shared" ca="1" si="7"/>
        <v>15</v>
      </c>
      <c r="I220" s="17" t="s">
        <v>87</v>
      </c>
      <c r="J220" s="18">
        <v>52569</v>
      </c>
      <c r="K220" s="19">
        <v>2</v>
      </c>
    </row>
    <row r="221" spans="1:11" x14ac:dyDescent="0.2">
      <c r="A221" s="11" t="s">
        <v>92</v>
      </c>
      <c r="B221" s="14" t="s">
        <v>83</v>
      </c>
      <c r="C221" s="11" t="s">
        <v>86</v>
      </c>
      <c r="D221" s="15">
        <v>279007202</v>
      </c>
      <c r="E221" s="11" t="s">
        <v>29</v>
      </c>
      <c r="F221" s="20">
        <v>36103</v>
      </c>
      <c r="G221" s="16" t="str">
        <f t="shared" si="6"/>
        <v>November</v>
      </c>
      <c r="H221" s="2">
        <f t="shared" ca="1" si="7"/>
        <v>20</v>
      </c>
      <c r="I221" s="17" t="s">
        <v>47</v>
      </c>
      <c r="J221" s="18">
        <v>84699</v>
      </c>
      <c r="K221" s="19">
        <v>4</v>
      </c>
    </row>
    <row r="222" spans="1:11" x14ac:dyDescent="0.2">
      <c r="A222" s="11" t="s">
        <v>1488</v>
      </c>
      <c r="B222" s="14" t="s">
        <v>27</v>
      </c>
      <c r="C222" s="11" t="s">
        <v>20</v>
      </c>
      <c r="D222" s="15">
        <v>427001310</v>
      </c>
      <c r="E222" s="11" t="s">
        <v>21</v>
      </c>
      <c r="F222" s="20">
        <v>41763</v>
      </c>
      <c r="G222" s="16" t="str">
        <f t="shared" si="6"/>
        <v>May</v>
      </c>
      <c r="H222" s="2">
        <f t="shared" ca="1" si="7"/>
        <v>5</v>
      </c>
      <c r="I222" s="17"/>
      <c r="J222" s="18">
        <v>120569</v>
      </c>
      <c r="K222" s="19">
        <v>5</v>
      </c>
    </row>
    <row r="223" spans="1:11" x14ac:dyDescent="0.2">
      <c r="A223" s="11" t="s">
        <v>789</v>
      </c>
      <c r="B223" s="14" t="s">
        <v>19</v>
      </c>
      <c r="C223" s="11" t="s">
        <v>86</v>
      </c>
      <c r="D223" s="15">
        <v>999006829</v>
      </c>
      <c r="E223" s="11" t="s">
        <v>29</v>
      </c>
      <c r="F223" s="20">
        <v>43303</v>
      </c>
      <c r="G223" s="16" t="str">
        <f t="shared" si="6"/>
        <v>July</v>
      </c>
      <c r="H223" s="2">
        <f t="shared" ca="1" si="7"/>
        <v>0</v>
      </c>
      <c r="I223" s="17" t="s">
        <v>47</v>
      </c>
      <c r="J223" s="18">
        <v>45860</v>
      </c>
      <c r="K223" s="19">
        <v>4</v>
      </c>
    </row>
    <row r="224" spans="1:11" x14ac:dyDescent="0.2">
      <c r="A224" s="11" t="s">
        <v>699</v>
      </c>
      <c r="B224" s="14" t="s">
        <v>27</v>
      </c>
      <c r="C224" s="11" t="s">
        <v>214</v>
      </c>
      <c r="D224" s="15">
        <v>559006297</v>
      </c>
      <c r="E224" s="11" t="s">
        <v>29</v>
      </c>
      <c r="F224" s="20">
        <v>39287</v>
      </c>
      <c r="G224" s="16" t="str">
        <f t="shared" si="6"/>
        <v>July</v>
      </c>
      <c r="H224" s="2">
        <f t="shared" ca="1" si="7"/>
        <v>11</v>
      </c>
      <c r="I224" s="17" t="s">
        <v>47</v>
      </c>
      <c r="J224" s="18">
        <v>48357</v>
      </c>
      <c r="K224" s="19">
        <v>2</v>
      </c>
    </row>
    <row r="225" spans="1:11" x14ac:dyDescent="0.2">
      <c r="A225" s="11" t="s">
        <v>1074</v>
      </c>
      <c r="B225" s="14" t="s">
        <v>19</v>
      </c>
      <c r="C225" s="11" t="s">
        <v>214</v>
      </c>
      <c r="D225" s="15">
        <v>616007564</v>
      </c>
      <c r="E225" s="11" t="s">
        <v>21</v>
      </c>
      <c r="F225" s="20">
        <v>38307</v>
      </c>
      <c r="G225" s="16" t="str">
        <f t="shared" si="6"/>
        <v>November</v>
      </c>
      <c r="H225" s="2">
        <f t="shared" ca="1" si="7"/>
        <v>14</v>
      </c>
      <c r="I225" s="17"/>
      <c r="J225" s="18">
        <v>56903</v>
      </c>
      <c r="K225" s="19">
        <v>5</v>
      </c>
    </row>
    <row r="226" spans="1:11" x14ac:dyDescent="0.2">
      <c r="A226" s="11" t="s">
        <v>998</v>
      </c>
      <c r="B226" s="14" t="s">
        <v>43</v>
      </c>
      <c r="C226" s="11" t="s">
        <v>136</v>
      </c>
      <c r="D226" s="15">
        <v>828005080</v>
      </c>
      <c r="E226" s="11" t="s">
        <v>29</v>
      </c>
      <c r="F226" s="20">
        <v>37950</v>
      </c>
      <c r="G226" s="16" t="str">
        <f t="shared" si="6"/>
        <v>November</v>
      </c>
      <c r="H226" s="2">
        <f t="shared" ca="1" si="7"/>
        <v>15</v>
      </c>
      <c r="I226" s="17" t="s">
        <v>87</v>
      </c>
      <c r="J226" s="18">
        <v>82550</v>
      </c>
      <c r="K226" s="19">
        <v>2</v>
      </c>
    </row>
    <row r="227" spans="1:11" x14ac:dyDescent="0.2">
      <c r="A227" s="4" t="s">
        <v>1284</v>
      </c>
      <c r="B227" s="14" t="s">
        <v>27</v>
      </c>
      <c r="C227" s="11" t="s">
        <v>145</v>
      </c>
      <c r="D227" s="15">
        <v>331001341</v>
      </c>
      <c r="E227" s="11" t="s">
        <v>29</v>
      </c>
      <c r="F227" s="20">
        <v>38752</v>
      </c>
      <c r="G227" s="16" t="str">
        <f t="shared" si="6"/>
        <v>February</v>
      </c>
      <c r="H227" s="2">
        <f t="shared" ca="1" si="7"/>
        <v>13</v>
      </c>
      <c r="I227" s="17" t="s">
        <v>30</v>
      </c>
      <c r="J227" s="18">
        <v>94878</v>
      </c>
      <c r="K227" s="19">
        <v>3</v>
      </c>
    </row>
    <row r="228" spans="1:11" x14ac:dyDescent="0.2">
      <c r="A228" s="11" t="s">
        <v>1082</v>
      </c>
      <c r="B228" s="14" t="s">
        <v>27</v>
      </c>
      <c r="C228" s="11" t="s">
        <v>136</v>
      </c>
      <c r="D228" s="15">
        <v>592009945</v>
      </c>
      <c r="E228" s="11" t="s">
        <v>29</v>
      </c>
      <c r="F228" s="20">
        <v>42302</v>
      </c>
      <c r="G228" s="16" t="str">
        <f t="shared" si="6"/>
        <v>October</v>
      </c>
      <c r="H228" s="2">
        <f t="shared" ca="1" si="7"/>
        <v>3</v>
      </c>
      <c r="I228" s="17" t="s">
        <v>47</v>
      </c>
      <c r="J228" s="18">
        <v>60278</v>
      </c>
      <c r="K228" s="19">
        <v>1</v>
      </c>
    </row>
    <row r="229" spans="1:11" x14ac:dyDescent="0.2">
      <c r="A229" s="11" t="s">
        <v>256</v>
      </c>
      <c r="B229" s="14" t="s">
        <v>43</v>
      </c>
      <c r="C229" s="11" t="s">
        <v>254</v>
      </c>
      <c r="D229" s="15">
        <v>724003735</v>
      </c>
      <c r="E229" s="11" t="s">
        <v>29</v>
      </c>
      <c r="F229" s="20">
        <v>36476</v>
      </c>
      <c r="G229" s="16" t="str">
        <f t="shared" si="6"/>
        <v>November</v>
      </c>
      <c r="H229" s="2">
        <f t="shared" ca="1" si="7"/>
        <v>19</v>
      </c>
      <c r="I229" s="17" t="s">
        <v>30</v>
      </c>
      <c r="J229" s="18">
        <v>58307</v>
      </c>
      <c r="K229" s="19">
        <v>2</v>
      </c>
    </row>
    <row r="230" spans="1:11" x14ac:dyDescent="0.2">
      <c r="A230" s="11" t="s">
        <v>329</v>
      </c>
      <c r="B230" s="14" t="s">
        <v>19</v>
      </c>
      <c r="C230" s="11" t="s">
        <v>52</v>
      </c>
      <c r="D230" s="15">
        <v>526008716</v>
      </c>
      <c r="E230" s="11" t="s">
        <v>21</v>
      </c>
      <c r="F230" s="20">
        <v>38815</v>
      </c>
      <c r="G230" s="16" t="str">
        <f t="shared" si="6"/>
        <v>April</v>
      </c>
      <c r="H230" s="2">
        <f t="shared" ca="1" si="7"/>
        <v>13</v>
      </c>
      <c r="I230" s="17"/>
      <c r="J230" s="18">
        <v>87035</v>
      </c>
      <c r="K230" s="19">
        <v>3</v>
      </c>
    </row>
    <row r="231" spans="1:11" x14ac:dyDescent="0.2">
      <c r="A231" s="11" t="s">
        <v>455</v>
      </c>
      <c r="B231" s="14" t="s">
        <v>19</v>
      </c>
      <c r="C231" s="11" t="s">
        <v>214</v>
      </c>
      <c r="D231" s="15">
        <v>910004196</v>
      </c>
      <c r="E231" s="11" t="s">
        <v>21</v>
      </c>
      <c r="F231" s="20">
        <v>36675</v>
      </c>
      <c r="G231" s="16" t="str">
        <f t="shared" si="6"/>
        <v>May</v>
      </c>
      <c r="H231" s="2">
        <f t="shared" ca="1" si="7"/>
        <v>19</v>
      </c>
      <c r="I231" s="17"/>
      <c r="J231" s="18">
        <v>66866</v>
      </c>
      <c r="K231" s="19">
        <v>2</v>
      </c>
    </row>
    <row r="232" spans="1:11" x14ac:dyDescent="0.2">
      <c r="A232" s="11" t="s">
        <v>46</v>
      </c>
      <c r="B232" s="14" t="s">
        <v>43</v>
      </c>
      <c r="C232" s="4" t="s">
        <v>37</v>
      </c>
      <c r="D232" s="22">
        <v>100002924</v>
      </c>
      <c r="E232" s="4" t="s">
        <v>29</v>
      </c>
      <c r="F232" s="20">
        <v>39027</v>
      </c>
      <c r="G232" s="16" t="str">
        <f t="shared" si="6"/>
        <v>November</v>
      </c>
      <c r="H232" s="2">
        <f t="shared" ca="1" si="7"/>
        <v>12</v>
      </c>
      <c r="I232" s="17" t="s">
        <v>47</v>
      </c>
      <c r="J232" s="18">
        <v>33143</v>
      </c>
      <c r="K232" s="19">
        <v>1</v>
      </c>
    </row>
    <row r="233" spans="1:11" x14ac:dyDescent="0.2">
      <c r="A233" s="11" t="s">
        <v>269</v>
      </c>
      <c r="B233" s="14" t="s">
        <v>27</v>
      </c>
      <c r="C233" s="11" t="s">
        <v>265</v>
      </c>
      <c r="D233" s="15">
        <v>207006781</v>
      </c>
      <c r="E233" s="11" t="s">
        <v>29</v>
      </c>
      <c r="F233" s="20">
        <v>42779</v>
      </c>
      <c r="G233" s="16" t="str">
        <f t="shared" si="6"/>
        <v>February</v>
      </c>
      <c r="H233" s="2">
        <f t="shared" ca="1" si="7"/>
        <v>2</v>
      </c>
      <c r="I233" s="17" t="s">
        <v>47</v>
      </c>
      <c r="J233" s="18">
        <v>103194</v>
      </c>
      <c r="K233" s="19">
        <v>3</v>
      </c>
    </row>
    <row r="234" spans="1:11" x14ac:dyDescent="0.2">
      <c r="A234" s="11" t="s">
        <v>1330</v>
      </c>
      <c r="B234" s="14" t="s">
        <v>19</v>
      </c>
      <c r="C234" s="11" t="s">
        <v>214</v>
      </c>
      <c r="D234" s="15">
        <v>676000562</v>
      </c>
      <c r="E234" s="11" t="s">
        <v>29</v>
      </c>
      <c r="F234" s="20">
        <v>38551</v>
      </c>
      <c r="G234" s="16" t="str">
        <f t="shared" si="6"/>
        <v>July</v>
      </c>
      <c r="H234" s="2">
        <f t="shared" ca="1" si="7"/>
        <v>13</v>
      </c>
      <c r="I234" s="17" t="s">
        <v>47</v>
      </c>
      <c r="J234" s="18">
        <v>81135</v>
      </c>
      <c r="K234" s="19">
        <v>1</v>
      </c>
    </row>
    <row r="235" spans="1:11" x14ac:dyDescent="0.2">
      <c r="A235" s="11" t="s">
        <v>1530</v>
      </c>
      <c r="B235" s="14" t="s">
        <v>36</v>
      </c>
      <c r="C235" s="11" t="s">
        <v>152</v>
      </c>
      <c r="D235" s="15">
        <v>971008623</v>
      </c>
      <c r="E235" s="11" t="s">
        <v>21</v>
      </c>
      <c r="F235" s="20">
        <v>39997</v>
      </c>
      <c r="G235" s="16" t="str">
        <f t="shared" si="6"/>
        <v>July</v>
      </c>
      <c r="H235" s="2">
        <f t="shared" ca="1" si="7"/>
        <v>9</v>
      </c>
      <c r="I235" s="17"/>
      <c r="J235" s="18">
        <v>34466</v>
      </c>
      <c r="K235" s="19">
        <v>3</v>
      </c>
    </row>
    <row r="236" spans="1:11" x14ac:dyDescent="0.2">
      <c r="A236" s="11" t="s">
        <v>1106</v>
      </c>
      <c r="B236" s="14" t="s">
        <v>83</v>
      </c>
      <c r="C236" s="11" t="s">
        <v>136</v>
      </c>
      <c r="D236" s="15">
        <v>486006972</v>
      </c>
      <c r="E236" s="11" t="s">
        <v>80</v>
      </c>
      <c r="F236" s="20">
        <v>42584</v>
      </c>
      <c r="G236" s="16" t="str">
        <f t="shared" si="6"/>
        <v>August</v>
      </c>
      <c r="H236" s="2">
        <f t="shared" ca="1" si="7"/>
        <v>2</v>
      </c>
      <c r="I236" s="17" t="s">
        <v>47</v>
      </c>
      <c r="J236" s="18">
        <v>61513</v>
      </c>
      <c r="K236" s="19">
        <v>1</v>
      </c>
    </row>
    <row r="237" spans="1:11" x14ac:dyDescent="0.2">
      <c r="A237" s="11" t="s">
        <v>976</v>
      </c>
      <c r="B237" s="14" t="s">
        <v>36</v>
      </c>
      <c r="C237" s="11" t="s">
        <v>254</v>
      </c>
      <c r="D237" s="15">
        <v>297006507</v>
      </c>
      <c r="E237" s="11" t="s">
        <v>29</v>
      </c>
      <c r="F237" s="20">
        <v>37596</v>
      </c>
      <c r="G237" s="16" t="str">
        <f t="shared" si="6"/>
        <v>December</v>
      </c>
      <c r="H237" s="2">
        <f t="shared" ca="1" si="7"/>
        <v>16</v>
      </c>
      <c r="I237" s="17" t="s">
        <v>38</v>
      </c>
      <c r="J237" s="18">
        <v>105084</v>
      </c>
      <c r="K237" s="19">
        <v>2</v>
      </c>
    </row>
    <row r="238" spans="1:11" x14ac:dyDescent="0.2">
      <c r="A238" s="11" t="s">
        <v>906</v>
      </c>
      <c r="B238" s="14" t="s">
        <v>27</v>
      </c>
      <c r="C238" s="11" t="s">
        <v>152</v>
      </c>
      <c r="D238" s="15">
        <v>324009262</v>
      </c>
      <c r="E238" s="11" t="s">
        <v>21</v>
      </c>
      <c r="F238" s="20">
        <v>37390</v>
      </c>
      <c r="G238" s="16" t="str">
        <f t="shared" si="6"/>
        <v>May</v>
      </c>
      <c r="H238" s="2">
        <f t="shared" ca="1" si="7"/>
        <v>17</v>
      </c>
      <c r="I238" s="17"/>
      <c r="J238" s="18">
        <v>60892</v>
      </c>
      <c r="K238" s="19">
        <v>1</v>
      </c>
    </row>
    <row r="239" spans="1:11" x14ac:dyDescent="0.2">
      <c r="A239" s="11" t="s">
        <v>390</v>
      </c>
      <c r="B239" s="14" t="s">
        <v>27</v>
      </c>
      <c r="C239" s="11" t="s">
        <v>152</v>
      </c>
      <c r="D239" s="15">
        <v>970006937</v>
      </c>
      <c r="E239" s="11" t="s">
        <v>21</v>
      </c>
      <c r="F239" s="20">
        <v>36351</v>
      </c>
      <c r="G239" s="16" t="str">
        <f t="shared" si="6"/>
        <v>July</v>
      </c>
      <c r="H239" s="2">
        <f t="shared" ca="1" si="7"/>
        <v>19</v>
      </c>
      <c r="I239" s="17"/>
      <c r="J239" s="18">
        <v>84348</v>
      </c>
      <c r="K239" s="19">
        <v>5</v>
      </c>
    </row>
    <row r="240" spans="1:11" x14ac:dyDescent="0.2">
      <c r="A240" s="11" t="s">
        <v>1236</v>
      </c>
      <c r="B240" s="14" t="s">
        <v>43</v>
      </c>
      <c r="C240" s="11" t="s">
        <v>20</v>
      </c>
      <c r="D240" s="15">
        <v>415008597</v>
      </c>
      <c r="E240" s="11" t="s">
        <v>29</v>
      </c>
      <c r="F240" s="20">
        <v>38523</v>
      </c>
      <c r="G240" s="16" t="str">
        <f t="shared" si="6"/>
        <v>June</v>
      </c>
      <c r="H240" s="2">
        <f t="shared" ca="1" si="7"/>
        <v>13</v>
      </c>
      <c r="I240" s="17" t="s">
        <v>47</v>
      </c>
      <c r="J240" s="18">
        <v>55242</v>
      </c>
      <c r="K240" s="19">
        <v>4</v>
      </c>
    </row>
    <row r="241" spans="1:11" x14ac:dyDescent="0.2">
      <c r="A241" s="11" t="s">
        <v>614</v>
      </c>
      <c r="B241" s="14" t="s">
        <v>19</v>
      </c>
      <c r="C241" s="11" t="s">
        <v>152</v>
      </c>
      <c r="D241" s="15">
        <v>317009924</v>
      </c>
      <c r="E241" s="11" t="s">
        <v>21</v>
      </c>
      <c r="F241" s="20">
        <v>36833</v>
      </c>
      <c r="G241" s="16" t="str">
        <f t="shared" si="6"/>
        <v>November</v>
      </c>
      <c r="H241" s="2">
        <f t="shared" ca="1" si="7"/>
        <v>18</v>
      </c>
      <c r="I241" s="17"/>
      <c r="J241" s="18">
        <v>85442</v>
      </c>
      <c r="K241" s="19">
        <v>5</v>
      </c>
    </row>
    <row r="242" spans="1:11" x14ac:dyDescent="0.2">
      <c r="A242" s="11" t="s">
        <v>1050</v>
      </c>
      <c r="B242" s="14" t="s">
        <v>27</v>
      </c>
      <c r="C242" s="11" t="s">
        <v>136</v>
      </c>
      <c r="D242" s="15">
        <v>552008553</v>
      </c>
      <c r="E242" s="11" t="s">
        <v>56</v>
      </c>
      <c r="F242" s="20">
        <v>39196</v>
      </c>
      <c r="G242" s="16" t="str">
        <f t="shared" si="6"/>
        <v>April</v>
      </c>
      <c r="H242" s="2">
        <f t="shared" ca="1" si="7"/>
        <v>12</v>
      </c>
      <c r="I242" s="17"/>
      <c r="J242" s="18">
        <v>49972</v>
      </c>
      <c r="K242" s="19">
        <v>4</v>
      </c>
    </row>
    <row r="243" spans="1:11" x14ac:dyDescent="0.2">
      <c r="A243" s="11" t="s">
        <v>1090</v>
      </c>
      <c r="B243" s="14" t="s">
        <v>36</v>
      </c>
      <c r="C243" s="11" t="s">
        <v>136</v>
      </c>
      <c r="D243" s="15">
        <v>289003201</v>
      </c>
      <c r="E243" s="11" t="s">
        <v>29</v>
      </c>
      <c r="F243" s="20">
        <v>42073</v>
      </c>
      <c r="G243" s="16" t="str">
        <f t="shared" si="6"/>
        <v>March</v>
      </c>
      <c r="H243" s="2">
        <f t="shared" ca="1" si="7"/>
        <v>4</v>
      </c>
      <c r="I243" s="17" t="s">
        <v>47</v>
      </c>
      <c r="J243" s="18">
        <v>99671</v>
      </c>
      <c r="K243" s="19">
        <v>2</v>
      </c>
    </row>
    <row r="244" spans="1:11" x14ac:dyDescent="0.2">
      <c r="A244" s="11" t="s">
        <v>857</v>
      </c>
      <c r="B244" s="14" t="s">
        <v>51</v>
      </c>
      <c r="C244" s="11" t="s">
        <v>86</v>
      </c>
      <c r="D244" s="15">
        <v>662004752</v>
      </c>
      <c r="E244" s="11" t="s">
        <v>29</v>
      </c>
      <c r="F244" s="20">
        <v>39248</v>
      </c>
      <c r="G244" s="16" t="str">
        <f t="shared" si="6"/>
        <v>June</v>
      </c>
      <c r="H244" s="2">
        <f t="shared" ca="1" si="7"/>
        <v>11</v>
      </c>
      <c r="I244" s="17" t="s">
        <v>30</v>
      </c>
      <c r="J244" s="18">
        <v>69404</v>
      </c>
      <c r="K244" s="19">
        <v>4</v>
      </c>
    </row>
    <row r="245" spans="1:11" x14ac:dyDescent="0.2">
      <c r="A245" s="11" t="s">
        <v>496</v>
      </c>
      <c r="B245" s="14" t="s">
        <v>43</v>
      </c>
      <c r="C245" s="11" t="s">
        <v>214</v>
      </c>
      <c r="D245" s="15">
        <v>159007255</v>
      </c>
      <c r="E245" s="11" t="s">
        <v>21</v>
      </c>
      <c r="F245" s="20">
        <v>42686</v>
      </c>
      <c r="G245" s="16" t="str">
        <f t="shared" si="6"/>
        <v>November</v>
      </c>
      <c r="H245" s="2">
        <f t="shared" ca="1" si="7"/>
        <v>2</v>
      </c>
      <c r="I245" s="17"/>
      <c r="J245" s="18">
        <v>106002</v>
      </c>
      <c r="K245" s="19">
        <v>4</v>
      </c>
    </row>
    <row r="246" spans="1:11" x14ac:dyDescent="0.2">
      <c r="A246" s="11" t="s">
        <v>1482</v>
      </c>
      <c r="B246" s="14" t="s">
        <v>27</v>
      </c>
      <c r="C246" s="11" t="s">
        <v>152</v>
      </c>
      <c r="D246" s="15">
        <v>212008012</v>
      </c>
      <c r="E246" s="11" t="s">
        <v>29</v>
      </c>
      <c r="F246" s="20">
        <v>39823</v>
      </c>
      <c r="G246" s="16" t="str">
        <f t="shared" si="6"/>
        <v>January</v>
      </c>
      <c r="H246" s="2">
        <f t="shared" ca="1" si="7"/>
        <v>10</v>
      </c>
      <c r="I246" s="17" t="s">
        <v>47</v>
      </c>
      <c r="J246" s="18">
        <v>85131</v>
      </c>
      <c r="K246" s="19">
        <v>4</v>
      </c>
    </row>
    <row r="247" spans="1:11" x14ac:dyDescent="0.2">
      <c r="A247" s="11" t="s">
        <v>811</v>
      </c>
      <c r="B247" s="14" t="s">
        <v>27</v>
      </c>
      <c r="C247" s="11" t="s">
        <v>20</v>
      </c>
      <c r="D247" s="15">
        <v>870006287</v>
      </c>
      <c r="E247" s="11" t="s">
        <v>80</v>
      </c>
      <c r="F247" s="20">
        <v>37404</v>
      </c>
      <c r="G247" s="16" t="str">
        <f t="shared" si="6"/>
        <v>May</v>
      </c>
      <c r="H247" s="2">
        <f t="shared" ca="1" si="7"/>
        <v>17</v>
      </c>
      <c r="I247" s="17" t="s">
        <v>71</v>
      </c>
      <c r="J247" s="18">
        <v>52542</v>
      </c>
      <c r="K247" s="19">
        <v>4</v>
      </c>
    </row>
    <row r="248" spans="1:11" x14ac:dyDescent="0.2">
      <c r="A248" s="11" t="s">
        <v>775</v>
      </c>
      <c r="B248" s="14" t="s">
        <v>83</v>
      </c>
      <c r="C248" s="11" t="s">
        <v>86</v>
      </c>
      <c r="D248" s="15">
        <v>357001517</v>
      </c>
      <c r="E248" s="11" t="s">
        <v>80</v>
      </c>
      <c r="F248" s="20">
        <v>39227</v>
      </c>
      <c r="G248" s="16" t="str">
        <f t="shared" si="6"/>
        <v>May</v>
      </c>
      <c r="H248" s="2">
        <f t="shared" ca="1" si="7"/>
        <v>12</v>
      </c>
      <c r="I248" s="17" t="s">
        <v>30</v>
      </c>
      <c r="J248" s="18">
        <v>36167</v>
      </c>
      <c r="K248" s="19">
        <v>2</v>
      </c>
    </row>
    <row r="249" spans="1:11" x14ac:dyDescent="0.2">
      <c r="A249" s="11" t="s">
        <v>1234</v>
      </c>
      <c r="B249" s="14" t="s">
        <v>19</v>
      </c>
      <c r="C249" s="11" t="s">
        <v>145</v>
      </c>
      <c r="D249" s="15">
        <v>843002637</v>
      </c>
      <c r="E249" s="11" t="s">
        <v>56</v>
      </c>
      <c r="F249" s="20">
        <v>38717</v>
      </c>
      <c r="G249" s="16" t="str">
        <f t="shared" si="6"/>
        <v>December</v>
      </c>
      <c r="H249" s="2">
        <f t="shared" ca="1" si="7"/>
        <v>13</v>
      </c>
      <c r="I249" s="17"/>
      <c r="J249" s="18">
        <v>17329</v>
      </c>
      <c r="K249" s="19">
        <v>5</v>
      </c>
    </row>
    <row r="250" spans="1:11" x14ac:dyDescent="0.2">
      <c r="A250" s="11" t="s">
        <v>1174</v>
      </c>
      <c r="B250" s="14" t="s">
        <v>27</v>
      </c>
      <c r="C250" s="11" t="s">
        <v>136</v>
      </c>
      <c r="D250" s="15">
        <v>953009212</v>
      </c>
      <c r="E250" s="11" t="s">
        <v>29</v>
      </c>
      <c r="F250" s="20">
        <v>43294</v>
      </c>
      <c r="G250" s="16" t="str">
        <f t="shared" si="6"/>
        <v>July</v>
      </c>
      <c r="H250" s="2">
        <f t="shared" ca="1" si="7"/>
        <v>0</v>
      </c>
      <c r="I250" s="17" t="s">
        <v>38</v>
      </c>
      <c r="J250" s="18">
        <v>79853</v>
      </c>
      <c r="K250" s="19">
        <v>4</v>
      </c>
    </row>
    <row r="251" spans="1:11" x14ac:dyDescent="0.2">
      <c r="A251" s="11" t="s">
        <v>451</v>
      </c>
      <c r="B251" s="14" t="s">
        <v>19</v>
      </c>
      <c r="C251" s="11" t="s">
        <v>214</v>
      </c>
      <c r="D251" s="15">
        <v>984000981</v>
      </c>
      <c r="E251" s="11" t="s">
        <v>80</v>
      </c>
      <c r="F251" s="20">
        <v>39125</v>
      </c>
      <c r="G251" s="16" t="str">
        <f t="shared" si="6"/>
        <v>February</v>
      </c>
      <c r="H251" s="2">
        <f t="shared" ca="1" si="7"/>
        <v>12</v>
      </c>
      <c r="I251" s="17" t="s">
        <v>30</v>
      </c>
      <c r="J251" s="18">
        <v>65057</v>
      </c>
      <c r="K251" s="19">
        <v>1</v>
      </c>
    </row>
    <row r="252" spans="1:11" x14ac:dyDescent="0.2">
      <c r="A252" s="11" t="s">
        <v>100</v>
      </c>
      <c r="B252" s="14" t="s">
        <v>27</v>
      </c>
      <c r="C252" s="11" t="s">
        <v>101</v>
      </c>
      <c r="D252" s="15">
        <v>852000023</v>
      </c>
      <c r="E252" s="11" t="s">
        <v>80</v>
      </c>
      <c r="F252" s="20">
        <v>35968</v>
      </c>
      <c r="G252" s="16" t="str">
        <f t="shared" si="6"/>
        <v>June</v>
      </c>
      <c r="H252" s="2">
        <f t="shared" ca="1" si="7"/>
        <v>20</v>
      </c>
      <c r="I252" s="17" t="s">
        <v>38</v>
      </c>
      <c r="J252" s="18">
        <v>33500</v>
      </c>
      <c r="K252" s="19">
        <v>1</v>
      </c>
    </row>
    <row r="253" spans="1:11" x14ac:dyDescent="0.2">
      <c r="A253" s="11" t="s">
        <v>260</v>
      </c>
      <c r="B253" s="14" t="s">
        <v>36</v>
      </c>
      <c r="C253" s="11" t="s">
        <v>20</v>
      </c>
      <c r="D253" s="15">
        <v>600008368</v>
      </c>
      <c r="E253" s="11" t="s">
        <v>80</v>
      </c>
      <c r="F253" s="20">
        <v>42658</v>
      </c>
      <c r="G253" s="16" t="str">
        <f t="shared" si="6"/>
        <v>October</v>
      </c>
      <c r="H253" s="2">
        <f t="shared" ca="1" si="7"/>
        <v>2</v>
      </c>
      <c r="I253" s="17" t="s">
        <v>71</v>
      </c>
      <c r="J253" s="18">
        <v>30422</v>
      </c>
      <c r="K253" s="19">
        <v>3</v>
      </c>
    </row>
    <row r="254" spans="1:11" x14ac:dyDescent="0.2">
      <c r="A254" s="11" t="s">
        <v>133</v>
      </c>
      <c r="B254" s="14" t="s">
        <v>19</v>
      </c>
      <c r="C254" s="11" t="s">
        <v>101</v>
      </c>
      <c r="D254" s="15">
        <v>134007291</v>
      </c>
      <c r="E254" s="11" t="s">
        <v>29</v>
      </c>
      <c r="F254" s="20">
        <v>35969</v>
      </c>
      <c r="G254" s="16" t="str">
        <f t="shared" si="6"/>
        <v>June</v>
      </c>
      <c r="H254" s="2">
        <f t="shared" ca="1" si="7"/>
        <v>20</v>
      </c>
      <c r="I254" s="17" t="s">
        <v>47</v>
      </c>
      <c r="J254" s="18">
        <v>44010</v>
      </c>
      <c r="K254" s="19">
        <v>5</v>
      </c>
    </row>
    <row r="255" spans="1:11" x14ac:dyDescent="0.2">
      <c r="A255" s="11" t="s">
        <v>1242</v>
      </c>
      <c r="B255" s="14" t="s">
        <v>19</v>
      </c>
      <c r="C255" s="11" t="s">
        <v>145</v>
      </c>
      <c r="D255" s="15">
        <v>180002423</v>
      </c>
      <c r="E255" s="11" t="s">
        <v>29</v>
      </c>
      <c r="F255" s="20">
        <v>38934</v>
      </c>
      <c r="G255" s="16" t="str">
        <f t="shared" si="6"/>
        <v>August</v>
      </c>
      <c r="H255" s="2">
        <f t="shared" ca="1" si="7"/>
        <v>12</v>
      </c>
      <c r="I255" s="17" t="s">
        <v>71</v>
      </c>
      <c r="J255" s="18">
        <v>107474</v>
      </c>
      <c r="K255" s="19">
        <v>2</v>
      </c>
    </row>
    <row r="256" spans="1:11" x14ac:dyDescent="0.2">
      <c r="A256" s="11" t="s">
        <v>576</v>
      </c>
      <c r="B256" s="14" t="s">
        <v>19</v>
      </c>
      <c r="C256" s="11" t="s">
        <v>214</v>
      </c>
      <c r="D256" s="15">
        <v>415009442</v>
      </c>
      <c r="E256" s="11" t="s">
        <v>29</v>
      </c>
      <c r="F256" s="20">
        <v>42552</v>
      </c>
      <c r="G256" s="16" t="str">
        <f t="shared" si="6"/>
        <v>July</v>
      </c>
      <c r="H256" s="2">
        <f t="shared" ca="1" si="7"/>
        <v>2</v>
      </c>
      <c r="I256" s="17" t="s">
        <v>47</v>
      </c>
      <c r="J256" s="18">
        <v>93582</v>
      </c>
      <c r="K256" s="19">
        <v>3</v>
      </c>
    </row>
    <row r="257" spans="1:11" x14ac:dyDescent="0.2">
      <c r="A257" s="11" t="s">
        <v>659</v>
      </c>
      <c r="B257" s="14" t="s">
        <v>27</v>
      </c>
      <c r="C257" s="11" t="s">
        <v>104</v>
      </c>
      <c r="D257" s="15">
        <v>237009447</v>
      </c>
      <c r="E257" s="11" t="s">
        <v>29</v>
      </c>
      <c r="F257" s="20">
        <v>37157</v>
      </c>
      <c r="G257" s="16" t="str">
        <f t="shared" si="6"/>
        <v>September</v>
      </c>
      <c r="H257" s="2">
        <f t="shared" ca="1" si="7"/>
        <v>17</v>
      </c>
      <c r="I257" s="17" t="s">
        <v>47</v>
      </c>
      <c r="J257" s="18">
        <v>99144</v>
      </c>
      <c r="K257" s="19">
        <v>1</v>
      </c>
    </row>
    <row r="258" spans="1:11" x14ac:dyDescent="0.2">
      <c r="A258" s="11" t="s">
        <v>556</v>
      </c>
      <c r="B258" s="14" t="s">
        <v>27</v>
      </c>
      <c r="C258" s="11" t="s">
        <v>145</v>
      </c>
      <c r="D258" s="15">
        <v>622000296</v>
      </c>
      <c r="E258" s="11" t="s">
        <v>29</v>
      </c>
      <c r="F258" s="20">
        <v>36541</v>
      </c>
      <c r="G258" s="16" t="str">
        <f t="shared" ref="G258:G321" si="8">CHOOSE(MONTH(F258),"January","February","March","April","May","June","July","August","September","October","November","December")</f>
        <v>January</v>
      </c>
      <c r="H258" s="2">
        <f t="shared" ref="H258:H321" ca="1" si="9">DATEDIF(F258,TODAY(),"Y")</f>
        <v>19</v>
      </c>
      <c r="I258" s="17" t="s">
        <v>47</v>
      </c>
      <c r="J258" s="18">
        <v>88521</v>
      </c>
      <c r="K258" s="19">
        <v>3</v>
      </c>
    </row>
    <row r="259" spans="1:11" x14ac:dyDescent="0.2">
      <c r="A259" s="11" t="s">
        <v>1176</v>
      </c>
      <c r="B259" s="14" t="s">
        <v>19</v>
      </c>
      <c r="C259" s="11" t="s">
        <v>145</v>
      </c>
      <c r="D259" s="15">
        <v>277005508</v>
      </c>
      <c r="E259" s="11" t="s">
        <v>29</v>
      </c>
      <c r="F259" s="20">
        <v>38229</v>
      </c>
      <c r="G259" s="16" t="str">
        <f t="shared" si="8"/>
        <v>August</v>
      </c>
      <c r="H259" s="2">
        <f t="shared" ca="1" si="9"/>
        <v>14</v>
      </c>
      <c r="I259" s="17" t="s">
        <v>30</v>
      </c>
      <c r="J259" s="18">
        <v>89694</v>
      </c>
      <c r="K259" s="19">
        <v>3</v>
      </c>
    </row>
    <row r="260" spans="1:11" x14ac:dyDescent="0.2">
      <c r="A260" s="11" t="s">
        <v>1518</v>
      </c>
      <c r="B260" s="14" t="s">
        <v>43</v>
      </c>
      <c r="C260" s="11" t="s">
        <v>152</v>
      </c>
      <c r="D260" s="15">
        <v>247002007</v>
      </c>
      <c r="E260" s="11" t="s">
        <v>21</v>
      </c>
      <c r="F260" s="20">
        <v>39049</v>
      </c>
      <c r="G260" s="16" t="str">
        <f t="shared" si="8"/>
        <v>November</v>
      </c>
      <c r="H260" s="2">
        <f t="shared" ca="1" si="9"/>
        <v>12</v>
      </c>
      <c r="I260" s="17"/>
      <c r="J260" s="18">
        <v>78638</v>
      </c>
      <c r="K260" s="19">
        <v>2</v>
      </c>
    </row>
    <row r="261" spans="1:11" x14ac:dyDescent="0.2">
      <c r="A261" s="11" t="s">
        <v>809</v>
      </c>
      <c r="B261" s="14" t="s">
        <v>27</v>
      </c>
      <c r="C261" s="11" t="s">
        <v>152</v>
      </c>
      <c r="D261" s="15">
        <v>891004981</v>
      </c>
      <c r="E261" s="11" t="s">
        <v>80</v>
      </c>
      <c r="F261" s="20">
        <v>36996</v>
      </c>
      <c r="G261" s="16" t="str">
        <f t="shared" si="8"/>
        <v>April</v>
      </c>
      <c r="H261" s="2">
        <f t="shared" ca="1" si="9"/>
        <v>18</v>
      </c>
      <c r="I261" s="17" t="s">
        <v>71</v>
      </c>
      <c r="J261" s="18">
        <v>15161</v>
      </c>
      <c r="K261" s="19">
        <v>4</v>
      </c>
    </row>
    <row r="262" spans="1:11" x14ac:dyDescent="0.2">
      <c r="A262" s="11" t="s">
        <v>952</v>
      </c>
      <c r="B262" s="14" t="s">
        <v>27</v>
      </c>
      <c r="C262" s="11" t="s">
        <v>214</v>
      </c>
      <c r="D262" s="15">
        <v>561007107</v>
      </c>
      <c r="E262" s="11" t="s">
        <v>29</v>
      </c>
      <c r="F262" s="20">
        <v>37880</v>
      </c>
      <c r="G262" s="16" t="str">
        <f t="shared" si="8"/>
        <v>September</v>
      </c>
      <c r="H262" s="2">
        <f t="shared" ca="1" si="9"/>
        <v>15</v>
      </c>
      <c r="I262" s="17" t="s">
        <v>30</v>
      </c>
      <c r="J262" s="18">
        <v>98647</v>
      </c>
      <c r="K262" s="19">
        <v>5</v>
      </c>
    </row>
    <row r="263" spans="1:11" x14ac:dyDescent="0.2">
      <c r="A263" s="11" t="s">
        <v>876</v>
      </c>
      <c r="B263" s="14" t="s">
        <v>51</v>
      </c>
      <c r="C263" s="11" t="s">
        <v>249</v>
      </c>
      <c r="D263" s="15">
        <v>755005415</v>
      </c>
      <c r="E263" s="11" t="s">
        <v>21</v>
      </c>
      <c r="F263" s="20">
        <v>43189</v>
      </c>
      <c r="G263" s="16" t="str">
        <f t="shared" si="8"/>
        <v>March</v>
      </c>
      <c r="H263" s="2">
        <f t="shared" ca="1" si="9"/>
        <v>1</v>
      </c>
      <c r="I263" s="17"/>
      <c r="J263" s="18">
        <v>99927</v>
      </c>
      <c r="K263" s="19">
        <v>2</v>
      </c>
    </row>
    <row r="264" spans="1:11" x14ac:dyDescent="0.2">
      <c r="A264" s="11" t="s">
        <v>1472</v>
      </c>
      <c r="B264" s="14" t="s">
        <v>51</v>
      </c>
      <c r="C264" s="11" t="s">
        <v>152</v>
      </c>
      <c r="D264" s="15">
        <v>635000617</v>
      </c>
      <c r="E264" s="11" t="s">
        <v>29</v>
      </c>
      <c r="F264" s="20">
        <v>39699</v>
      </c>
      <c r="G264" s="16" t="str">
        <f t="shared" si="8"/>
        <v>September</v>
      </c>
      <c r="H264" s="2">
        <f t="shared" ca="1" si="9"/>
        <v>10</v>
      </c>
      <c r="I264" s="17" t="s">
        <v>30</v>
      </c>
      <c r="J264" s="18">
        <v>64301</v>
      </c>
      <c r="K264" s="19">
        <v>3</v>
      </c>
    </row>
    <row r="265" spans="1:11" x14ac:dyDescent="0.2">
      <c r="A265" s="11" t="s">
        <v>1498</v>
      </c>
      <c r="B265" s="14" t="s">
        <v>83</v>
      </c>
      <c r="C265" s="11" t="s">
        <v>152</v>
      </c>
      <c r="D265" s="15">
        <v>723006626</v>
      </c>
      <c r="E265" s="11" t="s">
        <v>21</v>
      </c>
      <c r="F265" s="20">
        <v>41294</v>
      </c>
      <c r="G265" s="16" t="str">
        <f t="shared" si="8"/>
        <v>January</v>
      </c>
      <c r="H265" s="2">
        <f t="shared" ca="1" si="9"/>
        <v>6</v>
      </c>
      <c r="I265" s="17"/>
      <c r="J265" s="18">
        <v>44388</v>
      </c>
      <c r="K265" s="19">
        <v>3</v>
      </c>
    </row>
    <row r="266" spans="1:11" x14ac:dyDescent="0.2">
      <c r="A266" s="11" t="s">
        <v>1108</v>
      </c>
      <c r="B266" s="14" t="s">
        <v>27</v>
      </c>
      <c r="C266" s="11" t="s">
        <v>249</v>
      </c>
      <c r="D266" s="15">
        <v>414005182</v>
      </c>
      <c r="E266" s="11" t="s">
        <v>29</v>
      </c>
      <c r="F266" s="20">
        <v>37977</v>
      </c>
      <c r="G266" s="16" t="str">
        <f t="shared" si="8"/>
        <v>December</v>
      </c>
      <c r="H266" s="2">
        <f t="shared" ca="1" si="9"/>
        <v>15</v>
      </c>
      <c r="I266" s="17" t="s">
        <v>30</v>
      </c>
      <c r="J266" s="18">
        <v>30861</v>
      </c>
      <c r="K266" s="19">
        <v>5</v>
      </c>
    </row>
    <row r="267" spans="1:11" x14ac:dyDescent="0.2">
      <c r="A267" s="11" t="s">
        <v>1374</v>
      </c>
      <c r="B267" s="14" t="s">
        <v>19</v>
      </c>
      <c r="C267" s="11" t="s">
        <v>152</v>
      </c>
      <c r="D267" s="15">
        <v>964005290</v>
      </c>
      <c r="E267" s="11" t="s">
        <v>29</v>
      </c>
      <c r="F267" s="20">
        <v>42874</v>
      </c>
      <c r="G267" s="16" t="str">
        <f t="shared" si="8"/>
        <v>May</v>
      </c>
      <c r="H267" s="2">
        <f t="shared" ca="1" si="9"/>
        <v>2</v>
      </c>
      <c r="I267" s="17" t="s">
        <v>30</v>
      </c>
      <c r="J267" s="18">
        <v>47237</v>
      </c>
      <c r="K267" s="19">
        <v>3</v>
      </c>
    </row>
    <row r="268" spans="1:11" x14ac:dyDescent="0.2">
      <c r="A268" s="11" t="s">
        <v>552</v>
      </c>
      <c r="B268" s="14" t="s">
        <v>27</v>
      </c>
      <c r="C268" s="11" t="s">
        <v>214</v>
      </c>
      <c r="D268" s="15">
        <v>542003222</v>
      </c>
      <c r="E268" s="11" t="s">
        <v>21</v>
      </c>
      <c r="F268" s="20">
        <v>38853</v>
      </c>
      <c r="G268" s="16" t="str">
        <f t="shared" si="8"/>
        <v>May</v>
      </c>
      <c r="H268" s="2">
        <f t="shared" ca="1" si="9"/>
        <v>13</v>
      </c>
      <c r="I268" s="17"/>
      <c r="J268" s="18">
        <v>97902</v>
      </c>
      <c r="K268" s="19">
        <v>3</v>
      </c>
    </row>
    <row r="269" spans="1:11" x14ac:dyDescent="0.2">
      <c r="A269" s="11" t="s">
        <v>632</v>
      </c>
      <c r="B269" s="14" t="s">
        <v>19</v>
      </c>
      <c r="C269" s="11" t="s">
        <v>214</v>
      </c>
      <c r="D269" s="15">
        <v>280004785</v>
      </c>
      <c r="E269" s="11" t="s">
        <v>29</v>
      </c>
      <c r="F269" s="20">
        <v>38852</v>
      </c>
      <c r="G269" s="16" t="str">
        <f t="shared" si="8"/>
        <v>May</v>
      </c>
      <c r="H269" s="2">
        <f t="shared" ca="1" si="9"/>
        <v>13</v>
      </c>
      <c r="I269" s="17" t="s">
        <v>47</v>
      </c>
      <c r="J269" s="18">
        <v>54459</v>
      </c>
      <c r="K269" s="19">
        <v>2</v>
      </c>
    </row>
    <row r="270" spans="1:11" x14ac:dyDescent="0.2">
      <c r="A270" s="11" t="s">
        <v>1466</v>
      </c>
      <c r="B270" s="14" t="s">
        <v>27</v>
      </c>
      <c r="C270" s="11" t="s">
        <v>265</v>
      </c>
      <c r="D270" s="15">
        <v>272006635</v>
      </c>
      <c r="E270" s="11" t="s">
        <v>29</v>
      </c>
      <c r="F270" s="20">
        <v>40739</v>
      </c>
      <c r="G270" s="16" t="str">
        <f t="shared" si="8"/>
        <v>July</v>
      </c>
      <c r="H270" s="2">
        <f t="shared" ca="1" si="9"/>
        <v>7</v>
      </c>
      <c r="I270" s="17" t="s">
        <v>47</v>
      </c>
      <c r="J270" s="18">
        <v>116816</v>
      </c>
      <c r="K270" s="19">
        <v>1</v>
      </c>
    </row>
    <row r="271" spans="1:11" x14ac:dyDescent="0.2">
      <c r="A271" s="11" t="s">
        <v>423</v>
      </c>
      <c r="B271" s="14" t="s">
        <v>43</v>
      </c>
      <c r="C271" s="11" t="s">
        <v>20</v>
      </c>
      <c r="D271" s="15">
        <v>721003550</v>
      </c>
      <c r="E271" s="11" t="s">
        <v>29</v>
      </c>
      <c r="F271" s="20">
        <v>36642</v>
      </c>
      <c r="G271" s="16" t="str">
        <f t="shared" si="8"/>
        <v>April</v>
      </c>
      <c r="H271" s="2">
        <f t="shared" ca="1" si="9"/>
        <v>19</v>
      </c>
      <c r="I271" s="17" t="s">
        <v>47</v>
      </c>
      <c r="J271" s="18">
        <v>96053</v>
      </c>
      <c r="K271" s="19">
        <v>2</v>
      </c>
    </row>
    <row r="272" spans="1:11" x14ac:dyDescent="0.2">
      <c r="A272" s="11" t="s">
        <v>548</v>
      </c>
      <c r="B272" s="14" t="s">
        <v>19</v>
      </c>
      <c r="C272" s="11" t="s">
        <v>145</v>
      </c>
      <c r="D272" s="15">
        <v>627007314</v>
      </c>
      <c r="E272" s="11" t="s">
        <v>29</v>
      </c>
      <c r="F272" s="20">
        <v>36708</v>
      </c>
      <c r="G272" s="16" t="str">
        <f t="shared" si="8"/>
        <v>July</v>
      </c>
      <c r="H272" s="2">
        <f t="shared" ca="1" si="9"/>
        <v>18</v>
      </c>
      <c r="I272" s="17" t="s">
        <v>71</v>
      </c>
      <c r="J272" s="18">
        <v>116424</v>
      </c>
      <c r="K272" s="19">
        <v>1</v>
      </c>
    </row>
    <row r="273" spans="1:11" x14ac:dyDescent="0.2">
      <c r="A273" s="11" t="s">
        <v>783</v>
      </c>
      <c r="B273" s="14" t="s">
        <v>36</v>
      </c>
      <c r="C273" s="11" t="s">
        <v>86</v>
      </c>
      <c r="D273" s="15">
        <v>355005853</v>
      </c>
      <c r="E273" s="11" t="s">
        <v>29</v>
      </c>
      <c r="F273" s="20">
        <v>39153</v>
      </c>
      <c r="G273" s="16" t="str">
        <f t="shared" si="8"/>
        <v>March</v>
      </c>
      <c r="H273" s="2">
        <f t="shared" ca="1" si="9"/>
        <v>12</v>
      </c>
      <c r="I273" s="17" t="s">
        <v>47</v>
      </c>
      <c r="J273" s="18">
        <v>62141</v>
      </c>
      <c r="K273" s="19">
        <v>2</v>
      </c>
    </row>
    <row r="274" spans="1:11" x14ac:dyDescent="0.2">
      <c r="A274" s="11" t="s">
        <v>1442</v>
      </c>
      <c r="B274" s="14" t="s">
        <v>19</v>
      </c>
      <c r="C274" s="11" t="s">
        <v>86</v>
      </c>
      <c r="D274" s="15">
        <v>597001409</v>
      </c>
      <c r="E274" s="11" t="s">
        <v>29</v>
      </c>
      <c r="F274" s="20">
        <v>38713</v>
      </c>
      <c r="G274" s="16" t="str">
        <f t="shared" si="8"/>
        <v>December</v>
      </c>
      <c r="H274" s="2">
        <f t="shared" ca="1" si="9"/>
        <v>13</v>
      </c>
      <c r="I274" s="17" t="s">
        <v>30</v>
      </c>
      <c r="J274" s="18">
        <v>110849</v>
      </c>
      <c r="K274" s="19">
        <v>3</v>
      </c>
    </row>
    <row r="275" spans="1:11" x14ac:dyDescent="0.2">
      <c r="A275" s="11" t="s">
        <v>1340</v>
      </c>
      <c r="B275" s="14" t="s">
        <v>51</v>
      </c>
      <c r="C275" s="11" t="s">
        <v>214</v>
      </c>
      <c r="D275" s="15">
        <v>100009868</v>
      </c>
      <c r="E275" s="11" t="s">
        <v>80</v>
      </c>
      <c r="F275" s="20">
        <v>38663</v>
      </c>
      <c r="G275" s="16" t="str">
        <f t="shared" si="8"/>
        <v>November</v>
      </c>
      <c r="H275" s="2">
        <f t="shared" ca="1" si="9"/>
        <v>13</v>
      </c>
      <c r="I275" s="17" t="s">
        <v>47</v>
      </c>
      <c r="J275" s="18">
        <v>65927</v>
      </c>
      <c r="K275" s="19">
        <v>5</v>
      </c>
    </row>
    <row r="276" spans="1:11" x14ac:dyDescent="0.2">
      <c r="A276" s="11" t="s">
        <v>606</v>
      </c>
      <c r="B276" s="14" t="s">
        <v>27</v>
      </c>
      <c r="C276" s="11" t="s">
        <v>214</v>
      </c>
      <c r="D276" s="15">
        <v>894000119</v>
      </c>
      <c r="E276" s="11" t="s">
        <v>29</v>
      </c>
      <c r="F276" s="20">
        <v>39924</v>
      </c>
      <c r="G276" s="16" t="str">
        <f t="shared" si="8"/>
        <v>April</v>
      </c>
      <c r="H276" s="2">
        <f t="shared" ca="1" si="9"/>
        <v>10</v>
      </c>
      <c r="I276" s="17" t="s">
        <v>87</v>
      </c>
      <c r="J276" s="18">
        <v>89114</v>
      </c>
      <c r="K276" s="19">
        <v>5</v>
      </c>
    </row>
    <row r="277" spans="1:11" x14ac:dyDescent="0.2">
      <c r="A277" s="11" t="s">
        <v>121</v>
      </c>
      <c r="B277" s="14" t="s">
        <v>27</v>
      </c>
      <c r="C277" s="11" t="s">
        <v>104</v>
      </c>
      <c r="D277" s="15">
        <v>533006888</v>
      </c>
      <c r="E277" s="11" t="s">
        <v>29</v>
      </c>
      <c r="F277" s="20">
        <v>39070</v>
      </c>
      <c r="G277" s="16" t="str">
        <f t="shared" si="8"/>
        <v>December</v>
      </c>
      <c r="H277" s="2">
        <f t="shared" ca="1" si="9"/>
        <v>12</v>
      </c>
      <c r="I277" s="17" t="s">
        <v>71</v>
      </c>
      <c r="J277" s="18">
        <v>64598</v>
      </c>
      <c r="K277" s="19">
        <v>1</v>
      </c>
    </row>
    <row r="278" spans="1:11" x14ac:dyDescent="0.2">
      <c r="A278" s="11" t="s">
        <v>1162</v>
      </c>
      <c r="B278" s="14" t="s">
        <v>19</v>
      </c>
      <c r="C278" s="11" t="s">
        <v>136</v>
      </c>
      <c r="D278" s="15">
        <v>214001610</v>
      </c>
      <c r="E278" s="11" t="s">
        <v>29</v>
      </c>
      <c r="F278" s="20">
        <v>38075</v>
      </c>
      <c r="G278" s="16" t="str">
        <f t="shared" si="8"/>
        <v>March</v>
      </c>
      <c r="H278" s="2">
        <f t="shared" ca="1" si="9"/>
        <v>15</v>
      </c>
      <c r="I278" s="17" t="s">
        <v>47</v>
      </c>
      <c r="J278" s="18">
        <v>63909</v>
      </c>
      <c r="K278" s="19">
        <v>2</v>
      </c>
    </row>
    <row r="279" spans="1:11" x14ac:dyDescent="0.2">
      <c r="A279" s="11" t="s">
        <v>653</v>
      </c>
      <c r="B279" s="14" t="s">
        <v>27</v>
      </c>
      <c r="C279" s="11" t="s">
        <v>214</v>
      </c>
      <c r="D279" s="15">
        <v>948000407</v>
      </c>
      <c r="E279" s="11" t="s">
        <v>21</v>
      </c>
      <c r="F279" s="20">
        <v>40490</v>
      </c>
      <c r="G279" s="16" t="str">
        <f t="shared" si="8"/>
        <v>November</v>
      </c>
      <c r="H279" s="2">
        <f t="shared" ca="1" si="9"/>
        <v>8</v>
      </c>
      <c r="I279" s="17"/>
      <c r="J279" s="18">
        <v>82850</v>
      </c>
      <c r="K279" s="19">
        <v>3</v>
      </c>
    </row>
    <row r="280" spans="1:11" x14ac:dyDescent="0.2">
      <c r="A280" s="11" t="s">
        <v>747</v>
      </c>
      <c r="B280" s="14" t="s">
        <v>19</v>
      </c>
      <c r="C280" s="11" t="s">
        <v>136</v>
      </c>
      <c r="D280" s="15">
        <v>317003890</v>
      </c>
      <c r="E280" s="11" t="s">
        <v>29</v>
      </c>
      <c r="F280" s="20">
        <v>37025</v>
      </c>
      <c r="G280" s="16" t="str">
        <f t="shared" si="8"/>
        <v>May</v>
      </c>
      <c r="H280" s="2">
        <f t="shared" ca="1" si="9"/>
        <v>18</v>
      </c>
      <c r="I280" s="17" t="s">
        <v>38</v>
      </c>
      <c r="J280" s="18">
        <v>93717</v>
      </c>
      <c r="K280" s="19">
        <v>2</v>
      </c>
    </row>
    <row r="281" spans="1:11" x14ac:dyDescent="0.2">
      <c r="A281" s="11" t="s">
        <v>228</v>
      </c>
      <c r="B281" s="14" t="s">
        <v>43</v>
      </c>
      <c r="C281" s="11" t="s">
        <v>20</v>
      </c>
      <c r="D281" s="15">
        <v>393003249</v>
      </c>
      <c r="E281" s="11" t="s">
        <v>21</v>
      </c>
      <c r="F281" s="20">
        <v>39326</v>
      </c>
      <c r="G281" s="16" t="str">
        <f t="shared" si="8"/>
        <v>September</v>
      </c>
      <c r="H281" s="2">
        <f t="shared" ca="1" si="9"/>
        <v>11</v>
      </c>
      <c r="I281" s="17"/>
      <c r="J281" s="18">
        <v>31806</v>
      </c>
      <c r="K281" s="19">
        <v>3</v>
      </c>
    </row>
    <row r="282" spans="1:11" x14ac:dyDescent="0.2">
      <c r="A282" s="11" t="s">
        <v>1252</v>
      </c>
      <c r="B282" s="14" t="s">
        <v>36</v>
      </c>
      <c r="C282" s="11" t="s">
        <v>52</v>
      </c>
      <c r="D282" s="15">
        <v>291008311</v>
      </c>
      <c r="E282" s="11" t="s">
        <v>29</v>
      </c>
      <c r="F282" s="20">
        <v>38343</v>
      </c>
      <c r="G282" s="16" t="str">
        <f t="shared" si="8"/>
        <v>December</v>
      </c>
      <c r="H282" s="2">
        <f t="shared" ca="1" si="9"/>
        <v>14</v>
      </c>
      <c r="I282" s="17" t="s">
        <v>47</v>
      </c>
      <c r="J282" s="18">
        <v>108162</v>
      </c>
      <c r="K282" s="19">
        <v>4</v>
      </c>
    </row>
    <row r="283" spans="1:11" x14ac:dyDescent="0.2">
      <c r="A283" s="11" t="s">
        <v>1370</v>
      </c>
      <c r="B283" s="14" t="s">
        <v>83</v>
      </c>
      <c r="C283" s="11" t="s">
        <v>152</v>
      </c>
      <c r="D283" s="15">
        <v>843009208</v>
      </c>
      <c r="E283" s="11" t="s">
        <v>80</v>
      </c>
      <c r="F283" s="20">
        <v>42391</v>
      </c>
      <c r="G283" s="16" t="str">
        <f t="shared" si="8"/>
        <v>January</v>
      </c>
      <c r="H283" s="2">
        <f t="shared" ca="1" si="9"/>
        <v>3</v>
      </c>
      <c r="I283" s="17" t="s">
        <v>71</v>
      </c>
      <c r="J283" s="18">
        <v>66258</v>
      </c>
      <c r="K283" s="19">
        <v>5</v>
      </c>
    </row>
    <row r="284" spans="1:11" x14ac:dyDescent="0.2">
      <c r="A284" s="11" t="s">
        <v>1404</v>
      </c>
      <c r="B284" s="14" t="s">
        <v>36</v>
      </c>
      <c r="C284" s="11" t="s">
        <v>152</v>
      </c>
      <c r="D284" s="15">
        <v>941007371</v>
      </c>
      <c r="E284" s="11" t="s">
        <v>29</v>
      </c>
      <c r="F284" s="20">
        <v>38632</v>
      </c>
      <c r="G284" s="16" t="str">
        <f t="shared" si="8"/>
        <v>October</v>
      </c>
      <c r="H284" s="2">
        <f t="shared" ca="1" si="9"/>
        <v>13</v>
      </c>
      <c r="I284" s="17" t="s">
        <v>47</v>
      </c>
      <c r="J284" s="18">
        <v>116532</v>
      </c>
      <c r="K284" s="19">
        <v>4</v>
      </c>
    </row>
    <row r="285" spans="1:11" x14ac:dyDescent="0.2">
      <c r="A285" s="11" t="s">
        <v>469</v>
      </c>
      <c r="B285" s="14" t="s">
        <v>83</v>
      </c>
      <c r="C285" s="11" t="s">
        <v>214</v>
      </c>
      <c r="D285" s="15">
        <v>466003520</v>
      </c>
      <c r="E285" s="11" t="s">
        <v>56</v>
      </c>
      <c r="F285" s="20">
        <v>36607</v>
      </c>
      <c r="G285" s="16" t="str">
        <f t="shared" si="8"/>
        <v>March</v>
      </c>
      <c r="H285" s="2">
        <f t="shared" ca="1" si="9"/>
        <v>19</v>
      </c>
      <c r="I285" s="17"/>
      <c r="J285" s="18">
        <v>30164</v>
      </c>
      <c r="K285" s="19">
        <v>4</v>
      </c>
    </row>
    <row r="286" spans="1:11" x14ac:dyDescent="0.2">
      <c r="A286" s="11" t="s">
        <v>1526</v>
      </c>
      <c r="B286" s="14" t="s">
        <v>27</v>
      </c>
      <c r="C286" s="11" t="s">
        <v>152</v>
      </c>
      <c r="D286" s="15">
        <v>151002569</v>
      </c>
      <c r="E286" s="11" t="s">
        <v>21</v>
      </c>
      <c r="F286" s="20">
        <v>43419</v>
      </c>
      <c r="G286" s="16" t="str">
        <f t="shared" si="8"/>
        <v>November</v>
      </c>
      <c r="H286" s="2">
        <f t="shared" ca="1" si="9"/>
        <v>0</v>
      </c>
      <c r="I286" s="17"/>
      <c r="J286" s="18">
        <v>74939</v>
      </c>
      <c r="K286" s="19">
        <v>3</v>
      </c>
    </row>
    <row r="287" spans="1:11" x14ac:dyDescent="0.2">
      <c r="A287" s="11" t="s">
        <v>425</v>
      </c>
      <c r="B287" s="14" t="s">
        <v>51</v>
      </c>
      <c r="C287" s="11" t="s">
        <v>20</v>
      </c>
      <c r="D287" s="15">
        <v>403004590</v>
      </c>
      <c r="E287" s="11" t="s">
        <v>21</v>
      </c>
      <c r="F287" s="20">
        <v>36534</v>
      </c>
      <c r="G287" s="16" t="str">
        <f t="shared" si="8"/>
        <v>January</v>
      </c>
      <c r="H287" s="2">
        <f t="shared" ca="1" si="9"/>
        <v>19</v>
      </c>
      <c r="I287" s="17"/>
      <c r="J287" s="18">
        <v>87021</v>
      </c>
      <c r="K287" s="19">
        <v>1</v>
      </c>
    </row>
    <row r="288" spans="1:11" x14ac:dyDescent="0.2">
      <c r="A288" s="11" t="s">
        <v>1348</v>
      </c>
      <c r="B288" s="14" t="s">
        <v>27</v>
      </c>
      <c r="C288" s="11" t="s">
        <v>145</v>
      </c>
      <c r="D288" s="15">
        <v>351003584</v>
      </c>
      <c r="E288" s="11" t="s">
        <v>21</v>
      </c>
      <c r="F288" s="20">
        <v>39070</v>
      </c>
      <c r="G288" s="16" t="str">
        <f t="shared" si="8"/>
        <v>December</v>
      </c>
      <c r="H288" s="2">
        <f t="shared" ca="1" si="9"/>
        <v>12</v>
      </c>
      <c r="I288" s="17"/>
      <c r="J288" s="18">
        <v>71969</v>
      </c>
      <c r="K288" s="19">
        <v>5</v>
      </c>
    </row>
    <row r="289" spans="1:11" x14ac:dyDescent="0.2">
      <c r="A289" s="11" t="s">
        <v>859</v>
      </c>
      <c r="B289" s="14" t="s">
        <v>43</v>
      </c>
      <c r="C289" s="11" t="s">
        <v>214</v>
      </c>
      <c r="D289" s="15">
        <v>865003824</v>
      </c>
      <c r="E289" s="11" t="s">
        <v>29</v>
      </c>
      <c r="F289" s="20">
        <v>37397</v>
      </c>
      <c r="G289" s="16" t="str">
        <f t="shared" si="8"/>
        <v>May</v>
      </c>
      <c r="H289" s="2">
        <f t="shared" ca="1" si="9"/>
        <v>17</v>
      </c>
      <c r="I289" s="17" t="s">
        <v>71</v>
      </c>
      <c r="J289" s="18">
        <v>46548</v>
      </c>
      <c r="K289" s="19">
        <v>3</v>
      </c>
    </row>
    <row r="290" spans="1:11" x14ac:dyDescent="0.2">
      <c r="A290" s="11" t="s">
        <v>586</v>
      </c>
      <c r="B290" s="14" t="s">
        <v>27</v>
      </c>
      <c r="C290" s="11" t="s">
        <v>214</v>
      </c>
      <c r="D290" s="15">
        <v>475007002</v>
      </c>
      <c r="E290" s="11" t="s">
        <v>29</v>
      </c>
      <c r="F290" s="20">
        <v>39174</v>
      </c>
      <c r="G290" s="16" t="str">
        <f t="shared" si="8"/>
        <v>April</v>
      </c>
      <c r="H290" s="2">
        <f t="shared" ca="1" si="9"/>
        <v>12</v>
      </c>
      <c r="I290" s="17" t="s">
        <v>30</v>
      </c>
      <c r="J290" s="18">
        <v>92813</v>
      </c>
      <c r="K290" s="19">
        <v>1</v>
      </c>
    </row>
    <row r="291" spans="1:11" x14ac:dyDescent="0.2">
      <c r="A291" s="11" t="s">
        <v>950</v>
      </c>
      <c r="B291" s="14" t="s">
        <v>19</v>
      </c>
      <c r="C291" s="11" t="s">
        <v>254</v>
      </c>
      <c r="D291" s="15">
        <v>839009522</v>
      </c>
      <c r="E291" s="11" t="s">
        <v>29</v>
      </c>
      <c r="F291" s="20">
        <v>38825</v>
      </c>
      <c r="G291" s="16" t="str">
        <f t="shared" si="8"/>
        <v>April</v>
      </c>
      <c r="H291" s="2">
        <f t="shared" ca="1" si="9"/>
        <v>13</v>
      </c>
      <c r="I291" s="17" t="s">
        <v>47</v>
      </c>
      <c r="J291" s="18">
        <v>100616</v>
      </c>
      <c r="K291" s="19">
        <v>5</v>
      </c>
    </row>
    <row r="292" spans="1:11" x14ac:dyDescent="0.2">
      <c r="A292" s="11" t="s">
        <v>988</v>
      </c>
      <c r="B292" s="14" t="s">
        <v>27</v>
      </c>
      <c r="C292" s="11" t="s">
        <v>254</v>
      </c>
      <c r="D292" s="15">
        <v>489003842</v>
      </c>
      <c r="E292" s="11" t="s">
        <v>80</v>
      </c>
      <c r="F292" s="20">
        <v>39551</v>
      </c>
      <c r="G292" s="16" t="str">
        <f t="shared" si="8"/>
        <v>April</v>
      </c>
      <c r="H292" s="2">
        <f t="shared" ca="1" si="9"/>
        <v>11</v>
      </c>
      <c r="I292" s="17" t="s">
        <v>30</v>
      </c>
      <c r="J292" s="18">
        <v>39157</v>
      </c>
      <c r="K292" s="19">
        <v>1</v>
      </c>
    </row>
    <row r="293" spans="1:11" x14ac:dyDescent="0.2">
      <c r="A293" s="11" t="s">
        <v>1084</v>
      </c>
      <c r="B293" s="14" t="s">
        <v>36</v>
      </c>
      <c r="C293" s="11" t="s">
        <v>214</v>
      </c>
      <c r="D293" s="15">
        <v>523008324</v>
      </c>
      <c r="E293" s="11" t="s">
        <v>29</v>
      </c>
      <c r="F293" s="20">
        <v>38217</v>
      </c>
      <c r="G293" s="16" t="str">
        <f t="shared" si="8"/>
        <v>August</v>
      </c>
      <c r="H293" s="2">
        <f t="shared" ca="1" si="9"/>
        <v>14</v>
      </c>
      <c r="I293" s="17" t="s">
        <v>47</v>
      </c>
      <c r="J293" s="18">
        <v>80082</v>
      </c>
      <c r="K293" s="19">
        <v>4</v>
      </c>
    </row>
    <row r="294" spans="1:11" x14ac:dyDescent="0.2">
      <c r="A294" s="11" t="s">
        <v>382</v>
      </c>
      <c r="B294" s="14" t="s">
        <v>27</v>
      </c>
      <c r="C294" s="11" t="s">
        <v>59</v>
      </c>
      <c r="D294" s="15">
        <v>541005827</v>
      </c>
      <c r="E294" s="11" t="s">
        <v>29</v>
      </c>
      <c r="F294" s="20">
        <v>40991</v>
      </c>
      <c r="G294" s="16" t="str">
        <f t="shared" si="8"/>
        <v>March</v>
      </c>
      <c r="H294" s="2">
        <f t="shared" ca="1" si="9"/>
        <v>7</v>
      </c>
      <c r="I294" s="17" t="s">
        <v>38</v>
      </c>
      <c r="J294" s="18">
        <v>88506</v>
      </c>
      <c r="K294" s="19">
        <v>1</v>
      </c>
    </row>
    <row r="295" spans="1:11" x14ac:dyDescent="0.2">
      <c r="A295" s="11" t="s">
        <v>1156</v>
      </c>
      <c r="B295" s="14" t="s">
        <v>27</v>
      </c>
      <c r="C295" s="11" t="s">
        <v>136</v>
      </c>
      <c r="D295" s="15">
        <v>468004190</v>
      </c>
      <c r="E295" s="11" t="s">
        <v>29</v>
      </c>
      <c r="F295" s="20">
        <v>38025</v>
      </c>
      <c r="G295" s="16" t="str">
        <f t="shared" si="8"/>
        <v>February</v>
      </c>
      <c r="H295" s="2">
        <f t="shared" ca="1" si="9"/>
        <v>15</v>
      </c>
      <c r="I295" s="17" t="s">
        <v>71</v>
      </c>
      <c r="J295" s="18">
        <v>98064</v>
      </c>
      <c r="K295" s="19">
        <v>3</v>
      </c>
    </row>
    <row r="296" spans="1:11" x14ac:dyDescent="0.2">
      <c r="A296" s="11" t="s">
        <v>835</v>
      </c>
      <c r="B296" s="14" t="s">
        <v>19</v>
      </c>
      <c r="C296" s="11" t="s">
        <v>214</v>
      </c>
      <c r="D296" s="15">
        <v>775007609</v>
      </c>
      <c r="E296" s="11" t="s">
        <v>29</v>
      </c>
      <c r="F296" s="20">
        <v>37260</v>
      </c>
      <c r="G296" s="16" t="str">
        <f t="shared" si="8"/>
        <v>January</v>
      </c>
      <c r="H296" s="2">
        <f t="shared" ca="1" si="9"/>
        <v>17</v>
      </c>
      <c r="I296" s="17" t="s">
        <v>30</v>
      </c>
      <c r="J296" s="18">
        <v>33359</v>
      </c>
      <c r="K296" s="19">
        <v>2</v>
      </c>
    </row>
    <row r="297" spans="1:11" x14ac:dyDescent="0.2">
      <c r="A297" s="11" t="s">
        <v>685</v>
      </c>
      <c r="B297" s="14" t="s">
        <v>83</v>
      </c>
      <c r="C297" s="11" t="s">
        <v>214</v>
      </c>
      <c r="D297" s="15">
        <v>725007456</v>
      </c>
      <c r="E297" s="11" t="s">
        <v>21</v>
      </c>
      <c r="F297" s="20">
        <v>41730</v>
      </c>
      <c r="G297" s="16" t="str">
        <f t="shared" si="8"/>
        <v>April</v>
      </c>
      <c r="H297" s="2">
        <f t="shared" ca="1" si="9"/>
        <v>5</v>
      </c>
      <c r="I297" s="17"/>
      <c r="J297" s="18">
        <v>80096</v>
      </c>
      <c r="K297" s="19">
        <v>4</v>
      </c>
    </row>
    <row r="298" spans="1:11" x14ac:dyDescent="0.2">
      <c r="A298" s="11" t="s">
        <v>1346</v>
      </c>
      <c r="B298" s="14" t="s">
        <v>27</v>
      </c>
      <c r="C298" s="11" t="s">
        <v>86</v>
      </c>
      <c r="D298" s="15">
        <v>479001328</v>
      </c>
      <c r="E298" s="11" t="s">
        <v>21</v>
      </c>
      <c r="F298" s="20">
        <v>38538</v>
      </c>
      <c r="G298" s="16" t="str">
        <f t="shared" si="8"/>
        <v>July</v>
      </c>
      <c r="H298" s="2">
        <f t="shared" ca="1" si="9"/>
        <v>13</v>
      </c>
      <c r="I298" s="17"/>
      <c r="J298" s="18">
        <v>86198</v>
      </c>
      <c r="K298" s="19">
        <v>2</v>
      </c>
    </row>
    <row r="299" spans="1:11" x14ac:dyDescent="0.2">
      <c r="A299" s="11" t="s">
        <v>980</v>
      </c>
      <c r="B299" s="14" t="s">
        <v>83</v>
      </c>
      <c r="C299" s="11" t="s">
        <v>254</v>
      </c>
      <c r="D299" s="15">
        <v>213001822</v>
      </c>
      <c r="E299" s="11" t="s">
        <v>21</v>
      </c>
      <c r="F299" s="20">
        <v>38777</v>
      </c>
      <c r="G299" s="16" t="str">
        <f t="shared" si="8"/>
        <v>March</v>
      </c>
      <c r="H299" s="2">
        <f t="shared" ca="1" si="9"/>
        <v>13</v>
      </c>
      <c r="I299" s="17"/>
      <c r="J299" s="18">
        <v>85496</v>
      </c>
      <c r="K299" s="19">
        <v>4</v>
      </c>
    </row>
    <row r="300" spans="1:11" x14ac:dyDescent="0.2">
      <c r="A300" s="11" t="s">
        <v>1338</v>
      </c>
      <c r="B300" s="14" t="s">
        <v>27</v>
      </c>
      <c r="C300" s="11" t="s">
        <v>145</v>
      </c>
      <c r="D300" s="15">
        <v>135003006</v>
      </c>
      <c r="E300" s="11" t="s">
        <v>21</v>
      </c>
      <c r="F300" s="20">
        <v>39335</v>
      </c>
      <c r="G300" s="16" t="str">
        <f t="shared" si="8"/>
        <v>September</v>
      </c>
      <c r="H300" s="2">
        <f t="shared" ca="1" si="9"/>
        <v>11</v>
      </c>
      <c r="I300" s="17"/>
      <c r="J300" s="18">
        <v>74034</v>
      </c>
      <c r="K300" s="19">
        <v>4</v>
      </c>
    </row>
    <row r="301" spans="1:11" x14ac:dyDescent="0.2">
      <c r="A301" s="11" t="s">
        <v>1026</v>
      </c>
      <c r="B301" s="14" t="s">
        <v>19</v>
      </c>
      <c r="C301" s="11" t="s">
        <v>28</v>
      </c>
      <c r="D301" s="15">
        <v>943001719</v>
      </c>
      <c r="E301" s="11" t="s">
        <v>29</v>
      </c>
      <c r="F301" s="20">
        <v>38305</v>
      </c>
      <c r="G301" s="16" t="str">
        <f t="shared" si="8"/>
        <v>November</v>
      </c>
      <c r="H301" s="2">
        <f t="shared" ca="1" si="9"/>
        <v>14</v>
      </c>
      <c r="I301" s="17" t="s">
        <v>30</v>
      </c>
      <c r="J301" s="18">
        <v>30942</v>
      </c>
      <c r="K301" s="19">
        <v>3</v>
      </c>
    </row>
    <row r="302" spans="1:11" x14ac:dyDescent="0.2">
      <c r="A302" s="11" t="s">
        <v>477</v>
      </c>
      <c r="B302" s="14" t="s">
        <v>83</v>
      </c>
      <c r="C302" s="11" t="s">
        <v>478</v>
      </c>
      <c r="D302" s="15">
        <v>742006482</v>
      </c>
      <c r="E302" s="11" t="s">
        <v>29</v>
      </c>
      <c r="F302" s="20">
        <v>36688</v>
      </c>
      <c r="G302" s="16" t="str">
        <f t="shared" si="8"/>
        <v>June</v>
      </c>
      <c r="H302" s="2">
        <f t="shared" ca="1" si="9"/>
        <v>18</v>
      </c>
      <c r="I302" s="17" t="s">
        <v>47</v>
      </c>
      <c r="J302" s="18">
        <v>52866</v>
      </c>
      <c r="K302" s="19">
        <v>3</v>
      </c>
    </row>
    <row r="303" spans="1:11" x14ac:dyDescent="0.2">
      <c r="A303" s="11" t="s">
        <v>853</v>
      </c>
      <c r="B303" s="14" t="s">
        <v>43</v>
      </c>
      <c r="C303" s="11" t="s">
        <v>86</v>
      </c>
      <c r="D303" s="15">
        <v>422009693</v>
      </c>
      <c r="E303" s="11" t="s">
        <v>29</v>
      </c>
      <c r="F303" s="20">
        <v>39518</v>
      </c>
      <c r="G303" s="16" t="str">
        <f t="shared" si="8"/>
        <v>March</v>
      </c>
      <c r="H303" s="2">
        <f t="shared" ca="1" si="9"/>
        <v>11</v>
      </c>
      <c r="I303" s="17" t="s">
        <v>30</v>
      </c>
      <c r="J303" s="18">
        <v>70862</v>
      </c>
      <c r="K303" s="19">
        <v>4</v>
      </c>
    </row>
    <row r="304" spans="1:11" x14ac:dyDescent="0.2">
      <c r="A304" s="11" t="s">
        <v>1072</v>
      </c>
      <c r="B304" s="14" t="s">
        <v>27</v>
      </c>
      <c r="C304" s="11" t="s">
        <v>136</v>
      </c>
      <c r="D304" s="15">
        <v>945000038</v>
      </c>
      <c r="E304" s="11" t="s">
        <v>29</v>
      </c>
      <c r="F304" s="20">
        <v>40557</v>
      </c>
      <c r="G304" s="16" t="str">
        <f t="shared" si="8"/>
        <v>January</v>
      </c>
      <c r="H304" s="2">
        <f t="shared" ca="1" si="9"/>
        <v>8</v>
      </c>
      <c r="I304" s="17" t="s">
        <v>87</v>
      </c>
      <c r="J304" s="18">
        <v>31806</v>
      </c>
      <c r="K304" s="19">
        <v>3</v>
      </c>
    </row>
    <row r="305" spans="1:11" x14ac:dyDescent="0.2">
      <c r="A305" s="11" t="s">
        <v>490</v>
      </c>
      <c r="B305" s="14" t="s">
        <v>27</v>
      </c>
      <c r="C305" s="11" t="s">
        <v>249</v>
      </c>
      <c r="D305" s="15">
        <v>468003266</v>
      </c>
      <c r="E305" s="11" t="s">
        <v>29</v>
      </c>
      <c r="F305" s="20">
        <v>36597</v>
      </c>
      <c r="G305" s="16" t="str">
        <f t="shared" si="8"/>
        <v>March</v>
      </c>
      <c r="H305" s="2">
        <f t="shared" ca="1" si="9"/>
        <v>19</v>
      </c>
      <c r="I305" s="17" t="s">
        <v>47</v>
      </c>
      <c r="J305" s="18">
        <v>65543</v>
      </c>
      <c r="K305" s="19">
        <v>5</v>
      </c>
    </row>
    <row r="306" spans="1:11" x14ac:dyDescent="0.2">
      <c r="A306" s="11" t="s">
        <v>693</v>
      </c>
      <c r="B306" s="14" t="s">
        <v>19</v>
      </c>
      <c r="C306" s="11" t="s">
        <v>214</v>
      </c>
      <c r="D306" s="15">
        <v>220001349</v>
      </c>
      <c r="E306" s="11" t="s">
        <v>21</v>
      </c>
      <c r="F306" s="20">
        <v>37005</v>
      </c>
      <c r="G306" s="16" t="str">
        <f t="shared" si="8"/>
        <v>April</v>
      </c>
      <c r="H306" s="2">
        <f t="shared" ca="1" si="9"/>
        <v>18</v>
      </c>
      <c r="I306" s="17"/>
      <c r="J306" s="18">
        <v>61790</v>
      </c>
      <c r="K306" s="19">
        <v>5</v>
      </c>
    </row>
    <row r="307" spans="1:11" x14ac:dyDescent="0.2">
      <c r="A307" s="11" t="s">
        <v>106</v>
      </c>
      <c r="B307" s="14" t="s">
        <v>43</v>
      </c>
      <c r="C307" s="11" t="s">
        <v>104</v>
      </c>
      <c r="D307" s="15">
        <v>278001222</v>
      </c>
      <c r="E307" s="11" t="s">
        <v>29</v>
      </c>
      <c r="F307" s="20">
        <v>39749</v>
      </c>
      <c r="G307" s="16" t="str">
        <f t="shared" si="8"/>
        <v>October</v>
      </c>
      <c r="H307" s="2">
        <f t="shared" ca="1" si="9"/>
        <v>10</v>
      </c>
      <c r="I307" s="17" t="s">
        <v>30</v>
      </c>
      <c r="J307" s="18">
        <v>45414</v>
      </c>
      <c r="K307" s="19">
        <v>3</v>
      </c>
    </row>
    <row r="308" spans="1:11" x14ac:dyDescent="0.2">
      <c r="A308" s="11" t="s">
        <v>510</v>
      </c>
      <c r="B308" s="14" t="s">
        <v>43</v>
      </c>
      <c r="C308" s="11" t="s">
        <v>214</v>
      </c>
      <c r="D308" s="15">
        <v>353004196</v>
      </c>
      <c r="E308" s="11" t="s">
        <v>29</v>
      </c>
      <c r="F308" s="20">
        <v>39554</v>
      </c>
      <c r="G308" s="16" t="str">
        <f t="shared" si="8"/>
        <v>April</v>
      </c>
      <c r="H308" s="2">
        <f t="shared" ca="1" si="9"/>
        <v>11</v>
      </c>
      <c r="I308" s="17" t="s">
        <v>38</v>
      </c>
      <c r="J308" s="18">
        <v>31928</v>
      </c>
      <c r="K308" s="19">
        <v>1</v>
      </c>
    </row>
    <row r="309" spans="1:11" x14ac:dyDescent="0.2">
      <c r="A309" s="11" t="s">
        <v>1198</v>
      </c>
      <c r="B309" s="14" t="s">
        <v>19</v>
      </c>
      <c r="C309" s="11" t="s">
        <v>136</v>
      </c>
      <c r="D309" s="15">
        <v>959000235</v>
      </c>
      <c r="E309" s="11" t="s">
        <v>29</v>
      </c>
      <c r="F309" s="20">
        <v>42993</v>
      </c>
      <c r="G309" s="16" t="str">
        <f t="shared" si="8"/>
        <v>September</v>
      </c>
      <c r="H309" s="2">
        <f t="shared" ca="1" si="9"/>
        <v>1</v>
      </c>
      <c r="I309" s="17" t="s">
        <v>47</v>
      </c>
      <c r="J309" s="18">
        <v>73157</v>
      </c>
      <c r="K309" s="19">
        <v>4</v>
      </c>
    </row>
    <row r="310" spans="1:11" x14ac:dyDescent="0.2">
      <c r="A310" s="11" t="s">
        <v>211</v>
      </c>
      <c r="B310" s="14" t="s">
        <v>27</v>
      </c>
      <c r="C310" s="11" t="s">
        <v>20</v>
      </c>
      <c r="D310" s="15">
        <v>349009288</v>
      </c>
      <c r="E310" s="11" t="s">
        <v>29</v>
      </c>
      <c r="F310" s="20">
        <v>39874</v>
      </c>
      <c r="G310" s="16" t="str">
        <f t="shared" si="8"/>
        <v>March</v>
      </c>
      <c r="H310" s="2">
        <f t="shared" ca="1" si="9"/>
        <v>10</v>
      </c>
      <c r="I310" s="17" t="s">
        <v>30</v>
      </c>
      <c r="J310" s="18">
        <v>38678</v>
      </c>
      <c r="K310" s="19">
        <v>4</v>
      </c>
    </row>
    <row r="311" spans="1:11" x14ac:dyDescent="0.2">
      <c r="A311" s="11" t="s">
        <v>1538</v>
      </c>
      <c r="B311" s="14" t="s">
        <v>19</v>
      </c>
      <c r="C311" s="11" t="s">
        <v>152</v>
      </c>
      <c r="D311" s="15">
        <v>308007457</v>
      </c>
      <c r="E311" s="11" t="s">
        <v>29</v>
      </c>
      <c r="F311" s="20">
        <v>43536</v>
      </c>
      <c r="G311" s="16" t="str">
        <f t="shared" si="8"/>
        <v>March</v>
      </c>
      <c r="H311" s="2">
        <f t="shared" ca="1" si="9"/>
        <v>0</v>
      </c>
      <c r="I311" s="17" t="s">
        <v>47</v>
      </c>
      <c r="J311" s="18">
        <v>31091</v>
      </c>
      <c r="K311" s="19">
        <v>4</v>
      </c>
    </row>
    <row r="312" spans="1:11" x14ac:dyDescent="0.2">
      <c r="A312" s="11" t="s">
        <v>914</v>
      </c>
      <c r="B312" s="14" t="s">
        <v>43</v>
      </c>
      <c r="C312" s="11" t="s">
        <v>254</v>
      </c>
      <c r="D312" s="15">
        <v>972001650</v>
      </c>
      <c r="E312" s="11" t="s">
        <v>80</v>
      </c>
      <c r="F312" s="20">
        <v>40326</v>
      </c>
      <c r="G312" s="16" t="str">
        <f t="shared" si="8"/>
        <v>May</v>
      </c>
      <c r="H312" s="2">
        <f t="shared" ca="1" si="9"/>
        <v>9</v>
      </c>
      <c r="I312" s="17" t="s">
        <v>47</v>
      </c>
      <c r="J312" s="18">
        <v>45644</v>
      </c>
      <c r="K312" s="19">
        <v>5</v>
      </c>
    </row>
    <row r="313" spans="1:11" x14ac:dyDescent="0.2">
      <c r="A313" s="11" t="s">
        <v>1130</v>
      </c>
      <c r="B313" s="14" t="s">
        <v>27</v>
      </c>
      <c r="C313" s="11" t="s">
        <v>136</v>
      </c>
      <c r="D313" s="15">
        <v>449007941</v>
      </c>
      <c r="E313" s="11" t="s">
        <v>29</v>
      </c>
      <c r="F313" s="20">
        <v>43333</v>
      </c>
      <c r="G313" s="16" t="str">
        <f t="shared" si="8"/>
        <v>August</v>
      </c>
      <c r="H313" s="2">
        <f t="shared" ca="1" si="9"/>
        <v>0</v>
      </c>
      <c r="I313" s="17" t="s">
        <v>38</v>
      </c>
      <c r="J313" s="18">
        <v>85328</v>
      </c>
      <c r="K313" s="19">
        <v>1</v>
      </c>
    </row>
    <row r="314" spans="1:11" x14ac:dyDescent="0.2">
      <c r="A314" s="4" t="s">
        <v>1314</v>
      </c>
      <c r="B314" s="14" t="s">
        <v>27</v>
      </c>
      <c r="C314" s="11" t="s">
        <v>214</v>
      </c>
      <c r="D314" s="15">
        <v>597001266</v>
      </c>
      <c r="E314" s="11" t="s">
        <v>29</v>
      </c>
      <c r="F314" s="20">
        <v>38559</v>
      </c>
      <c r="G314" s="16" t="str">
        <f t="shared" si="8"/>
        <v>July</v>
      </c>
      <c r="H314" s="2">
        <f t="shared" ca="1" si="9"/>
        <v>13</v>
      </c>
      <c r="I314" s="17" t="s">
        <v>87</v>
      </c>
      <c r="J314" s="18">
        <v>89681</v>
      </c>
      <c r="K314" s="19">
        <v>2</v>
      </c>
    </row>
    <row r="315" spans="1:11" x14ac:dyDescent="0.2">
      <c r="A315" s="11" t="s">
        <v>154</v>
      </c>
      <c r="B315" s="14" t="s">
        <v>19</v>
      </c>
      <c r="C315" s="11" t="s">
        <v>152</v>
      </c>
      <c r="D315" s="15">
        <v>918006287</v>
      </c>
      <c r="E315" s="11" t="s">
        <v>21</v>
      </c>
      <c r="F315" s="20">
        <v>36049</v>
      </c>
      <c r="G315" s="16" t="str">
        <f t="shared" si="8"/>
        <v>September</v>
      </c>
      <c r="H315" s="2">
        <f t="shared" ca="1" si="9"/>
        <v>20</v>
      </c>
      <c r="I315" s="17"/>
      <c r="J315" s="18">
        <v>85874</v>
      </c>
      <c r="K315" s="19">
        <v>5</v>
      </c>
    </row>
    <row r="316" spans="1:11" x14ac:dyDescent="0.2">
      <c r="A316" s="11" t="s">
        <v>602</v>
      </c>
      <c r="B316" s="14" t="s">
        <v>43</v>
      </c>
      <c r="C316" s="11" t="s">
        <v>152</v>
      </c>
      <c r="D316" s="15">
        <v>610000294</v>
      </c>
      <c r="E316" s="11" t="s">
        <v>21</v>
      </c>
      <c r="F316" s="20">
        <v>36676</v>
      </c>
      <c r="G316" s="16" t="str">
        <f t="shared" si="8"/>
        <v>May</v>
      </c>
      <c r="H316" s="2">
        <f t="shared" ca="1" si="9"/>
        <v>19</v>
      </c>
      <c r="I316" s="17"/>
      <c r="J316" s="18">
        <v>94905</v>
      </c>
      <c r="K316" s="19">
        <v>3</v>
      </c>
    </row>
    <row r="317" spans="1:11" x14ac:dyDescent="0.2">
      <c r="A317" s="11" t="s">
        <v>743</v>
      </c>
      <c r="B317" s="14" t="s">
        <v>43</v>
      </c>
      <c r="C317" s="11" t="s">
        <v>478</v>
      </c>
      <c r="D317" s="15">
        <v>292006053</v>
      </c>
      <c r="E317" s="11" t="s">
        <v>21</v>
      </c>
      <c r="F317" s="20">
        <v>39621</v>
      </c>
      <c r="G317" s="16" t="str">
        <f t="shared" si="8"/>
        <v>June</v>
      </c>
      <c r="H317" s="2">
        <f t="shared" ca="1" si="9"/>
        <v>10</v>
      </c>
      <c r="I317" s="17"/>
      <c r="J317" s="18">
        <v>100575</v>
      </c>
      <c r="K317" s="19">
        <v>4</v>
      </c>
    </row>
    <row r="318" spans="1:11" x14ac:dyDescent="0.2">
      <c r="A318" s="11" t="s">
        <v>972</v>
      </c>
      <c r="B318" s="14" t="s">
        <v>51</v>
      </c>
      <c r="C318" s="11" t="s">
        <v>254</v>
      </c>
      <c r="D318" s="15">
        <v>551002018</v>
      </c>
      <c r="E318" s="11" t="s">
        <v>29</v>
      </c>
      <c r="F318" s="20">
        <v>43226</v>
      </c>
      <c r="G318" s="16" t="str">
        <f t="shared" si="8"/>
        <v>May</v>
      </c>
      <c r="H318" s="2">
        <f t="shared" ca="1" si="9"/>
        <v>1</v>
      </c>
      <c r="I318" s="17" t="s">
        <v>47</v>
      </c>
      <c r="J318" s="18">
        <v>90234</v>
      </c>
      <c r="K318" s="19">
        <v>4</v>
      </c>
    </row>
    <row r="319" spans="1:11" x14ac:dyDescent="0.2">
      <c r="A319" s="11" t="s">
        <v>560</v>
      </c>
      <c r="B319" s="14" t="s">
        <v>27</v>
      </c>
      <c r="C319" s="11" t="s">
        <v>214</v>
      </c>
      <c r="D319" s="15">
        <v>725001036</v>
      </c>
      <c r="E319" s="11" t="s">
        <v>21</v>
      </c>
      <c r="F319" s="20">
        <v>38828</v>
      </c>
      <c r="G319" s="16" t="str">
        <f t="shared" si="8"/>
        <v>April</v>
      </c>
      <c r="H319" s="2">
        <f t="shared" ca="1" si="9"/>
        <v>13</v>
      </c>
      <c r="I319" s="17"/>
      <c r="J319" s="18">
        <v>96809</v>
      </c>
      <c r="K319" s="19">
        <v>5</v>
      </c>
    </row>
    <row r="320" spans="1:11" x14ac:dyDescent="0.2">
      <c r="A320" s="11" t="s">
        <v>200</v>
      </c>
      <c r="B320" s="14" t="s">
        <v>36</v>
      </c>
      <c r="C320" s="11" t="s">
        <v>20</v>
      </c>
      <c r="D320" s="15">
        <v>867001341</v>
      </c>
      <c r="E320" s="11" t="s">
        <v>80</v>
      </c>
      <c r="F320" s="20">
        <v>39752</v>
      </c>
      <c r="G320" s="16" t="str">
        <f t="shared" si="8"/>
        <v>October</v>
      </c>
      <c r="H320" s="2">
        <f t="shared" ca="1" si="9"/>
        <v>10</v>
      </c>
      <c r="I320" s="17" t="s">
        <v>47</v>
      </c>
      <c r="J320" s="18">
        <v>47628</v>
      </c>
      <c r="K320" s="19">
        <v>3</v>
      </c>
    </row>
    <row r="321" spans="1:11" x14ac:dyDescent="0.2">
      <c r="A321" s="11" t="s">
        <v>217</v>
      </c>
      <c r="B321" s="14" t="s">
        <v>19</v>
      </c>
      <c r="C321" s="11" t="s">
        <v>20</v>
      </c>
      <c r="D321" s="15">
        <v>639004672</v>
      </c>
      <c r="E321" s="11" t="s">
        <v>80</v>
      </c>
      <c r="F321" s="20">
        <v>38698</v>
      </c>
      <c r="G321" s="16" t="str">
        <f t="shared" si="8"/>
        <v>December</v>
      </c>
      <c r="H321" s="2">
        <f t="shared" ca="1" si="9"/>
        <v>13</v>
      </c>
      <c r="I321" s="17" t="s">
        <v>71</v>
      </c>
      <c r="J321" s="18">
        <v>31563</v>
      </c>
      <c r="K321" s="19">
        <v>4</v>
      </c>
    </row>
    <row r="322" spans="1:11" x14ac:dyDescent="0.2">
      <c r="A322" s="11" t="s">
        <v>1096</v>
      </c>
      <c r="B322" s="14" t="s">
        <v>43</v>
      </c>
      <c r="C322" s="11" t="s">
        <v>86</v>
      </c>
      <c r="D322" s="15">
        <v>917004039</v>
      </c>
      <c r="E322" s="11" t="s">
        <v>29</v>
      </c>
      <c r="F322" s="20">
        <v>38076</v>
      </c>
      <c r="G322" s="16" t="str">
        <f t="shared" ref="G322:G385" si="10">CHOOSE(MONTH(F322),"January","February","March","April","May","June","July","August","September","October","November","December")</f>
        <v>March</v>
      </c>
      <c r="H322" s="2">
        <f t="shared" ref="H322:H385" ca="1" si="11">DATEDIF(F322,TODAY(),"Y")</f>
        <v>15</v>
      </c>
      <c r="I322" s="17" t="s">
        <v>38</v>
      </c>
      <c r="J322" s="18">
        <v>95148</v>
      </c>
      <c r="K322" s="19">
        <v>4</v>
      </c>
    </row>
    <row r="323" spans="1:11" x14ac:dyDescent="0.2">
      <c r="A323" s="11" t="s">
        <v>821</v>
      </c>
      <c r="B323" s="14" t="s">
        <v>19</v>
      </c>
      <c r="C323" s="11" t="s">
        <v>205</v>
      </c>
      <c r="D323" s="15">
        <v>244001882</v>
      </c>
      <c r="E323" s="11" t="s">
        <v>80</v>
      </c>
      <c r="F323" s="20">
        <v>37257</v>
      </c>
      <c r="G323" s="16" t="str">
        <f t="shared" si="10"/>
        <v>January</v>
      </c>
      <c r="H323" s="2">
        <f t="shared" ca="1" si="11"/>
        <v>17</v>
      </c>
      <c r="I323" s="17" t="s">
        <v>38</v>
      </c>
      <c r="J323" s="18">
        <v>121203</v>
      </c>
      <c r="K323" s="19">
        <v>4</v>
      </c>
    </row>
    <row r="324" spans="1:11" x14ac:dyDescent="0.2">
      <c r="A324" s="11" t="s">
        <v>445</v>
      </c>
      <c r="B324" s="14" t="s">
        <v>43</v>
      </c>
      <c r="C324" s="11" t="s">
        <v>59</v>
      </c>
      <c r="D324" s="15">
        <v>304008732</v>
      </c>
      <c r="E324" s="11" t="s">
        <v>80</v>
      </c>
      <c r="F324" s="20">
        <v>36565</v>
      </c>
      <c r="G324" s="16" t="str">
        <f t="shared" si="10"/>
        <v>February</v>
      </c>
      <c r="H324" s="2">
        <f t="shared" ca="1" si="11"/>
        <v>19</v>
      </c>
      <c r="I324" s="17" t="s">
        <v>47</v>
      </c>
      <c r="J324" s="18">
        <v>46049</v>
      </c>
      <c r="K324" s="19">
        <v>4</v>
      </c>
    </row>
    <row r="325" spans="1:11" x14ac:dyDescent="0.2">
      <c r="A325" s="11" t="s">
        <v>248</v>
      </c>
      <c r="B325" s="14" t="s">
        <v>83</v>
      </c>
      <c r="C325" s="11" t="s">
        <v>249</v>
      </c>
      <c r="D325" s="15">
        <v>247005666</v>
      </c>
      <c r="E325" s="11" t="s">
        <v>29</v>
      </c>
      <c r="F325" s="20">
        <v>36473</v>
      </c>
      <c r="G325" s="16" t="str">
        <f t="shared" si="10"/>
        <v>November</v>
      </c>
      <c r="H325" s="2">
        <f t="shared" ca="1" si="11"/>
        <v>19</v>
      </c>
      <c r="I325" s="17" t="s">
        <v>47</v>
      </c>
      <c r="J325" s="18">
        <v>52799</v>
      </c>
      <c r="K325" s="19">
        <v>5</v>
      </c>
    </row>
    <row r="326" spans="1:11" x14ac:dyDescent="0.2">
      <c r="A326" s="11" t="s">
        <v>912</v>
      </c>
      <c r="B326" s="14" t="s">
        <v>19</v>
      </c>
      <c r="C326" s="11" t="s">
        <v>152</v>
      </c>
      <c r="D326" s="15">
        <v>375005723</v>
      </c>
      <c r="E326" s="11" t="s">
        <v>21</v>
      </c>
      <c r="F326" s="20">
        <v>37579</v>
      </c>
      <c r="G326" s="16" t="str">
        <f t="shared" si="10"/>
        <v>November</v>
      </c>
      <c r="H326" s="2">
        <f t="shared" ca="1" si="11"/>
        <v>16</v>
      </c>
      <c r="I326" s="17"/>
      <c r="J326" s="18">
        <v>86755</v>
      </c>
      <c r="K326" s="19">
        <v>3</v>
      </c>
    </row>
    <row r="327" spans="1:11" x14ac:dyDescent="0.2">
      <c r="A327" s="11" t="s">
        <v>1034</v>
      </c>
      <c r="B327" s="14" t="s">
        <v>27</v>
      </c>
      <c r="C327" s="11" t="s">
        <v>59</v>
      </c>
      <c r="D327" s="15">
        <v>110004347</v>
      </c>
      <c r="E327" s="11" t="s">
        <v>29</v>
      </c>
      <c r="F327" s="20">
        <v>38109</v>
      </c>
      <c r="G327" s="16" t="str">
        <f t="shared" si="10"/>
        <v>May</v>
      </c>
      <c r="H327" s="2">
        <f t="shared" ca="1" si="11"/>
        <v>15</v>
      </c>
      <c r="I327" s="17" t="s">
        <v>47</v>
      </c>
      <c r="J327" s="18">
        <v>86103</v>
      </c>
      <c r="K327" s="19">
        <v>5</v>
      </c>
    </row>
    <row r="328" spans="1:11" x14ac:dyDescent="0.2">
      <c r="A328" s="11" t="s">
        <v>1004</v>
      </c>
      <c r="B328" s="14" t="s">
        <v>36</v>
      </c>
      <c r="C328" s="11" t="s">
        <v>145</v>
      </c>
      <c r="D328" s="15">
        <v>687003890</v>
      </c>
      <c r="E328" s="11" t="s">
        <v>56</v>
      </c>
      <c r="F328" s="20">
        <v>37890</v>
      </c>
      <c r="G328" s="16" t="str">
        <f t="shared" si="10"/>
        <v>September</v>
      </c>
      <c r="H328" s="2">
        <f t="shared" ca="1" si="11"/>
        <v>15</v>
      </c>
      <c r="I328" s="17"/>
      <c r="J328" s="18">
        <v>31984</v>
      </c>
      <c r="K328" s="19">
        <v>4</v>
      </c>
    </row>
    <row r="329" spans="1:11" x14ac:dyDescent="0.2">
      <c r="A329" s="11" t="s">
        <v>791</v>
      </c>
      <c r="B329" s="14" t="s">
        <v>19</v>
      </c>
      <c r="C329" s="11" t="s">
        <v>86</v>
      </c>
      <c r="D329" s="15">
        <v>168001562</v>
      </c>
      <c r="E329" s="11" t="s">
        <v>29</v>
      </c>
      <c r="F329" s="20">
        <v>43217</v>
      </c>
      <c r="G329" s="16" t="str">
        <f t="shared" si="10"/>
        <v>April</v>
      </c>
      <c r="H329" s="2">
        <f t="shared" ca="1" si="11"/>
        <v>1</v>
      </c>
      <c r="I329" s="17" t="s">
        <v>38</v>
      </c>
      <c r="J329" s="18">
        <v>102303</v>
      </c>
      <c r="K329" s="19">
        <v>2</v>
      </c>
    </row>
    <row r="330" spans="1:11" x14ac:dyDescent="0.2">
      <c r="A330" s="11" t="s">
        <v>1092</v>
      </c>
      <c r="B330" s="14" t="s">
        <v>51</v>
      </c>
      <c r="C330" s="11" t="s">
        <v>136</v>
      </c>
      <c r="D330" s="15">
        <v>343005481</v>
      </c>
      <c r="E330" s="11" t="s">
        <v>29</v>
      </c>
      <c r="F330" s="20">
        <v>38774</v>
      </c>
      <c r="G330" s="16" t="str">
        <f t="shared" si="10"/>
        <v>February</v>
      </c>
      <c r="H330" s="2">
        <f t="shared" ca="1" si="11"/>
        <v>13</v>
      </c>
      <c r="I330" s="17" t="s">
        <v>87</v>
      </c>
      <c r="J330" s="18">
        <v>99549</v>
      </c>
      <c r="K330" s="19">
        <v>4</v>
      </c>
    </row>
    <row r="331" spans="1:11" x14ac:dyDescent="0.2">
      <c r="A331" s="11" t="s">
        <v>506</v>
      </c>
      <c r="B331" s="14" t="s">
        <v>27</v>
      </c>
      <c r="C331" s="11" t="s">
        <v>254</v>
      </c>
      <c r="D331" s="15">
        <v>868008171</v>
      </c>
      <c r="E331" s="11" t="s">
        <v>29</v>
      </c>
      <c r="F331" s="20">
        <v>36734</v>
      </c>
      <c r="G331" s="16" t="str">
        <f t="shared" si="10"/>
        <v>July</v>
      </c>
      <c r="H331" s="2">
        <f t="shared" ca="1" si="11"/>
        <v>18</v>
      </c>
      <c r="I331" s="17" t="s">
        <v>71</v>
      </c>
      <c r="J331" s="18">
        <v>101750</v>
      </c>
      <c r="K331" s="19">
        <v>2</v>
      </c>
    </row>
    <row r="332" spans="1:11" x14ac:dyDescent="0.2">
      <c r="A332" s="11" t="s">
        <v>1556</v>
      </c>
      <c r="B332" s="14" t="s">
        <v>19</v>
      </c>
      <c r="C332" s="11" t="s">
        <v>152</v>
      </c>
      <c r="D332" s="15">
        <v>671003263</v>
      </c>
      <c r="E332" s="11" t="s">
        <v>29</v>
      </c>
      <c r="F332" s="20">
        <v>43493</v>
      </c>
      <c r="G332" s="16" t="str">
        <f t="shared" si="10"/>
        <v>January</v>
      </c>
      <c r="H332" s="2">
        <f t="shared" ca="1" si="11"/>
        <v>0</v>
      </c>
      <c r="I332" s="17" t="s">
        <v>47</v>
      </c>
      <c r="J332" s="18">
        <v>116964</v>
      </c>
      <c r="K332" s="19">
        <v>3</v>
      </c>
    </row>
    <row r="333" spans="1:11" x14ac:dyDescent="0.2">
      <c r="A333" s="11" t="s">
        <v>1516</v>
      </c>
      <c r="B333" s="14" t="s">
        <v>36</v>
      </c>
      <c r="C333" s="11" t="s">
        <v>254</v>
      </c>
      <c r="D333" s="15">
        <v>443008477</v>
      </c>
      <c r="E333" s="11" t="s">
        <v>29</v>
      </c>
      <c r="F333" s="20">
        <v>42534</v>
      </c>
      <c r="G333" s="16" t="str">
        <f t="shared" si="10"/>
        <v>June</v>
      </c>
      <c r="H333" s="2">
        <f t="shared" ca="1" si="11"/>
        <v>2</v>
      </c>
      <c r="I333" s="17" t="s">
        <v>30</v>
      </c>
      <c r="J333" s="18">
        <v>108122</v>
      </c>
      <c r="K333" s="19">
        <v>2</v>
      </c>
    </row>
    <row r="334" spans="1:11" x14ac:dyDescent="0.2">
      <c r="A334" s="11" t="s">
        <v>1046</v>
      </c>
      <c r="B334" s="14" t="s">
        <v>19</v>
      </c>
      <c r="C334" s="11" t="s">
        <v>214</v>
      </c>
      <c r="D334" s="15">
        <v>371001908</v>
      </c>
      <c r="E334" s="11" t="s">
        <v>29</v>
      </c>
      <c r="F334" s="20">
        <v>38212</v>
      </c>
      <c r="G334" s="16" t="str">
        <f t="shared" si="10"/>
        <v>August</v>
      </c>
      <c r="H334" s="2">
        <f t="shared" ca="1" si="11"/>
        <v>14</v>
      </c>
      <c r="I334" s="17" t="s">
        <v>87</v>
      </c>
      <c r="J334" s="18">
        <v>61398</v>
      </c>
      <c r="K334" s="19">
        <v>4</v>
      </c>
    </row>
    <row r="335" spans="1:11" x14ac:dyDescent="0.2">
      <c r="A335" s="11" t="s">
        <v>721</v>
      </c>
      <c r="B335" s="14" t="s">
        <v>36</v>
      </c>
      <c r="C335" s="11" t="s">
        <v>214</v>
      </c>
      <c r="D335" s="15">
        <v>135005371</v>
      </c>
      <c r="E335" s="11" t="s">
        <v>29</v>
      </c>
      <c r="F335" s="20">
        <v>40792</v>
      </c>
      <c r="G335" s="16" t="str">
        <f t="shared" si="10"/>
        <v>September</v>
      </c>
      <c r="H335" s="2">
        <f t="shared" ca="1" si="11"/>
        <v>7</v>
      </c>
      <c r="I335" s="17" t="s">
        <v>30</v>
      </c>
      <c r="J335" s="18">
        <v>41742</v>
      </c>
      <c r="K335" s="19">
        <v>5</v>
      </c>
    </row>
    <row r="336" spans="1:11" x14ac:dyDescent="0.2">
      <c r="A336" s="11" t="s">
        <v>1194</v>
      </c>
      <c r="B336" s="14" t="s">
        <v>83</v>
      </c>
      <c r="C336" s="11" t="s">
        <v>152</v>
      </c>
      <c r="D336" s="15">
        <v>733008713</v>
      </c>
      <c r="E336" s="11" t="s">
        <v>21</v>
      </c>
      <c r="F336" s="20">
        <v>38194</v>
      </c>
      <c r="G336" s="16" t="str">
        <f t="shared" si="10"/>
        <v>July</v>
      </c>
      <c r="H336" s="2">
        <f t="shared" ca="1" si="11"/>
        <v>14</v>
      </c>
      <c r="I336" s="17"/>
      <c r="J336" s="18">
        <v>118571</v>
      </c>
      <c r="K336" s="19">
        <v>2</v>
      </c>
    </row>
    <row r="337" spans="1:11" x14ac:dyDescent="0.2">
      <c r="A337" s="11" t="s">
        <v>350</v>
      </c>
      <c r="B337" s="14" t="s">
        <v>27</v>
      </c>
      <c r="C337" s="11" t="s">
        <v>59</v>
      </c>
      <c r="D337" s="15">
        <v>575008597</v>
      </c>
      <c r="E337" s="11" t="s">
        <v>21</v>
      </c>
      <c r="F337" s="20">
        <v>40497</v>
      </c>
      <c r="G337" s="16" t="str">
        <f t="shared" si="10"/>
        <v>November</v>
      </c>
      <c r="H337" s="2">
        <f t="shared" ca="1" si="11"/>
        <v>8</v>
      </c>
      <c r="I337" s="17"/>
      <c r="J337" s="18">
        <v>43160</v>
      </c>
      <c r="K337" s="19">
        <v>5</v>
      </c>
    </row>
    <row r="338" spans="1:11" x14ac:dyDescent="0.2">
      <c r="A338" s="11" t="s">
        <v>868</v>
      </c>
      <c r="B338" s="14" t="s">
        <v>83</v>
      </c>
      <c r="C338" s="11" t="s">
        <v>254</v>
      </c>
      <c r="D338" s="15">
        <v>542004575</v>
      </c>
      <c r="E338" s="11" t="s">
        <v>29</v>
      </c>
      <c r="F338" s="20">
        <v>37558</v>
      </c>
      <c r="G338" s="16" t="str">
        <f t="shared" si="10"/>
        <v>October</v>
      </c>
      <c r="H338" s="2">
        <f t="shared" ca="1" si="11"/>
        <v>16</v>
      </c>
      <c r="I338" s="17" t="s">
        <v>47</v>
      </c>
      <c r="J338" s="18">
        <v>117491</v>
      </c>
      <c r="K338" s="19">
        <v>3</v>
      </c>
    </row>
    <row r="339" spans="1:11" x14ac:dyDescent="0.2">
      <c r="A339" s="11" t="s">
        <v>882</v>
      </c>
      <c r="B339" s="14" t="s">
        <v>43</v>
      </c>
      <c r="C339" s="11" t="s">
        <v>249</v>
      </c>
      <c r="D339" s="15">
        <v>550001321</v>
      </c>
      <c r="E339" s="11" t="s">
        <v>21</v>
      </c>
      <c r="F339" s="20">
        <v>38903</v>
      </c>
      <c r="G339" s="16" t="str">
        <f t="shared" si="10"/>
        <v>July</v>
      </c>
      <c r="H339" s="2">
        <f t="shared" ca="1" si="11"/>
        <v>12</v>
      </c>
      <c r="I339" s="17"/>
      <c r="J339" s="18">
        <v>97848</v>
      </c>
      <c r="K339" s="19">
        <v>2</v>
      </c>
    </row>
    <row r="340" spans="1:11" x14ac:dyDescent="0.2">
      <c r="A340" s="11" t="s">
        <v>467</v>
      </c>
      <c r="B340" s="14" t="s">
        <v>19</v>
      </c>
      <c r="C340" s="11" t="s">
        <v>214</v>
      </c>
      <c r="D340" s="15">
        <v>505006230</v>
      </c>
      <c r="E340" s="11" t="s">
        <v>29</v>
      </c>
      <c r="F340" s="20">
        <v>36849</v>
      </c>
      <c r="G340" s="16" t="str">
        <f t="shared" si="10"/>
        <v>November</v>
      </c>
      <c r="H340" s="2">
        <f t="shared" ca="1" si="11"/>
        <v>18</v>
      </c>
      <c r="I340" s="17" t="s">
        <v>30</v>
      </c>
      <c r="J340" s="18">
        <v>61425</v>
      </c>
      <c r="K340" s="19">
        <v>3</v>
      </c>
    </row>
    <row r="341" spans="1:11" x14ac:dyDescent="0.2">
      <c r="A341" s="11" t="s">
        <v>1388</v>
      </c>
      <c r="B341" s="14" t="s">
        <v>19</v>
      </c>
      <c r="C341" s="11" t="s">
        <v>145</v>
      </c>
      <c r="D341" s="15">
        <v>668008287</v>
      </c>
      <c r="E341" s="11" t="s">
        <v>21</v>
      </c>
      <c r="F341" s="20">
        <v>38662</v>
      </c>
      <c r="G341" s="16" t="str">
        <f t="shared" si="10"/>
        <v>November</v>
      </c>
      <c r="H341" s="2">
        <f t="shared" ca="1" si="11"/>
        <v>13</v>
      </c>
      <c r="I341" s="17"/>
      <c r="J341" s="18">
        <v>116235</v>
      </c>
      <c r="K341" s="19">
        <v>4</v>
      </c>
    </row>
    <row r="342" spans="1:11" x14ac:dyDescent="0.2">
      <c r="A342" s="11" t="s">
        <v>793</v>
      </c>
      <c r="B342" s="14" t="s">
        <v>27</v>
      </c>
      <c r="C342" s="11" t="s">
        <v>152</v>
      </c>
      <c r="D342" s="15">
        <v>892000187</v>
      </c>
      <c r="E342" s="11" t="s">
        <v>29</v>
      </c>
      <c r="F342" s="20">
        <v>37142</v>
      </c>
      <c r="G342" s="16" t="str">
        <f t="shared" si="10"/>
        <v>September</v>
      </c>
      <c r="H342" s="2">
        <f t="shared" ca="1" si="11"/>
        <v>17</v>
      </c>
      <c r="I342" s="17" t="s">
        <v>30</v>
      </c>
      <c r="J342" s="18">
        <v>117747</v>
      </c>
      <c r="K342" s="19">
        <v>1</v>
      </c>
    </row>
    <row r="343" spans="1:11" x14ac:dyDescent="0.2">
      <c r="A343" s="11" t="s">
        <v>1028</v>
      </c>
      <c r="B343" s="14" t="s">
        <v>43</v>
      </c>
      <c r="C343" s="11" t="s">
        <v>52</v>
      </c>
      <c r="D343" s="15">
        <v>681006577</v>
      </c>
      <c r="E343" s="11" t="s">
        <v>21</v>
      </c>
      <c r="F343" s="20">
        <v>38006</v>
      </c>
      <c r="G343" s="16" t="str">
        <f t="shared" si="10"/>
        <v>January</v>
      </c>
      <c r="H343" s="2">
        <f t="shared" ca="1" si="11"/>
        <v>15</v>
      </c>
      <c r="I343" s="17"/>
      <c r="J343" s="18">
        <v>47601</v>
      </c>
      <c r="K343" s="19">
        <v>2</v>
      </c>
    </row>
    <row r="344" spans="1:11" x14ac:dyDescent="0.2">
      <c r="A344" s="11" t="s">
        <v>267</v>
      </c>
      <c r="B344" s="14" t="s">
        <v>27</v>
      </c>
      <c r="C344" s="11" t="s">
        <v>265</v>
      </c>
      <c r="D344" s="15">
        <v>920005896</v>
      </c>
      <c r="E344" s="11" t="s">
        <v>21</v>
      </c>
      <c r="F344" s="20">
        <v>41611</v>
      </c>
      <c r="G344" s="16" t="str">
        <f t="shared" si="10"/>
        <v>December</v>
      </c>
      <c r="H344" s="2">
        <f t="shared" ca="1" si="11"/>
        <v>5</v>
      </c>
      <c r="I344" s="17"/>
      <c r="J344" s="18">
        <v>106461</v>
      </c>
      <c r="K344" s="19">
        <v>2</v>
      </c>
    </row>
    <row r="345" spans="1:11" x14ac:dyDescent="0.2">
      <c r="A345" s="11" t="s">
        <v>419</v>
      </c>
      <c r="B345" s="14" t="s">
        <v>27</v>
      </c>
      <c r="C345" s="11" t="s">
        <v>20</v>
      </c>
      <c r="D345" s="15">
        <v>951006517</v>
      </c>
      <c r="E345" s="11" t="s">
        <v>29</v>
      </c>
      <c r="F345" s="20">
        <v>36751</v>
      </c>
      <c r="G345" s="16" t="str">
        <f t="shared" si="10"/>
        <v>August</v>
      </c>
      <c r="H345" s="2">
        <f t="shared" ca="1" si="11"/>
        <v>18</v>
      </c>
      <c r="I345" s="17" t="s">
        <v>30</v>
      </c>
      <c r="J345" s="18">
        <v>96755</v>
      </c>
      <c r="K345" s="19">
        <v>4</v>
      </c>
    </row>
    <row r="346" spans="1:11" x14ac:dyDescent="0.2">
      <c r="A346" s="11" t="s">
        <v>1188</v>
      </c>
      <c r="B346" s="14" t="s">
        <v>43</v>
      </c>
      <c r="C346" s="11" t="s">
        <v>145</v>
      </c>
      <c r="D346" s="15">
        <v>426004550</v>
      </c>
      <c r="E346" s="11" t="s">
        <v>29</v>
      </c>
      <c r="F346" s="20">
        <v>38307</v>
      </c>
      <c r="G346" s="16" t="str">
        <f t="shared" si="10"/>
        <v>November</v>
      </c>
      <c r="H346" s="2">
        <f t="shared" ca="1" si="11"/>
        <v>14</v>
      </c>
      <c r="I346" s="17" t="s">
        <v>71</v>
      </c>
      <c r="J346" s="18">
        <v>85003</v>
      </c>
      <c r="K346" s="19">
        <v>1</v>
      </c>
    </row>
    <row r="347" spans="1:11" x14ac:dyDescent="0.2">
      <c r="A347" s="11" t="s">
        <v>1264</v>
      </c>
      <c r="B347" s="14" t="s">
        <v>19</v>
      </c>
      <c r="C347" s="11" t="s">
        <v>145</v>
      </c>
      <c r="D347" s="15">
        <v>750001894</v>
      </c>
      <c r="E347" s="11" t="s">
        <v>21</v>
      </c>
      <c r="F347" s="20">
        <v>43206</v>
      </c>
      <c r="G347" s="16" t="str">
        <f t="shared" si="10"/>
        <v>April</v>
      </c>
      <c r="H347" s="2">
        <f t="shared" ca="1" si="11"/>
        <v>1</v>
      </c>
      <c r="I347" s="17"/>
      <c r="J347" s="18">
        <v>29133</v>
      </c>
      <c r="K347" s="19">
        <v>3</v>
      </c>
    </row>
    <row r="348" spans="1:11" x14ac:dyDescent="0.2">
      <c r="A348" s="11" t="s">
        <v>172</v>
      </c>
      <c r="B348" s="14" t="s">
        <v>27</v>
      </c>
      <c r="C348" s="11" t="s">
        <v>20</v>
      </c>
      <c r="D348" s="15">
        <v>411008865</v>
      </c>
      <c r="E348" s="11" t="s">
        <v>29</v>
      </c>
      <c r="F348" s="20">
        <v>39864</v>
      </c>
      <c r="G348" s="16" t="str">
        <f t="shared" si="10"/>
        <v>February</v>
      </c>
      <c r="H348" s="2">
        <f t="shared" ca="1" si="11"/>
        <v>10</v>
      </c>
      <c r="I348" s="17" t="s">
        <v>47</v>
      </c>
      <c r="J348" s="18">
        <v>36693</v>
      </c>
      <c r="K348" s="19">
        <v>4</v>
      </c>
    </row>
    <row r="349" spans="1:11" x14ac:dyDescent="0.2">
      <c r="A349" s="11" t="s">
        <v>855</v>
      </c>
      <c r="B349" s="14" t="s">
        <v>19</v>
      </c>
      <c r="C349" s="11" t="s">
        <v>86</v>
      </c>
      <c r="D349" s="15">
        <v>796005092</v>
      </c>
      <c r="E349" s="11" t="s">
        <v>29</v>
      </c>
      <c r="F349" s="20">
        <v>39312</v>
      </c>
      <c r="G349" s="16" t="str">
        <f t="shared" si="10"/>
        <v>August</v>
      </c>
      <c r="H349" s="2">
        <f t="shared" ca="1" si="11"/>
        <v>11</v>
      </c>
      <c r="I349" s="17" t="s">
        <v>30</v>
      </c>
      <c r="J349" s="18">
        <v>58671</v>
      </c>
      <c r="K349" s="19">
        <v>5</v>
      </c>
    </row>
    <row r="350" spans="1:11" x14ac:dyDescent="0.2">
      <c r="A350" s="11" t="s">
        <v>26</v>
      </c>
      <c r="B350" s="14" t="s">
        <v>27</v>
      </c>
      <c r="C350" s="11" t="s">
        <v>28</v>
      </c>
      <c r="D350" s="15">
        <v>405007884</v>
      </c>
      <c r="E350" s="11" t="s">
        <v>29</v>
      </c>
      <c r="F350" s="20">
        <v>35927</v>
      </c>
      <c r="G350" s="16" t="str">
        <f t="shared" si="10"/>
        <v>May</v>
      </c>
      <c r="H350" s="2">
        <f t="shared" ca="1" si="11"/>
        <v>21</v>
      </c>
      <c r="I350" s="17" t="s">
        <v>30</v>
      </c>
      <c r="J350" s="18">
        <v>93231</v>
      </c>
      <c r="K350" s="19">
        <v>4</v>
      </c>
    </row>
    <row r="351" spans="1:11" x14ac:dyDescent="0.2">
      <c r="A351" s="11" t="s">
        <v>715</v>
      </c>
      <c r="B351" s="14" t="s">
        <v>27</v>
      </c>
      <c r="C351" s="11" t="s">
        <v>86</v>
      </c>
      <c r="D351" s="15">
        <v>443006169</v>
      </c>
      <c r="E351" s="11" t="s">
        <v>29</v>
      </c>
      <c r="F351" s="20">
        <v>36923</v>
      </c>
      <c r="G351" s="16" t="str">
        <f t="shared" si="10"/>
        <v>February</v>
      </c>
      <c r="H351" s="2">
        <f t="shared" ca="1" si="11"/>
        <v>18</v>
      </c>
      <c r="I351" s="17" t="s">
        <v>38</v>
      </c>
      <c r="J351" s="18">
        <v>116829</v>
      </c>
      <c r="K351" s="19">
        <v>4</v>
      </c>
    </row>
    <row r="352" spans="1:11" x14ac:dyDescent="0.2">
      <c r="A352" s="11" t="s">
        <v>683</v>
      </c>
      <c r="B352" s="14" t="s">
        <v>83</v>
      </c>
      <c r="C352" s="11" t="s">
        <v>214</v>
      </c>
      <c r="D352" s="15">
        <v>647002282</v>
      </c>
      <c r="E352" s="11" t="s">
        <v>21</v>
      </c>
      <c r="F352" s="20">
        <v>37121</v>
      </c>
      <c r="G352" s="16" t="str">
        <f t="shared" si="10"/>
        <v>August</v>
      </c>
      <c r="H352" s="2">
        <f t="shared" ca="1" si="11"/>
        <v>17</v>
      </c>
      <c r="I352" s="17"/>
      <c r="J352" s="18">
        <v>47871</v>
      </c>
      <c r="K352" s="19">
        <v>3</v>
      </c>
    </row>
    <row r="353" spans="1:11" x14ac:dyDescent="0.2">
      <c r="A353" s="11" t="s">
        <v>319</v>
      </c>
      <c r="B353" s="14" t="s">
        <v>51</v>
      </c>
      <c r="C353" s="11" t="s">
        <v>52</v>
      </c>
      <c r="D353" s="15">
        <v>843005501</v>
      </c>
      <c r="E353" s="11" t="s">
        <v>21</v>
      </c>
      <c r="F353" s="20">
        <v>39032</v>
      </c>
      <c r="G353" s="16" t="str">
        <f t="shared" si="10"/>
        <v>November</v>
      </c>
      <c r="H353" s="2">
        <f t="shared" ca="1" si="11"/>
        <v>12</v>
      </c>
      <c r="I353" s="17"/>
      <c r="J353" s="18">
        <v>44469</v>
      </c>
      <c r="K353" s="19">
        <v>5</v>
      </c>
    </row>
    <row r="354" spans="1:11" x14ac:dyDescent="0.2">
      <c r="A354" s="11" t="s">
        <v>123</v>
      </c>
      <c r="B354" s="14" t="s">
        <v>43</v>
      </c>
      <c r="C354" s="11" t="s">
        <v>104</v>
      </c>
      <c r="D354" s="15">
        <v>460002180</v>
      </c>
      <c r="E354" s="11" t="s">
        <v>29</v>
      </c>
      <c r="F354" s="20">
        <v>42962</v>
      </c>
      <c r="G354" s="16" t="str">
        <f t="shared" si="10"/>
        <v>August</v>
      </c>
      <c r="H354" s="2">
        <f t="shared" ca="1" si="11"/>
        <v>1</v>
      </c>
      <c r="I354" s="17" t="s">
        <v>87</v>
      </c>
      <c r="J354" s="18">
        <v>69093</v>
      </c>
      <c r="K354" s="19">
        <v>3</v>
      </c>
    </row>
    <row r="355" spans="1:11" x14ac:dyDescent="0.2">
      <c r="A355" s="11" t="s">
        <v>996</v>
      </c>
      <c r="B355" s="14" t="s">
        <v>83</v>
      </c>
      <c r="C355" s="11" t="s">
        <v>254</v>
      </c>
      <c r="D355" s="15">
        <v>291003431</v>
      </c>
      <c r="E355" s="11" t="s">
        <v>21</v>
      </c>
      <c r="F355" s="20">
        <v>42639</v>
      </c>
      <c r="G355" s="16" t="str">
        <f t="shared" si="10"/>
        <v>September</v>
      </c>
      <c r="H355" s="2">
        <f t="shared" ca="1" si="11"/>
        <v>2</v>
      </c>
      <c r="I355" s="17"/>
      <c r="J355" s="18">
        <v>72900</v>
      </c>
      <c r="K355" s="19">
        <v>3</v>
      </c>
    </row>
    <row r="356" spans="1:11" x14ac:dyDescent="0.2">
      <c r="A356" s="11" t="s">
        <v>1120</v>
      </c>
      <c r="B356" s="14" t="s">
        <v>36</v>
      </c>
      <c r="C356" s="11" t="s">
        <v>136</v>
      </c>
      <c r="D356" s="15">
        <v>868004739</v>
      </c>
      <c r="E356" s="11" t="s">
        <v>80</v>
      </c>
      <c r="F356" s="20">
        <v>43149</v>
      </c>
      <c r="G356" s="16" t="str">
        <f t="shared" si="10"/>
        <v>February</v>
      </c>
      <c r="H356" s="2">
        <f t="shared" ca="1" si="11"/>
        <v>1</v>
      </c>
      <c r="I356" s="17" t="s">
        <v>47</v>
      </c>
      <c r="J356" s="18">
        <v>15944</v>
      </c>
      <c r="K356" s="19">
        <v>1</v>
      </c>
    </row>
    <row r="357" spans="1:11" x14ac:dyDescent="0.2">
      <c r="A357" s="11" t="s">
        <v>725</v>
      </c>
      <c r="B357" s="14" t="s">
        <v>27</v>
      </c>
      <c r="C357" s="11" t="s">
        <v>86</v>
      </c>
      <c r="D357" s="15">
        <v>254001611</v>
      </c>
      <c r="E357" s="11" t="s">
        <v>29</v>
      </c>
      <c r="F357" s="20">
        <v>36890</v>
      </c>
      <c r="G357" s="16" t="str">
        <f t="shared" si="10"/>
        <v>December</v>
      </c>
      <c r="H357" s="2">
        <f t="shared" ca="1" si="11"/>
        <v>18</v>
      </c>
      <c r="I357" s="17" t="s">
        <v>38</v>
      </c>
      <c r="J357" s="18">
        <v>60993</v>
      </c>
      <c r="K357" s="19">
        <v>5</v>
      </c>
    </row>
    <row r="358" spans="1:11" x14ac:dyDescent="0.2">
      <c r="A358" s="11" t="s">
        <v>321</v>
      </c>
      <c r="B358" s="14" t="s">
        <v>83</v>
      </c>
      <c r="C358" s="11" t="s">
        <v>52</v>
      </c>
      <c r="D358" s="15">
        <v>581003751</v>
      </c>
      <c r="E358" s="11" t="s">
        <v>21</v>
      </c>
      <c r="F358" s="20">
        <v>40523</v>
      </c>
      <c r="G358" s="16" t="str">
        <f t="shared" si="10"/>
        <v>December</v>
      </c>
      <c r="H358" s="2">
        <f t="shared" ca="1" si="11"/>
        <v>8</v>
      </c>
      <c r="I358" s="17"/>
      <c r="J358" s="18">
        <v>99077</v>
      </c>
      <c r="K358" s="19">
        <v>2</v>
      </c>
    </row>
    <row r="359" spans="1:11" x14ac:dyDescent="0.2">
      <c r="A359" s="11" t="s">
        <v>50</v>
      </c>
      <c r="B359" s="14" t="s">
        <v>51</v>
      </c>
      <c r="C359" s="11" t="s">
        <v>52</v>
      </c>
      <c r="D359" s="15">
        <v>938008346</v>
      </c>
      <c r="E359" s="11" t="s">
        <v>21</v>
      </c>
      <c r="F359" s="20">
        <v>36101</v>
      </c>
      <c r="G359" s="16" t="str">
        <f t="shared" si="10"/>
        <v>November</v>
      </c>
      <c r="H359" s="2">
        <f t="shared" ca="1" si="11"/>
        <v>20</v>
      </c>
      <c r="I359" s="17"/>
      <c r="J359" s="18">
        <v>108068</v>
      </c>
      <c r="K359" s="19">
        <v>3</v>
      </c>
    </row>
    <row r="360" spans="1:11" x14ac:dyDescent="0.2">
      <c r="A360" s="11" t="s">
        <v>70</v>
      </c>
      <c r="B360" s="14" t="s">
        <v>36</v>
      </c>
      <c r="C360" s="11" t="s">
        <v>62</v>
      </c>
      <c r="D360" s="15">
        <v>456006966</v>
      </c>
      <c r="E360" s="11" t="s">
        <v>29</v>
      </c>
      <c r="F360" s="20">
        <v>39620</v>
      </c>
      <c r="G360" s="16" t="str">
        <f t="shared" si="10"/>
        <v>June</v>
      </c>
      <c r="H360" s="2">
        <f t="shared" ca="1" si="11"/>
        <v>10</v>
      </c>
      <c r="I360" s="17" t="s">
        <v>71</v>
      </c>
      <c r="J360" s="18">
        <v>101034</v>
      </c>
      <c r="K360" s="19">
        <v>4</v>
      </c>
    </row>
    <row r="361" spans="1:11" x14ac:dyDescent="0.2">
      <c r="A361" s="11" t="s">
        <v>291</v>
      </c>
      <c r="B361" s="14" t="s">
        <v>43</v>
      </c>
      <c r="C361" s="11" t="s">
        <v>101</v>
      </c>
      <c r="D361" s="15">
        <v>360004659</v>
      </c>
      <c r="E361" s="11" t="s">
        <v>29</v>
      </c>
      <c r="F361" s="20">
        <v>36444</v>
      </c>
      <c r="G361" s="16" t="str">
        <f t="shared" si="10"/>
        <v>October</v>
      </c>
      <c r="H361" s="2">
        <f t="shared" ca="1" si="11"/>
        <v>19</v>
      </c>
      <c r="I361" s="17" t="s">
        <v>30</v>
      </c>
      <c r="J361" s="18">
        <v>60237</v>
      </c>
      <c r="K361" s="19">
        <v>5</v>
      </c>
    </row>
    <row r="362" spans="1:11" x14ac:dyDescent="0.2">
      <c r="A362" s="11" t="s">
        <v>1322</v>
      </c>
      <c r="B362" s="14" t="s">
        <v>19</v>
      </c>
      <c r="C362" s="11" t="s">
        <v>145</v>
      </c>
      <c r="D362" s="15">
        <v>548004405</v>
      </c>
      <c r="E362" s="11" t="s">
        <v>21</v>
      </c>
      <c r="F362" s="20">
        <v>39262</v>
      </c>
      <c r="G362" s="16" t="str">
        <f t="shared" si="10"/>
        <v>June</v>
      </c>
      <c r="H362" s="2">
        <f t="shared" ca="1" si="11"/>
        <v>11</v>
      </c>
      <c r="I362" s="17"/>
      <c r="J362" s="18">
        <v>82080</v>
      </c>
      <c r="K362" s="19">
        <v>4</v>
      </c>
    </row>
    <row r="363" spans="1:11" x14ac:dyDescent="0.2">
      <c r="A363" s="11" t="s">
        <v>640</v>
      </c>
      <c r="B363" s="14" t="s">
        <v>27</v>
      </c>
      <c r="C363" s="11" t="s">
        <v>641</v>
      </c>
      <c r="D363" s="15">
        <v>183005788</v>
      </c>
      <c r="E363" s="11" t="s">
        <v>21</v>
      </c>
      <c r="F363" s="20">
        <v>36859</v>
      </c>
      <c r="G363" s="16" t="str">
        <f t="shared" si="10"/>
        <v>November</v>
      </c>
      <c r="H363" s="2">
        <f t="shared" ca="1" si="11"/>
        <v>18</v>
      </c>
      <c r="I363" s="17"/>
      <c r="J363" s="18">
        <v>82026</v>
      </c>
      <c r="K363" s="19">
        <v>2</v>
      </c>
    </row>
    <row r="364" spans="1:11" x14ac:dyDescent="0.2">
      <c r="A364" s="11" t="s">
        <v>461</v>
      </c>
      <c r="B364" s="14" t="s">
        <v>83</v>
      </c>
      <c r="C364" s="11" t="s">
        <v>214</v>
      </c>
      <c r="D364" s="15">
        <v>620006005</v>
      </c>
      <c r="E364" s="11" t="s">
        <v>29</v>
      </c>
      <c r="F364" s="20">
        <v>41233</v>
      </c>
      <c r="G364" s="16" t="str">
        <f t="shared" si="10"/>
        <v>November</v>
      </c>
      <c r="H364" s="2">
        <f t="shared" ca="1" si="11"/>
        <v>6</v>
      </c>
      <c r="I364" s="17" t="s">
        <v>47</v>
      </c>
      <c r="J364" s="18">
        <v>55431</v>
      </c>
      <c r="K364" s="19">
        <v>3</v>
      </c>
    </row>
    <row r="365" spans="1:11" x14ac:dyDescent="0.2">
      <c r="A365" s="11" t="s">
        <v>439</v>
      </c>
      <c r="B365" s="14" t="s">
        <v>27</v>
      </c>
      <c r="C365" s="11" t="s">
        <v>52</v>
      </c>
      <c r="D365" s="15">
        <v>685003695</v>
      </c>
      <c r="E365" s="11" t="s">
        <v>29</v>
      </c>
      <c r="F365" s="20">
        <v>36679</v>
      </c>
      <c r="G365" s="16" t="str">
        <f t="shared" si="10"/>
        <v>June</v>
      </c>
      <c r="H365" s="2">
        <f t="shared" ca="1" si="11"/>
        <v>19</v>
      </c>
      <c r="I365" s="17" t="s">
        <v>30</v>
      </c>
      <c r="J365" s="18">
        <v>111726</v>
      </c>
      <c r="K365" s="19">
        <v>4</v>
      </c>
    </row>
    <row r="366" spans="1:11" x14ac:dyDescent="0.2">
      <c r="A366" s="11" t="s">
        <v>984</v>
      </c>
      <c r="B366" s="14" t="s">
        <v>83</v>
      </c>
      <c r="C366" s="11" t="s">
        <v>136</v>
      </c>
      <c r="D366" s="15">
        <v>445003854</v>
      </c>
      <c r="E366" s="11" t="s">
        <v>21</v>
      </c>
      <c r="F366" s="20">
        <v>37771</v>
      </c>
      <c r="G366" s="16" t="str">
        <f t="shared" si="10"/>
        <v>May</v>
      </c>
      <c r="H366" s="2">
        <f t="shared" ca="1" si="11"/>
        <v>16</v>
      </c>
      <c r="I366" s="17"/>
      <c r="J366" s="18">
        <v>103775</v>
      </c>
      <c r="K366" s="19">
        <v>5</v>
      </c>
    </row>
    <row r="367" spans="1:11" x14ac:dyDescent="0.2">
      <c r="A367" s="11" t="s">
        <v>1186</v>
      </c>
      <c r="B367" s="14" t="s">
        <v>19</v>
      </c>
      <c r="C367" s="11" t="s">
        <v>136</v>
      </c>
      <c r="D367" s="15">
        <v>358007400</v>
      </c>
      <c r="E367" s="11" t="s">
        <v>56</v>
      </c>
      <c r="F367" s="20">
        <v>39236</v>
      </c>
      <c r="G367" s="16" t="str">
        <f t="shared" si="10"/>
        <v>June</v>
      </c>
      <c r="H367" s="2">
        <f t="shared" ca="1" si="11"/>
        <v>12</v>
      </c>
      <c r="I367" s="17"/>
      <c r="J367" s="18">
        <v>48670</v>
      </c>
      <c r="K367" s="19">
        <v>5</v>
      </c>
    </row>
    <row r="368" spans="1:11" x14ac:dyDescent="0.2">
      <c r="A368" s="11" t="s">
        <v>18</v>
      </c>
      <c r="B368" s="14" t="s">
        <v>19</v>
      </c>
      <c r="C368" s="11" t="s">
        <v>20</v>
      </c>
      <c r="D368" s="15">
        <v>513000687</v>
      </c>
      <c r="E368" s="11" t="s">
        <v>21</v>
      </c>
      <c r="F368" s="20">
        <v>36084</v>
      </c>
      <c r="G368" s="16" t="str">
        <f t="shared" si="10"/>
        <v>October</v>
      </c>
      <c r="H368" s="2">
        <f t="shared" ca="1" si="11"/>
        <v>20</v>
      </c>
      <c r="I368" s="17"/>
      <c r="J368" s="18">
        <v>57969</v>
      </c>
      <c r="K368" s="19">
        <v>1</v>
      </c>
    </row>
    <row r="369" spans="1:11" x14ac:dyDescent="0.2">
      <c r="A369" s="11" t="s">
        <v>544</v>
      </c>
      <c r="B369" s="14" t="s">
        <v>43</v>
      </c>
      <c r="C369" s="11" t="s">
        <v>214</v>
      </c>
      <c r="D369" s="15">
        <v>488001244</v>
      </c>
      <c r="E369" s="11" t="s">
        <v>80</v>
      </c>
      <c r="F369" s="20">
        <v>40476</v>
      </c>
      <c r="G369" s="16" t="str">
        <f t="shared" si="10"/>
        <v>October</v>
      </c>
      <c r="H369" s="2">
        <f t="shared" ca="1" si="11"/>
        <v>8</v>
      </c>
      <c r="I369" s="17" t="s">
        <v>47</v>
      </c>
      <c r="J369" s="18">
        <v>33021</v>
      </c>
      <c r="K369" s="19">
        <v>1</v>
      </c>
    </row>
    <row r="370" spans="1:11" x14ac:dyDescent="0.2">
      <c r="A370" s="11" t="s">
        <v>76</v>
      </c>
      <c r="B370" s="14" t="s">
        <v>51</v>
      </c>
      <c r="C370" s="11" t="s">
        <v>62</v>
      </c>
      <c r="D370" s="15">
        <v>481006564</v>
      </c>
      <c r="E370" s="11" t="s">
        <v>29</v>
      </c>
      <c r="F370" s="20">
        <v>38999</v>
      </c>
      <c r="G370" s="16" t="str">
        <f t="shared" si="10"/>
        <v>October</v>
      </c>
      <c r="H370" s="2">
        <f t="shared" ca="1" si="11"/>
        <v>12</v>
      </c>
      <c r="I370" s="17" t="s">
        <v>30</v>
      </c>
      <c r="J370" s="18">
        <v>97322</v>
      </c>
      <c r="K370" s="19">
        <v>5</v>
      </c>
    </row>
    <row r="371" spans="1:11" x14ac:dyDescent="0.2">
      <c r="A371" s="11" t="s">
        <v>149</v>
      </c>
      <c r="B371" s="14" t="s">
        <v>27</v>
      </c>
      <c r="C371" s="11" t="s">
        <v>145</v>
      </c>
      <c r="D371" s="15">
        <v>693005639</v>
      </c>
      <c r="E371" s="11" t="s">
        <v>29</v>
      </c>
      <c r="F371" s="20">
        <v>36078</v>
      </c>
      <c r="G371" s="16" t="str">
        <f t="shared" si="10"/>
        <v>October</v>
      </c>
      <c r="H371" s="2">
        <f t="shared" ca="1" si="11"/>
        <v>20</v>
      </c>
      <c r="I371" s="17" t="s">
        <v>47</v>
      </c>
      <c r="J371" s="18">
        <v>72765</v>
      </c>
      <c r="K371" s="19">
        <v>5</v>
      </c>
    </row>
    <row r="372" spans="1:11" x14ac:dyDescent="0.2">
      <c r="A372" s="11" t="s">
        <v>1044</v>
      </c>
      <c r="B372" s="14" t="s">
        <v>19</v>
      </c>
      <c r="C372" s="11" t="s">
        <v>136</v>
      </c>
      <c r="D372" s="15">
        <v>978004935</v>
      </c>
      <c r="E372" s="11" t="s">
        <v>29</v>
      </c>
      <c r="F372" s="20">
        <v>39051</v>
      </c>
      <c r="G372" s="16" t="str">
        <f t="shared" si="10"/>
        <v>November</v>
      </c>
      <c r="H372" s="2">
        <f t="shared" ca="1" si="11"/>
        <v>12</v>
      </c>
      <c r="I372" s="17" t="s">
        <v>38</v>
      </c>
      <c r="J372" s="18">
        <v>62586</v>
      </c>
      <c r="K372" s="19">
        <v>5</v>
      </c>
    </row>
    <row r="373" spans="1:11" x14ac:dyDescent="0.2">
      <c r="A373" s="11" t="s">
        <v>898</v>
      </c>
      <c r="B373" s="14" t="s">
        <v>36</v>
      </c>
      <c r="C373" s="11" t="s">
        <v>249</v>
      </c>
      <c r="D373" s="15">
        <v>917005248</v>
      </c>
      <c r="E373" s="11" t="s">
        <v>56</v>
      </c>
      <c r="F373" s="20">
        <v>40683</v>
      </c>
      <c r="G373" s="16" t="str">
        <f t="shared" si="10"/>
        <v>May</v>
      </c>
      <c r="H373" s="2">
        <f t="shared" ca="1" si="11"/>
        <v>8</v>
      </c>
      <c r="I373" s="17"/>
      <c r="J373" s="18">
        <v>14909</v>
      </c>
      <c r="K373" s="19">
        <v>2</v>
      </c>
    </row>
    <row r="374" spans="1:11" x14ac:dyDescent="0.2">
      <c r="A374" s="11" t="s">
        <v>765</v>
      </c>
      <c r="B374" s="14" t="s">
        <v>51</v>
      </c>
      <c r="C374" s="11" t="s">
        <v>145</v>
      </c>
      <c r="D374" s="15">
        <v>462001365</v>
      </c>
      <c r="E374" s="11" t="s">
        <v>29</v>
      </c>
      <c r="F374" s="20">
        <v>36877</v>
      </c>
      <c r="G374" s="16" t="str">
        <f t="shared" si="10"/>
        <v>December</v>
      </c>
      <c r="H374" s="2">
        <f t="shared" ca="1" si="11"/>
        <v>18</v>
      </c>
      <c r="I374" s="17" t="s">
        <v>30</v>
      </c>
      <c r="J374" s="18">
        <v>60899</v>
      </c>
      <c r="K374" s="19">
        <v>2</v>
      </c>
    </row>
    <row r="375" spans="1:11" x14ac:dyDescent="0.2">
      <c r="A375" s="11" t="s">
        <v>1288</v>
      </c>
      <c r="B375" s="14" t="s">
        <v>27</v>
      </c>
      <c r="C375" s="11" t="s">
        <v>145</v>
      </c>
      <c r="D375" s="15">
        <v>708002156</v>
      </c>
      <c r="E375" s="11" t="s">
        <v>29</v>
      </c>
      <c r="F375" s="20">
        <v>39168</v>
      </c>
      <c r="G375" s="16" t="str">
        <f t="shared" si="10"/>
        <v>March</v>
      </c>
      <c r="H375" s="2">
        <f t="shared" ca="1" si="11"/>
        <v>12</v>
      </c>
      <c r="I375" s="17" t="s">
        <v>47</v>
      </c>
      <c r="J375" s="18">
        <v>93420</v>
      </c>
      <c r="K375" s="19">
        <v>4</v>
      </c>
    </row>
    <row r="376" spans="1:11" x14ac:dyDescent="0.2">
      <c r="A376" s="11" t="s">
        <v>108</v>
      </c>
      <c r="B376" s="14" t="s">
        <v>43</v>
      </c>
      <c r="C376" s="11" t="s">
        <v>101</v>
      </c>
      <c r="D376" s="15">
        <v>671000508</v>
      </c>
      <c r="E376" s="11" t="s">
        <v>80</v>
      </c>
      <c r="F376" s="20">
        <v>36016</v>
      </c>
      <c r="G376" s="16" t="str">
        <f t="shared" si="10"/>
        <v>August</v>
      </c>
      <c r="H376" s="2">
        <f t="shared" ca="1" si="11"/>
        <v>20</v>
      </c>
      <c r="I376" s="17" t="s">
        <v>87</v>
      </c>
      <c r="J376" s="18">
        <v>53487</v>
      </c>
      <c r="K376" s="19">
        <v>5</v>
      </c>
    </row>
    <row r="377" spans="1:11" x14ac:dyDescent="0.2">
      <c r="A377" s="11" t="s">
        <v>691</v>
      </c>
      <c r="B377" s="14" t="s">
        <v>19</v>
      </c>
      <c r="C377" s="11" t="s">
        <v>214</v>
      </c>
      <c r="D377" s="15">
        <v>527005620</v>
      </c>
      <c r="E377" s="11" t="s">
        <v>29</v>
      </c>
      <c r="F377" s="20">
        <v>43126</v>
      </c>
      <c r="G377" s="16" t="str">
        <f t="shared" si="10"/>
        <v>January</v>
      </c>
      <c r="H377" s="2">
        <f t="shared" ca="1" si="11"/>
        <v>1</v>
      </c>
      <c r="I377" s="17" t="s">
        <v>30</v>
      </c>
      <c r="J377" s="18">
        <v>47655</v>
      </c>
      <c r="K377" s="19">
        <v>5</v>
      </c>
    </row>
    <row r="378" spans="1:11" x14ac:dyDescent="0.2">
      <c r="A378" s="11" t="s">
        <v>1206</v>
      </c>
      <c r="B378" s="14" t="s">
        <v>36</v>
      </c>
      <c r="C378" s="11" t="s">
        <v>152</v>
      </c>
      <c r="D378" s="15">
        <v>758001890</v>
      </c>
      <c r="E378" s="11" t="s">
        <v>80</v>
      </c>
      <c r="F378" s="20">
        <v>38153</v>
      </c>
      <c r="G378" s="16" t="str">
        <f t="shared" si="10"/>
        <v>June</v>
      </c>
      <c r="H378" s="2">
        <f t="shared" ca="1" si="11"/>
        <v>14</v>
      </c>
      <c r="I378" s="17" t="s">
        <v>30</v>
      </c>
      <c r="J378" s="18">
        <v>51442</v>
      </c>
      <c r="K378" s="19">
        <v>2</v>
      </c>
    </row>
    <row r="379" spans="1:11" x14ac:dyDescent="0.2">
      <c r="A379" s="11" t="s">
        <v>781</v>
      </c>
      <c r="B379" s="14" t="s">
        <v>19</v>
      </c>
      <c r="C379" s="11" t="s">
        <v>86</v>
      </c>
      <c r="D379" s="15">
        <v>393000045</v>
      </c>
      <c r="E379" s="11" t="s">
        <v>80</v>
      </c>
      <c r="F379" s="20">
        <v>40022</v>
      </c>
      <c r="G379" s="16" t="str">
        <f t="shared" si="10"/>
        <v>July</v>
      </c>
      <c r="H379" s="2">
        <f t="shared" ca="1" si="11"/>
        <v>9</v>
      </c>
      <c r="I379" s="17" t="s">
        <v>87</v>
      </c>
      <c r="J379" s="18">
        <v>63848</v>
      </c>
      <c r="K379" s="19">
        <v>4</v>
      </c>
    </row>
    <row r="380" spans="1:11" x14ac:dyDescent="0.2">
      <c r="A380" s="11" t="s">
        <v>331</v>
      </c>
      <c r="B380" s="14" t="s">
        <v>27</v>
      </c>
      <c r="C380" s="11" t="s">
        <v>52</v>
      </c>
      <c r="D380" s="15">
        <v>694000128</v>
      </c>
      <c r="E380" s="11" t="s">
        <v>29</v>
      </c>
      <c r="F380" s="20">
        <v>39125</v>
      </c>
      <c r="G380" s="16" t="str">
        <f t="shared" si="10"/>
        <v>February</v>
      </c>
      <c r="H380" s="2">
        <f t="shared" ca="1" si="11"/>
        <v>12</v>
      </c>
      <c r="I380" s="17" t="s">
        <v>30</v>
      </c>
      <c r="J380" s="18">
        <v>82796</v>
      </c>
      <c r="K380" s="19">
        <v>1</v>
      </c>
    </row>
    <row r="381" spans="1:11" x14ac:dyDescent="0.2">
      <c r="A381" s="11" t="s">
        <v>582</v>
      </c>
      <c r="B381" s="14" t="s">
        <v>43</v>
      </c>
      <c r="C381" s="11" t="s">
        <v>214</v>
      </c>
      <c r="D381" s="15">
        <v>328007467</v>
      </c>
      <c r="E381" s="11" t="s">
        <v>56</v>
      </c>
      <c r="F381" s="20">
        <v>41943</v>
      </c>
      <c r="G381" s="16" t="str">
        <f t="shared" si="10"/>
        <v>October</v>
      </c>
      <c r="H381" s="2">
        <f t="shared" ca="1" si="11"/>
        <v>4</v>
      </c>
      <c r="I381" s="17"/>
      <c r="J381" s="18">
        <v>19462</v>
      </c>
      <c r="K381" s="19">
        <v>4</v>
      </c>
    </row>
    <row r="382" spans="1:11" x14ac:dyDescent="0.2">
      <c r="A382" s="11" t="s">
        <v>936</v>
      </c>
      <c r="B382" s="14" t="s">
        <v>43</v>
      </c>
      <c r="C382" s="11" t="s">
        <v>59</v>
      </c>
      <c r="D382" s="15">
        <v>870001943</v>
      </c>
      <c r="E382" s="11" t="s">
        <v>21</v>
      </c>
      <c r="F382" s="20">
        <v>37617</v>
      </c>
      <c r="G382" s="16" t="str">
        <f t="shared" si="10"/>
        <v>December</v>
      </c>
      <c r="H382" s="2">
        <f t="shared" ca="1" si="11"/>
        <v>16</v>
      </c>
      <c r="I382" s="17"/>
      <c r="J382" s="18">
        <v>60804</v>
      </c>
      <c r="K382" s="19">
        <v>5</v>
      </c>
    </row>
    <row r="383" spans="1:11" x14ac:dyDescent="0.2">
      <c r="A383" s="11" t="s">
        <v>287</v>
      </c>
      <c r="B383" s="14" t="s">
        <v>27</v>
      </c>
      <c r="C383" s="11" t="s">
        <v>101</v>
      </c>
      <c r="D383" s="15">
        <v>292003795</v>
      </c>
      <c r="E383" s="11" t="s">
        <v>29</v>
      </c>
      <c r="F383" s="20">
        <v>36136</v>
      </c>
      <c r="G383" s="16" t="str">
        <f t="shared" si="10"/>
        <v>December</v>
      </c>
      <c r="H383" s="2">
        <f t="shared" ca="1" si="11"/>
        <v>20</v>
      </c>
      <c r="I383" s="17" t="s">
        <v>47</v>
      </c>
      <c r="J383" s="18">
        <v>118733</v>
      </c>
      <c r="K383" s="19">
        <v>4</v>
      </c>
    </row>
    <row r="384" spans="1:11" x14ac:dyDescent="0.2">
      <c r="A384" s="11" t="s">
        <v>600</v>
      </c>
      <c r="B384" s="14" t="s">
        <v>43</v>
      </c>
      <c r="C384" s="11" t="s">
        <v>214</v>
      </c>
      <c r="D384" s="15">
        <v>772003640</v>
      </c>
      <c r="E384" s="11" t="s">
        <v>29</v>
      </c>
      <c r="F384" s="20">
        <v>39300</v>
      </c>
      <c r="G384" s="16" t="str">
        <f t="shared" si="10"/>
        <v>August</v>
      </c>
      <c r="H384" s="2">
        <f t="shared" ca="1" si="11"/>
        <v>11</v>
      </c>
      <c r="I384" s="17" t="s">
        <v>47</v>
      </c>
      <c r="J384" s="18">
        <v>90828</v>
      </c>
      <c r="K384" s="19">
        <v>3</v>
      </c>
    </row>
    <row r="385" spans="1:11" x14ac:dyDescent="0.2">
      <c r="A385" s="11" t="s">
        <v>1180</v>
      </c>
      <c r="B385" s="14" t="s">
        <v>19</v>
      </c>
      <c r="C385" s="11" t="s">
        <v>136</v>
      </c>
      <c r="D385" s="15">
        <v>548003920</v>
      </c>
      <c r="E385" s="11" t="s">
        <v>21</v>
      </c>
      <c r="F385" s="20">
        <v>39153</v>
      </c>
      <c r="G385" s="16" t="str">
        <f t="shared" si="10"/>
        <v>March</v>
      </c>
      <c r="H385" s="2">
        <f t="shared" ca="1" si="11"/>
        <v>12</v>
      </c>
      <c r="I385" s="17"/>
      <c r="J385" s="18">
        <v>78287</v>
      </c>
      <c r="K385" s="19">
        <v>5</v>
      </c>
    </row>
    <row r="386" spans="1:11" x14ac:dyDescent="0.2">
      <c r="A386" s="11" t="s">
        <v>1402</v>
      </c>
      <c r="B386" s="14" t="s">
        <v>51</v>
      </c>
      <c r="C386" s="11" t="s">
        <v>152</v>
      </c>
      <c r="D386" s="15">
        <v>900000539</v>
      </c>
      <c r="E386" s="11" t="s">
        <v>80</v>
      </c>
      <c r="F386" s="20">
        <v>39221</v>
      </c>
      <c r="G386" s="16" t="str">
        <f t="shared" ref="G386:G449" si="12">CHOOSE(MONTH(F386),"January","February","March","April","May","June","July","August","September","October","November","December")</f>
        <v>May</v>
      </c>
      <c r="H386" s="2">
        <f t="shared" ref="H386:H449" ca="1" si="13">DATEDIF(F386,TODAY(),"Y")</f>
        <v>12</v>
      </c>
      <c r="I386" s="17" t="s">
        <v>38</v>
      </c>
      <c r="J386" s="18">
        <v>26764</v>
      </c>
      <c r="K386" s="19">
        <v>2</v>
      </c>
    </row>
    <row r="387" spans="1:11" x14ac:dyDescent="0.2">
      <c r="A387" s="11" t="s">
        <v>151</v>
      </c>
      <c r="B387" s="14" t="s">
        <v>27</v>
      </c>
      <c r="C387" s="11" t="s">
        <v>152</v>
      </c>
      <c r="D387" s="15">
        <v>904007673</v>
      </c>
      <c r="E387" s="11" t="s">
        <v>21</v>
      </c>
      <c r="F387" s="20">
        <v>36000</v>
      </c>
      <c r="G387" s="16" t="str">
        <f t="shared" si="12"/>
        <v>July</v>
      </c>
      <c r="H387" s="2">
        <f t="shared" ca="1" si="13"/>
        <v>20</v>
      </c>
      <c r="I387" s="17"/>
      <c r="J387" s="18">
        <v>31509</v>
      </c>
      <c r="K387" s="19">
        <v>4</v>
      </c>
    </row>
    <row r="388" spans="1:11" x14ac:dyDescent="0.2">
      <c r="A388" s="11" t="s">
        <v>538</v>
      </c>
      <c r="B388" s="14" t="s">
        <v>43</v>
      </c>
      <c r="C388" s="11" t="s">
        <v>136</v>
      </c>
      <c r="D388" s="15">
        <v>378002665</v>
      </c>
      <c r="E388" s="11" t="s">
        <v>80</v>
      </c>
      <c r="F388" s="20">
        <v>36527</v>
      </c>
      <c r="G388" s="16" t="str">
        <f t="shared" si="12"/>
        <v>January</v>
      </c>
      <c r="H388" s="2">
        <f t="shared" ca="1" si="13"/>
        <v>19</v>
      </c>
      <c r="I388" s="17" t="s">
        <v>47</v>
      </c>
      <c r="J388" s="18">
        <v>62613</v>
      </c>
      <c r="K388" s="19">
        <v>3</v>
      </c>
    </row>
    <row r="389" spans="1:11" x14ac:dyDescent="0.2">
      <c r="A389" s="11" t="s">
        <v>1214</v>
      </c>
      <c r="B389" s="14" t="s">
        <v>19</v>
      </c>
      <c r="C389" s="11" t="s">
        <v>152</v>
      </c>
      <c r="D389" s="15">
        <v>793006568</v>
      </c>
      <c r="E389" s="11" t="s">
        <v>29</v>
      </c>
      <c r="F389" s="20">
        <v>38220</v>
      </c>
      <c r="G389" s="16" t="str">
        <f t="shared" si="12"/>
        <v>August</v>
      </c>
      <c r="H389" s="2">
        <f t="shared" ca="1" si="13"/>
        <v>14</v>
      </c>
      <c r="I389" s="17" t="s">
        <v>47</v>
      </c>
      <c r="J389" s="18">
        <v>36626</v>
      </c>
      <c r="K389" s="19">
        <v>5</v>
      </c>
    </row>
    <row r="390" spans="1:11" x14ac:dyDescent="0.2">
      <c r="A390" s="11" t="s">
        <v>1476</v>
      </c>
      <c r="B390" s="14" t="s">
        <v>19</v>
      </c>
      <c r="C390" s="11" t="s">
        <v>254</v>
      </c>
      <c r="D390" s="15">
        <v>972006665</v>
      </c>
      <c r="E390" s="11" t="s">
        <v>29</v>
      </c>
      <c r="F390" s="20">
        <v>41083</v>
      </c>
      <c r="G390" s="16" t="str">
        <f t="shared" si="12"/>
        <v>June</v>
      </c>
      <c r="H390" s="2">
        <f t="shared" ca="1" si="13"/>
        <v>6</v>
      </c>
      <c r="I390" s="17" t="s">
        <v>30</v>
      </c>
      <c r="J390" s="18">
        <v>116370</v>
      </c>
      <c r="K390" s="19">
        <v>3</v>
      </c>
    </row>
    <row r="391" spans="1:11" x14ac:dyDescent="0.2">
      <c r="A391" s="11" t="s">
        <v>944</v>
      </c>
      <c r="B391" s="14" t="s">
        <v>43</v>
      </c>
      <c r="C391" s="11" t="s">
        <v>254</v>
      </c>
      <c r="D391" s="15">
        <v>623003805</v>
      </c>
      <c r="E391" s="11" t="s">
        <v>56</v>
      </c>
      <c r="F391" s="20">
        <v>43259</v>
      </c>
      <c r="G391" s="16" t="str">
        <f t="shared" si="12"/>
        <v>June</v>
      </c>
      <c r="H391" s="2">
        <f t="shared" ca="1" si="13"/>
        <v>0</v>
      </c>
      <c r="I391" s="17"/>
      <c r="J391" s="18">
        <v>20326</v>
      </c>
      <c r="K391" s="19">
        <v>5</v>
      </c>
    </row>
    <row r="392" spans="1:11" x14ac:dyDescent="0.2">
      <c r="A392" s="11" t="s">
        <v>866</v>
      </c>
      <c r="B392" s="14" t="s">
        <v>19</v>
      </c>
      <c r="C392" s="11" t="s">
        <v>249</v>
      </c>
      <c r="D392" s="15">
        <v>332002868</v>
      </c>
      <c r="E392" s="11" t="s">
        <v>29</v>
      </c>
      <c r="F392" s="20">
        <v>39031</v>
      </c>
      <c r="G392" s="16" t="str">
        <f t="shared" si="12"/>
        <v>November</v>
      </c>
      <c r="H392" s="2">
        <f t="shared" ca="1" si="13"/>
        <v>12</v>
      </c>
      <c r="I392" s="17" t="s">
        <v>30</v>
      </c>
      <c r="J392" s="18">
        <v>31752</v>
      </c>
      <c r="K392" s="19">
        <v>2</v>
      </c>
    </row>
    <row r="393" spans="1:11" x14ac:dyDescent="0.2">
      <c r="A393" s="11" t="s">
        <v>437</v>
      </c>
      <c r="B393" s="14" t="s">
        <v>27</v>
      </c>
      <c r="C393" s="11" t="s">
        <v>205</v>
      </c>
      <c r="D393" s="15">
        <v>875000441</v>
      </c>
      <c r="E393" s="11" t="s">
        <v>80</v>
      </c>
      <c r="F393" s="20">
        <v>40361</v>
      </c>
      <c r="G393" s="16" t="str">
        <f t="shared" si="12"/>
        <v>July</v>
      </c>
      <c r="H393" s="2">
        <f t="shared" ca="1" si="13"/>
        <v>8</v>
      </c>
      <c r="I393" s="17" t="s">
        <v>71</v>
      </c>
      <c r="J393" s="18">
        <v>69930</v>
      </c>
      <c r="K393" s="19">
        <v>1</v>
      </c>
    </row>
    <row r="394" spans="1:11" x14ac:dyDescent="0.2">
      <c r="A394" s="11" t="s">
        <v>1528</v>
      </c>
      <c r="B394" s="14" t="s">
        <v>27</v>
      </c>
      <c r="C394" s="11" t="s">
        <v>152</v>
      </c>
      <c r="D394" s="15">
        <v>177004163</v>
      </c>
      <c r="E394" s="11" t="s">
        <v>29</v>
      </c>
      <c r="F394" s="20">
        <v>40666</v>
      </c>
      <c r="G394" s="16" t="str">
        <f t="shared" si="12"/>
        <v>May</v>
      </c>
      <c r="H394" s="2">
        <f t="shared" ca="1" si="13"/>
        <v>8</v>
      </c>
      <c r="I394" s="17" t="s">
        <v>30</v>
      </c>
      <c r="J394" s="18">
        <v>64814</v>
      </c>
      <c r="K394" s="19">
        <v>3</v>
      </c>
    </row>
    <row r="395" spans="1:11" x14ac:dyDescent="0.2">
      <c r="A395" s="11" t="s">
        <v>96</v>
      </c>
      <c r="B395" s="14" t="s">
        <v>43</v>
      </c>
      <c r="C395" s="4" t="s">
        <v>62</v>
      </c>
      <c r="D395" s="22">
        <v>297002686</v>
      </c>
      <c r="E395" s="4" t="s">
        <v>29</v>
      </c>
      <c r="F395" s="20">
        <v>42560</v>
      </c>
      <c r="G395" s="16" t="str">
        <f t="shared" si="12"/>
        <v>July</v>
      </c>
      <c r="H395" s="2">
        <f t="shared" ca="1" si="13"/>
        <v>2</v>
      </c>
      <c r="I395" s="17" t="s">
        <v>71</v>
      </c>
      <c r="J395" s="18">
        <v>78692</v>
      </c>
      <c r="K395" s="19">
        <v>5</v>
      </c>
    </row>
    <row r="396" spans="1:11" x14ac:dyDescent="0.2">
      <c r="A396" s="11" t="s">
        <v>1372</v>
      </c>
      <c r="B396" s="14" t="s">
        <v>27</v>
      </c>
      <c r="C396" s="11" t="s">
        <v>136</v>
      </c>
      <c r="D396" s="15">
        <v>302000290</v>
      </c>
      <c r="E396" s="11" t="s">
        <v>29</v>
      </c>
      <c r="F396" s="20">
        <v>38384</v>
      </c>
      <c r="G396" s="16" t="str">
        <f t="shared" si="12"/>
        <v>February</v>
      </c>
      <c r="H396" s="2">
        <f t="shared" ca="1" si="13"/>
        <v>14</v>
      </c>
      <c r="I396" s="17" t="s">
        <v>47</v>
      </c>
      <c r="J396" s="18">
        <v>85415</v>
      </c>
      <c r="K396" s="19">
        <v>1</v>
      </c>
    </row>
    <row r="397" spans="1:11" x14ac:dyDescent="0.2">
      <c r="A397" s="11" t="s">
        <v>839</v>
      </c>
      <c r="B397" s="14" t="s">
        <v>27</v>
      </c>
      <c r="C397" s="11" t="s">
        <v>86</v>
      </c>
      <c r="D397" s="15">
        <v>157007652</v>
      </c>
      <c r="E397" s="11" t="s">
        <v>21</v>
      </c>
      <c r="F397" s="20">
        <v>39559</v>
      </c>
      <c r="G397" s="16" t="str">
        <f t="shared" si="12"/>
        <v>April</v>
      </c>
      <c r="H397" s="2">
        <f t="shared" ca="1" si="13"/>
        <v>11</v>
      </c>
      <c r="I397" s="17"/>
      <c r="J397" s="18">
        <v>67770</v>
      </c>
      <c r="K397" s="19">
        <v>4</v>
      </c>
    </row>
    <row r="398" spans="1:11" x14ac:dyDescent="0.2">
      <c r="A398" s="11" t="s">
        <v>1192</v>
      </c>
      <c r="B398" s="14" t="s">
        <v>19</v>
      </c>
      <c r="C398" s="11" t="s">
        <v>136</v>
      </c>
      <c r="D398" s="15">
        <v>330009921</v>
      </c>
      <c r="E398" s="11" t="s">
        <v>29</v>
      </c>
      <c r="F398" s="20">
        <v>38944</v>
      </c>
      <c r="G398" s="16" t="str">
        <f t="shared" si="12"/>
        <v>August</v>
      </c>
      <c r="H398" s="2">
        <f t="shared" ca="1" si="13"/>
        <v>12</v>
      </c>
      <c r="I398" s="17" t="s">
        <v>38</v>
      </c>
      <c r="J398" s="18">
        <v>73683</v>
      </c>
      <c r="K398" s="19">
        <v>4</v>
      </c>
    </row>
    <row r="399" spans="1:11" x14ac:dyDescent="0.2">
      <c r="A399" s="11" t="s">
        <v>735</v>
      </c>
      <c r="B399" s="14" t="s">
        <v>19</v>
      </c>
      <c r="C399" s="11" t="s">
        <v>136</v>
      </c>
      <c r="D399" s="15">
        <v>558003229</v>
      </c>
      <c r="E399" s="11" t="s">
        <v>29</v>
      </c>
      <c r="F399" s="20">
        <v>36917</v>
      </c>
      <c r="G399" s="16" t="str">
        <f t="shared" si="12"/>
        <v>January</v>
      </c>
      <c r="H399" s="2">
        <f t="shared" ca="1" si="13"/>
        <v>18</v>
      </c>
      <c r="I399" s="17" t="s">
        <v>47</v>
      </c>
      <c r="J399" s="18">
        <v>31482</v>
      </c>
      <c r="K399" s="19">
        <v>4</v>
      </c>
    </row>
    <row r="400" spans="1:11" x14ac:dyDescent="0.2">
      <c r="A400" s="11" t="s">
        <v>400</v>
      </c>
      <c r="B400" s="14" t="s">
        <v>19</v>
      </c>
      <c r="C400" s="11" t="s">
        <v>59</v>
      </c>
      <c r="D400" s="15">
        <v>736008620</v>
      </c>
      <c r="E400" s="11" t="s">
        <v>80</v>
      </c>
      <c r="F400" s="20">
        <v>42624</v>
      </c>
      <c r="G400" s="16" t="str">
        <f t="shared" si="12"/>
        <v>September</v>
      </c>
      <c r="H400" s="2">
        <f t="shared" ca="1" si="13"/>
        <v>2</v>
      </c>
      <c r="I400" s="17" t="s">
        <v>47</v>
      </c>
      <c r="J400" s="18">
        <v>53345</v>
      </c>
      <c r="K400" s="19">
        <v>5</v>
      </c>
    </row>
    <row r="401" spans="1:11" x14ac:dyDescent="0.2">
      <c r="A401" s="11" t="s">
        <v>1038</v>
      </c>
      <c r="B401" s="14" t="s">
        <v>27</v>
      </c>
      <c r="C401" s="11" t="s">
        <v>59</v>
      </c>
      <c r="D401" s="15">
        <v>393001351</v>
      </c>
      <c r="E401" s="11" t="s">
        <v>80</v>
      </c>
      <c r="F401" s="20">
        <v>38042</v>
      </c>
      <c r="G401" s="16" t="str">
        <f t="shared" si="12"/>
        <v>February</v>
      </c>
      <c r="H401" s="2">
        <f t="shared" ca="1" si="13"/>
        <v>15</v>
      </c>
      <c r="I401" s="17" t="s">
        <v>71</v>
      </c>
      <c r="J401" s="18">
        <v>44327</v>
      </c>
      <c r="K401" s="19">
        <v>2</v>
      </c>
    </row>
    <row r="402" spans="1:11" x14ac:dyDescent="0.2">
      <c r="A402" s="11" t="s">
        <v>817</v>
      </c>
      <c r="B402" s="14" t="s">
        <v>19</v>
      </c>
      <c r="C402" s="11" t="s">
        <v>86</v>
      </c>
      <c r="D402" s="15">
        <v>649004799</v>
      </c>
      <c r="E402" s="11" t="s">
        <v>29</v>
      </c>
      <c r="F402" s="20">
        <v>43065</v>
      </c>
      <c r="G402" s="16" t="str">
        <f t="shared" si="12"/>
        <v>November</v>
      </c>
      <c r="H402" s="2">
        <f t="shared" ca="1" si="13"/>
        <v>1</v>
      </c>
      <c r="I402" s="17" t="s">
        <v>30</v>
      </c>
      <c r="J402" s="18">
        <v>61101</v>
      </c>
      <c r="K402" s="19">
        <v>4</v>
      </c>
    </row>
    <row r="403" spans="1:11" x14ac:dyDescent="0.2">
      <c r="A403" s="11" t="s">
        <v>719</v>
      </c>
      <c r="B403" s="14" t="s">
        <v>43</v>
      </c>
      <c r="C403" s="11" t="s">
        <v>214</v>
      </c>
      <c r="D403" s="15">
        <v>470005648</v>
      </c>
      <c r="E403" s="11" t="s">
        <v>21</v>
      </c>
      <c r="F403" s="20">
        <v>41393</v>
      </c>
      <c r="G403" s="16" t="str">
        <f t="shared" si="12"/>
        <v>April</v>
      </c>
      <c r="H403" s="2">
        <f t="shared" ca="1" si="13"/>
        <v>6</v>
      </c>
      <c r="I403" s="17"/>
      <c r="J403" s="18">
        <v>53568</v>
      </c>
      <c r="K403" s="19">
        <v>1</v>
      </c>
    </row>
    <row r="404" spans="1:11" x14ac:dyDescent="0.2">
      <c r="A404" s="11" t="s">
        <v>271</v>
      </c>
      <c r="B404" s="14" t="s">
        <v>51</v>
      </c>
      <c r="C404" s="11" t="s">
        <v>265</v>
      </c>
      <c r="D404" s="15">
        <v>640001378</v>
      </c>
      <c r="E404" s="11" t="s">
        <v>80</v>
      </c>
      <c r="F404" s="20">
        <v>43361</v>
      </c>
      <c r="G404" s="16" t="str">
        <f t="shared" si="12"/>
        <v>September</v>
      </c>
      <c r="H404" s="2">
        <f t="shared" ca="1" si="13"/>
        <v>0</v>
      </c>
      <c r="I404" s="17" t="s">
        <v>30</v>
      </c>
      <c r="J404" s="18">
        <v>62411</v>
      </c>
      <c r="K404" s="19">
        <v>2</v>
      </c>
    </row>
    <row r="405" spans="1:11" x14ac:dyDescent="0.2">
      <c r="A405" s="11" t="s">
        <v>1098</v>
      </c>
      <c r="B405" s="14" t="s">
        <v>51</v>
      </c>
      <c r="C405" s="11" t="s">
        <v>86</v>
      </c>
      <c r="D405" s="15">
        <v>634004970</v>
      </c>
      <c r="E405" s="11" t="s">
        <v>29</v>
      </c>
      <c r="F405" s="20">
        <v>38138</v>
      </c>
      <c r="G405" s="16" t="str">
        <f t="shared" si="12"/>
        <v>May</v>
      </c>
      <c r="H405" s="2">
        <f t="shared" ca="1" si="13"/>
        <v>15</v>
      </c>
      <c r="I405" s="17" t="s">
        <v>47</v>
      </c>
      <c r="J405" s="18">
        <v>77706</v>
      </c>
      <c r="K405" s="19">
        <v>4</v>
      </c>
    </row>
    <row r="406" spans="1:11" x14ac:dyDescent="0.2">
      <c r="A406" s="11" t="s">
        <v>449</v>
      </c>
      <c r="B406" s="14" t="s">
        <v>51</v>
      </c>
      <c r="C406" s="11" t="s">
        <v>59</v>
      </c>
      <c r="D406" s="15">
        <v>993007417</v>
      </c>
      <c r="E406" s="11" t="s">
        <v>29</v>
      </c>
      <c r="F406" s="20">
        <v>36779</v>
      </c>
      <c r="G406" s="16" t="str">
        <f t="shared" si="12"/>
        <v>September</v>
      </c>
      <c r="H406" s="2">
        <f t="shared" ca="1" si="13"/>
        <v>18</v>
      </c>
      <c r="I406" s="17" t="s">
        <v>30</v>
      </c>
      <c r="J406" s="18">
        <v>62559</v>
      </c>
      <c r="K406" s="19">
        <v>5</v>
      </c>
    </row>
    <row r="407" spans="1:11" x14ac:dyDescent="0.2">
      <c r="A407" s="11" t="s">
        <v>1448</v>
      </c>
      <c r="B407" s="14" t="s">
        <v>27</v>
      </c>
      <c r="C407" s="11" t="s">
        <v>214</v>
      </c>
      <c r="D407" s="15">
        <v>130009578</v>
      </c>
      <c r="E407" s="11" t="s">
        <v>21</v>
      </c>
      <c r="F407" s="20">
        <v>39574</v>
      </c>
      <c r="G407" s="16" t="str">
        <f t="shared" si="12"/>
        <v>May</v>
      </c>
      <c r="H407" s="2">
        <f t="shared" ca="1" si="13"/>
        <v>11</v>
      </c>
      <c r="I407" s="17"/>
      <c r="J407" s="18">
        <v>120852</v>
      </c>
      <c r="K407" s="19">
        <v>5</v>
      </c>
    </row>
    <row r="408" spans="1:11" x14ac:dyDescent="0.2">
      <c r="A408" s="11" t="s">
        <v>831</v>
      </c>
      <c r="B408" s="14" t="s">
        <v>36</v>
      </c>
      <c r="C408" s="11" t="s">
        <v>214</v>
      </c>
      <c r="D408" s="15">
        <v>165007010</v>
      </c>
      <c r="E408" s="11" t="s">
        <v>21</v>
      </c>
      <c r="F408" s="20">
        <v>37527</v>
      </c>
      <c r="G408" s="16" t="str">
        <f t="shared" si="12"/>
        <v>September</v>
      </c>
      <c r="H408" s="2">
        <f t="shared" ca="1" si="13"/>
        <v>16</v>
      </c>
      <c r="I408" s="17"/>
      <c r="J408" s="18">
        <v>108932</v>
      </c>
      <c r="K408" s="19">
        <v>3</v>
      </c>
    </row>
    <row r="409" spans="1:11" x14ac:dyDescent="0.2">
      <c r="A409" s="11" t="s">
        <v>1036</v>
      </c>
      <c r="B409" s="14" t="s">
        <v>19</v>
      </c>
      <c r="C409" s="11" t="s">
        <v>136</v>
      </c>
      <c r="D409" s="15">
        <v>737002868</v>
      </c>
      <c r="E409" s="11" t="s">
        <v>29</v>
      </c>
      <c r="F409" s="20">
        <v>39529</v>
      </c>
      <c r="G409" s="16" t="str">
        <f t="shared" si="12"/>
        <v>March</v>
      </c>
      <c r="H409" s="2">
        <f t="shared" ca="1" si="13"/>
        <v>11</v>
      </c>
      <c r="I409" s="17" t="s">
        <v>71</v>
      </c>
      <c r="J409" s="18">
        <v>65246</v>
      </c>
      <c r="K409" s="19">
        <v>1</v>
      </c>
    </row>
    <row r="410" spans="1:11" x14ac:dyDescent="0.2">
      <c r="A410" s="11" t="s">
        <v>463</v>
      </c>
      <c r="B410" s="14" t="s">
        <v>19</v>
      </c>
      <c r="C410" s="11" t="s">
        <v>214</v>
      </c>
      <c r="D410" s="15">
        <v>854006695</v>
      </c>
      <c r="E410" s="11" t="s">
        <v>29</v>
      </c>
      <c r="F410" s="20">
        <v>36577</v>
      </c>
      <c r="G410" s="16" t="str">
        <f t="shared" si="12"/>
        <v>February</v>
      </c>
      <c r="H410" s="2">
        <f t="shared" ca="1" si="13"/>
        <v>19</v>
      </c>
      <c r="I410" s="17" t="s">
        <v>30</v>
      </c>
      <c r="J410" s="18">
        <v>35357</v>
      </c>
      <c r="K410" s="19">
        <v>5</v>
      </c>
    </row>
    <row r="411" spans="1:11" x14ac:dyDescent="0.2">
      <c r="A411" s="11" t="s">
        <v>315</v>
      </c>
      <c r="B411" s="14" t="s">
        <v>43</v>
      </c>
      <c r="C411" s="11" t="s">
        <v>136</v>
      </c>
      <c r="D411" s="15">
        <v>433004045</v>
      </c>
      <c r="E411" s="11" t="s">
        <v>21</v>
      </c>
      <c r="F411" s="20">
        <v>36494</v>
      </c>
      <c r="G411" s="16" t="str">
        <f t="shared" si="12"/>
        <v>November</v>
      </c>
      <c r="H411" s="2">
        <f t="shared" ca="1" si="13"/>
        <v>19</v>
      </c>
      <c r="I411" s="17"/>
      <c r="J411" s="18">
        <v>64247</v>
      </c>
      <c r="K411" s="19">
        <v>3</v>
      </c>
    </row>
    <row r="412" spans="1:11" x14ac:dyDescent="0.2">
      <c r="A412" s="11" t="s">
        <v>1100</v>
      </c>
      <c r="B412" s="14" t="s">
        <v>83</v>
      </c>
      <c r="C412" s="11" t="s">
        <v>249</v>
      </c>
      <c r="D412" s="15">
        <v>303001529</v>
      </c>
      <c r="E412" s="11" t="s">
        <v>80</v>
      </c>
      <c r="F412" s="20">
        <v>38006</v>
      </c>
      <c r="G412" s="16" t="str">
        <f t="shared" si="12"/>
        <v>January</v>
      </c>
      <c r="H412" s="2">
        <f t="shared" ca="1" si="13"/>
        <v>15</v>
      </c>
      <c r="I412" s="17" t="s">
        <v>47</v>
      </c>
      <c r="J412" s="18">
        <v>66697</v>
      </c>
      <c r="K412" s="19">
        <v>4</v>
      </c>
    </row>
    <row r="413" spans="1:11" x14ac:dyDescent="0.2">
      <c r="A413" s="11" t="s">
        <v>140</v>
      </c>
      <c r="B413" s="14" t="s">
        <v>19</v>
      </c>
      <c r="C413" s="11" t="s">
        <v>136</v>
      </c>
      <c r="D413" s="15">
        <v>456009622</v>
      </c>
      <c r="E413" s="11" t="s">
        <v>29</v>
      </c>
      <c r="F413" s="20">
        <v>35954</v>
      </c>
      <c r="G413" s="16" t="str">
        <f t="shared" si="12"/>
        <v>June</v>
      </c>
      <c r="H413" s="2">
        <f t="shared" ca="1" si="13"/>
        <v>20</v>
      </c>
      <c r="I413" s="17" t="s">
        <v>47</v>
      </c>
      <c r="J413" s="18">
        <v>64908</v>
      </c>
      <c r="K413" s="19">
        <v>2</v>
      </c>
    </row>
    <row r="414" spans="1:11" x14ac:dyDescent="0.2">
      <c r="A414" s="11" t="s">
        <v>516</v>
      </c>
      <c r="B414" s="14" t="s">
        <v>19</v>
      </c>
      <c r="C414" s="11" t="s">
        <v>214</v>
      </c>
      <c r="D414" s="15">
        <v>995008336</v>
      </c>
      <c r="E414" s="11" t="s">
        <v>21</v>
      </c>
      <c r="F414" s="20">
        <v>43326</v>
      </c>
      <c r="G414" s="16" t="str">
        <f t="shared" si="12"/>
        <v>August</v>
      </c>
      <c r="H414" s="2">
        <f t="shared" ca="1" si="13"/>
        <v>0</v>
      </c>
      <c r="I414" s="17"/>
      <c r="J414" s="18">
        <v>51084</v>
      </c>
      <c r="K414" s="19">
        <v>1</v>
      </c>
    </row>
    <row r="415" spans="1:11" x14ac:dyDescent="0.2">
      <c r="A415" s="11" t="s">
        <v>892</v>
      </c>
      <c r="B415" s="14" t="s">
        <v>43</v>
      </c>
      <c r="C415" s="11" t="s">
        <v>249</v>
      </c>
      <c r="D415" s="15">
        <v>261006180</v>
      </c>
      <c r="E415" s="11" t="s">
        <v>21</v>
      </c>
      <c r="F415" s="20">
        <v>40092</v>
      </c>
      <c r="G415" s="16" t="str">
        <f t="shared" si="12"/>
        <v>October</v>
      </c>
      <c r="H415" s="2">
        <f t="shared" ca="1" si="13"/>
        <v>9</v>
      </c>
      <c r="I415" s="17"/>
      <c r="J415" s="18">
        <v>39879</v>
      </c>
      <c r="K415" s="19">
        <v>3</v>
      </c>
    </row>
    <row r="416" spans="1:11" x14ac:dyDescent="0.2">
      <c r="A416" s="11" t="s">
        <v>392</v>
      </c>
      <c r="B416" s="14" t="s">
        <v>19</v>
      </c>
      <c r="C416" s="11" t="s">
        <v>152</v>
      </c>
      <c r="D416" s="15">
        <v>111006346</v>
      </c>
      <c r="E416" s="11" t="s">
        <v>21</v>
      </c>
      <c r="F416" s="20">
        <v>36362</v>
      </c>
      <c r="G416" s="16" t="str">
        <f t="shared" si="12"/>
        <v>July</v>
      </c>
      <c r="H416" s="2">
        <f t="shared" ca="1" si="13"/>
        <v>19</v>
      </c>
      <c r="I416" s="17"/>
      <c r="J416" s="18">
        <v>82531</v>
      </c>
      <c r="K416" s="19">
        <v>4</v>
      </c>
    </row>
    <row r="417" spans="1:11" x14ac:dyDescent="0.2">
      <c r="A417" s="11" t="s">
        <v>226</v>
      </c>
      <c r="B417" s="14" t="s">
        <v>27</v>
      </c>
      <c r="C417" s="11" t="s">
        <v>86</v>
      </c>
      <c r="D417" s="15">
        <v>751008224</v>
      </c>
      <c r="E417" s="11" t="s">
        <v>29</v>
      </c>
      <c r="F417" s="20">
        <v>36462</v>
      </c>
      <c r="G417" s="16" t="str">
        <f t="shared" si="12"/>
        <v>October</v>
      </c>
      <c r="H417" s="2">
        <f t="shared" ca="1" si="13"/>
        <v>19</v>
      </c>
      <c r="I417" s="17" t="s">
        <v>87</v>
      </c>
      <c r="J417" s="18">
        <v>117612</v>
      </c>
      <c r="K417" s="19">
        <v>3</v>
      </c>
    </row>
    <row r="418" spans="1:11" x14ac:dyDescent="0.2">
      <c r="A418" s="11" t="s">
        <v>638</v>
      </c>
      <c r="B418" s="14" t="s">
        <v>36</v>
      </c>
      <c r="C418" s="11" t="s">
        <v>152</v>
      </c>
      <c r="D418" s="15">
        <v>616005292</v>
      </c>
      <c r="E418" s="11" t="s">
        <v>29</v>
      </c>
      <c r="F418" s="20">
        <v>36777</v>
      </c>
      <c r="G418" s="16" t="str">
        <f t="shared" si="12"/>
        <v>September</v>
      </c>
      <c r="H418" s="2">
        <f t="shared" ca="1" si="13"/>
        <v>18</v>
      </c>
      <c r="I418" s="17" t="s">
        <v>38</v>
      </c>
      <c r="J418" s="18">
        <v>43416</v>
      </c>
      <c r="K418" s="19">
        <v>3</v>
      </c>
    </row>
    <row r="419" spans="1:11" x14ac:dyDescent="0.2">
      <c r="A419" s="11" t="s">
        <v>1478</v>
      </c>
      <c r="B419" s="14" t="s">
        <v>27</v>
      </c>
      <c r="C419" s="11" t="s">
        <v>152</v>
      </c>
      <c r="D419" s="15">
        <v>800005434</v>
      </c>
      <c r="E419" s="11" t="s">
        <v>29</v>
      </c>
      <c r="F419" s="20">
        <v>39812</v>
      </c>
      <c r="G419" s="16" t="str">
        <f t="shared" si="12"/>
        <v>December</v>
      </c>
      <c r="H419" s="2">
        <f t="shared" ca="1" si="13"/>
        <v>10</v>
      </c>
      <c r="I419" s="17" t="s">
        <v>71</v>
      </c>
      <c r="J419" s="18">
        <v>67406</v>
      </c>
      <c r="K419" s="19">
        <v>1</v>
      </c>
    </row>
    <row r="420" spans="1:11" x14ac:dyDescent="0.2">
      <c r="A420" s="11" t="s">
        <v>112</v>
      </c>
      <c r="B420" s="14" t="s">
        <v>27</v>
      </c>
      <c r="C420" s="11" t="s">
        <v>101</v>
      </c>
      <c r="D420" s="15">
        <v>174003231</v>
      </c>
      <c r="E420" s="11" t="s">
        <v>29</v>
      </c>
      <c r="F420" s="20">
        <v>36042</v>
      </c>
      <c r="G420" s="16" t="str">
        <f t="shared" si="12"/>
        <v>September</v>
      </c>
      <c r="H420" s="2">
        <f t="shared" ca="1" si="13"/>
        <v>20</v>
      </c>
      <c r="I420" s="17" t="s">
        <v>47</v>
      </c>
      <c r="J420" s="18">
        <v>55269</v>
      </c>
      <c r="K420" s="19">
        <v>3</v>
      </c>
    </row>
    <row r="421" spans="1:11" x14ac:dyDescent="0.2">
      <c r="A421" s="11" t="s">
        <v>540</v>
      </c>
      <c r="B421" s="14" t="s">
        <v>19</v>
      </c>
      <c r="C421" s="11" t="s">
        <v>136</v>
      </c>
      <c r="D421" s="15">
        <v>638005756</v>
      </c>
      <c r="E421" s="11" t="s">
        <v>21</v>
      </c>
      <c r="F421" s="20">
        <v>36805</v>
      </c>
      <c r="G421" s="16" t="str">
        <f t="shared" si="12"/>
        <v>October</v>
      </c>
      <c r="H421" s="2">
        <f t="shared" ca="1" si="13"/>
        <v>18</v>
      </c>
      <c r="I421" s="17"/>
      <c r="J421" s="18">
        <v>60372</v>
      </c>
      <c r="K421" s="19">
        <v>2</v>
      </c>
    </row>
    <row r="422" spans="1:11" x14ac:dyDescent="0.2">
      <c r="A422" s="11" t="s">
        <v>1224</v>
      </c>
      <c r="B422" s="14" t="s">
        <v>19</v>
      </c>
      <c r="C422" s="11" t="s">
        <v>104</v>
      </c>
      <c r="D422" s="15">
        <v>243000742</v>
      </c>
      <c r="E422" s="11" t="s">
        <v>56</v>
      </c>
      <c r="F422" s="20">
        <v>38530</v>
      </c>
      <c r="G422" s="16" t="str">
        <f t="shared" si="12"/>
        <v>June</v>
      </c>
      <c r="H422" s="2">
        <f t="shared" ca="1" si="13"/>
        <v>13</v>
      </c>
      <c r="I422" s="17"/>
      <c r="J422" s="18">
        <v>27038</v>
      </c>
      <c r="K422" s="19">
        <v>4</v>
      </c>
    </row>
    <row r="423" spans="1:11" x14ac:dyDescent="0.2">
      <c r="A423" s="11" t="s">
        <v>526</v>
      </c>
      <c r="B423" s="14" t="s">
        <v>19</v>
      </c>
      <c r="C423" s="11" t="s">
        <v>214</v>
      </c>
      <c r="D423" s="15">
        <v>914006052</v>
      </c>
      <c r="E423" s="11" t="s">
        <v>29</v>
      </c>
      <c r="F423" s="20">
        <v>39391</v>
      </c>
      <c r="G423" s="16" t="str">
        <f t="shared" si="12"/>
        <v>November</v>
      </c>
      <c r="H423" s="2">
        <f t="shared" ca="1" si="13"/>
        <v>11</v>
      </c>
      <c r="I423" s="17" t="s">
        <v>47</v>
      </c>
      <c r="J423" s="18">
        <v>102859</v>
      </c>
      <c r="K423" s="19">
        <v>4</v>
      </c>
    </row>
    <row r="424" spans="1:11" x14ac:dyDescent="0.2">
      <c r="A424" s="11" t="s">
        <v>1244</v>
      </c>
      <c r="B424" s="14" t="s">
        <v>27</v>
      </c>
      <c r="C424" s="11" t="s">
        <v>20</v>
      </c>
      <c r="D424" s="15">
        <v>571000098</v>
      </c>
      <c r="E424" s="11" t="s">
        <v>29</v>
      </c>
      <c r="F424" s="20">
        <v>38685</v>
      </c>
      <c r="G424" s="16" t="str">
        <f t="shared" si="12"/>
        <v>November</v>
      </c>
      <c r="H424" s="2">
        <f t="shared" ca="1" si="13"/>
        <v>13</v>
      </c>
      <c r="I424" s="17" t="s">
        <v>47</v>
      </c>
      <c r="J424" s="18">
        <v>82391</v>
      </c>
      <c r="K424" s="19">
        <v>3</v>
      </c>
    </row>
    <row r="425" spans="1:11" x14ac:dyDescent="0.2">
      <c r="A425" s="11" t="s">
        <v>1394</v>
      </c>
      <c r="B425" s="14" t="s">
        <v>43</v>
      </c>
      <c r="C425" s="11" t="s">
        <v>152</v>
      </c>
      <c r="D425" s="15">
        <v>210001464</v>
      </c>
      <c r="E425" s="11" t="s">
        <v>29</v>
      </c>
      <c r="F425" s="20">
        <v>42458</v>
      </c>
      <c r="G425" s="16" t="str">
        <f t="shared" si="12"/>
        <v>March</v>
      </c>
      <c r="H425" s="2">
        <f t="shared" ca="1" si="13"/>
        <v>3</v>
      </c>
      <c r="I425" s="17" t="s">
        <v>47</v>
      </c>
      <c r="J425" s="18">
        <v>107163</v>
      </c>
      <c r="K425" s="19">
        <v>5</v>
      </c>
    </row>
    <row r="426" spans="1:11" x14ac:dyDescent="0.2">
      <c r="A426" s="11" t="s">
        <v>138</v>
      </c>
      <c r="B426" s="14" t="s">
        <v>27</v>
      </c>
      <c r="C426" s="11" t="s">
        <v>136</v>
      </c>
      <c r="D426" s="15">
        <v>528008211</v>
      </c>
      <c r="E426" s="11" t="s">
        <v>29</v>
      </c>
      <c r="F426" s="20">
        <v>35984</v>
      </c>
      <c r="G426" s="16" t="str">
        <f t="shared" si="12"/>
        <v>July</v>
      </c>
      <c r="H426" s="2">
        <f t="shared" ca="1" si="13"/>
        <v>20</v>
      </c>
      <c r="I426" s="17" t="s">
        <v>38</v>
      </c>
      <c r="J426" s="18">
        <v>62249</v>
      </c>
      <c r="K426" s="19">
        <v>4</v>
      </c>
    </row>
    <row r="427" spans="1:11" x14ac:dyDescent="0.2">
      <c r="A427" s="11" t="s">
        <v>58</v>
      </c>
      <c r="B427" s="14" t="s">
        <v>19</v>
      </c>
      <c r="C427" s="11" t="s">
        <v>59</v>
      </c>
      <c r="D427" s="15">
        <v>113009123</v>
      </c>
      <c r="E427" s="11" t="s">
        <v>29</v>
      </c>
      <c r="F427" s="20">
        <v>35973</v>
      </c>
      <c r="G427" s="16" t="str">
        <f t="shared" si="12"/>
        <v>June</v>
      </c>
      <c r="H427" s="2">
        <f t="shared" ca="1" si="13"/>
        <v>20</v>
      </c>
      <c r="I427" s="17" t="s">
        <v>38</v>
      </c>
      <c r="J427" s="18">
        <v>47736</v>
      </c>
      <c r="K427" s="19">
        <v>5</v>
      </c>
    </row>
    <row r="428" spans="1:11" x14ac:dyDescent="0.2">
      <c r="A428" s="11" t="s">
        <v>1544</v>
      </c>
      <c r="B428" s="14" t="s">
        <v>36</v>
      </c>
      <c r="C428" s="11" t="s">
        <v>405</v>
      </c>
      <c r="D428" s="15">
        <v>443006890</v>
      </c>
      <c r="E428" s="11" t="s">
        <v>29</v>
      </c>
      <c r="F428" s="20">
        <v>40540</v>
      </c>
      <c r="G428" s="16" t="str">
        <f t="shared" si="12"/>
        <v>December</v>
      </c>
      <c r="H428" s="2">
        <f t="shared" ca="1" si="13"/>
        <v>8</v>
      </c>
      <c r="I428" s="17" t="s">
        <v>30</v>
      </c>
      <c r="J428" s="18">
        <v>57780</v>
      </c>
      <c r="K428" s="19">
        <v>5</v>
      </c>
    </row>
    <row r="429" spans="1:11" x14ac:dyDescent="0.2">
      <c r="A429" s="11" t="s">
        <v>176</v>
      </c>
      <c r="B429" s="14" t="s">
        <v>19</v>
      </c>
      <c r="C429" s="11" t="s">
        <v>20</v>
      </c>
      <c r="D429" s="15">
        <v>873000939</v>
      </c>
      <c r="E429" s="11" t="s">
        <v>29</v>
      </c>
      <c r="F429" s="20">
        <v>42941</v>
      </c>
      <c r="G429" s="16" t="str">
        <f t="shared" si="12"/>
        <v>July</v>
      </c>
      <c r="H429" s="2">
        <f t="shared" ca="1" si="13"/>
        <v>1</v>
      </c>
      <c r="I429" s="17" t="s">
        <v>47</v>
      </c>
      <c r="J429" s="18">
        <v>56012</v>
      </c>
      <c r="K429" s="19">
        <v>5</v>
      </c>
    </row>
    <row r="430" spans="1:11" x14ac:dyDescent="0.2">
      <c r="A430" s="11" t="s">
        <v>1480</v>
      </c>
      <c r="B430" s="14" t="s">
        <v>27</v>
      </c>
      <c r="C430" s="11" t="s">
        <v>152</v>
      </c>
      <c r="D430" s="15">
        <v>380004349</v>
      </c>
      <c r="E430" s="11" t="s">
        <v>29</v>
      </c>
      <c r="F430" s="20">
        <v>39405</v>
      </c>
      <c r="G430" s="16" t="str">
        <f t="shared" si="12"/>
        <v>November</v>
      </c>
      <c r="H430" s="2">
        <f t="shared" ca="1" si="13"/>
        <v>11</v>
      </c>
      <c r="I430" s="17" t="s">
        <v>30</v>
      </c>
      <c r="J430" s="18">
        <v>47871</v>
      </c>
      <c r="K430" s="19">
        <v>1</v>
      </c>
    </row>
    <row r="431" spans="1:11" x14ac:dyDescent="0.2">
      <c r="A431" s="11" t="s">
        <v>207</v>
      </c>
      <c r="B431" s="14" t="s">
        <v>43</v>
      </c>
      <c r="C431" s="11" t="s">
        <v>20</v>
      </c>
      <c r="D431" s="15">
        <v>339008339</v>
      </c>
      <c r="E431" s="11" t="s">
        <v>29</v>
      </c>
      <c r="F431" s="20">
        <v>38821</v>
      </c>
      <c r="G431" s="16" t="str">
        <f t="shared" si="12"/>
        <v>April</v>
      </c>
      <c r="H431" s="3">
        <f t="shared" ca="1" si="13"/>
        <v>13</v>
      </c>
      <c r="I431" s="21" t="s">
        <v>38</v>
      </c>
      <c r="J431" s="18">
        <v>46953</v>
      </c>
      <c r="K431" s="19">
        <v>4</v>
      </c>
    </row>
    <row r="432" spans="1:11" x14ac:dyDescent="0.2">
      <c r="A432" s="11" t="s">
        <v>610</v>
      </c>
      <c r="B432" s="14" t="s">
        <v>27</v>
      </c>
      <c r="C432" s="11" t="s">
        <v>214</v>
      </c>
      <c r="D432" s="15">
        <v>914000398</v>
      </c>
      <c r="E432" s="11" t="s">
        <v>29</v>
      </c>
      <c r="F432" s="20">
        <v>41677</v>
      </c>
      <c r="G432" s="16" t="str">
        <f t="shared" si="12"/>
        <v>February</v>
      </c>
      <c r="H432" s="2">
        <f t="shared" ca="1" si="13"/>
        <v>5</v>
      </c>
      <c r="I432" s="17" t="s">
        <v>30</v>
      </c>
      <c r="J432" s="18">
        <v>88722</v>
      </c>
      <c r="K432" s="19">
        <v>1</v>
      </c>
    </row>
    <row r="433" spans="1:11" x14ac:dyDescent="0.2">
      <c r="A433" s="11" t="s">
        <v>1420</v>
      </c>
      <c r="B433" s="14" t="s">
        <v>43</v>
      </c>
      <c r="C433" s="11" t="s">
        <v>152</v>
      </c>
      <c r="D433" s="15">
        <v>262005858</v>
      </c>
      <c r="E433" s="11" t="s">
        <v>80</v>
      </c>
      <c r="F433" s="20">
        <v>38374</v>
      </c>
      <c r="G433" s="16" t="str">
        <f t="shared" si="12"/>
        <v>January</v>
      </c>
      <c r="H433" s="2">
        <f t="shared" ca="1" si="13"/>
        <v>14</v>
      </c>
      <c r="I433" s="17" t="s">
        <v>87</v>
      </c>
      <c r="J433" s="18">
        <v>18482</v>
      </c>
      <c r="K433" s="19">
        <v>5</v>
      </c>
    </row>
    <row r="434" spans="1:11" x14ac:dyDescent="0.2">
      <c r="A434" s="11" t="s">
        <v>536</v>
      </c>
      <c r="B434" s="14" t="s">
        <v>83</v>
      </c>
      <c r="C434" s="11" t="s">
        <v>214</v>
      </c>
      <c r="D434" s="15">
        <v>504004685</v>
      </c>
      <c r="E434" s="11" t="s">
        <v>29</v>
      </c>
      <c r="F434" s="20">
        <v>38940</v>
      </c>
      <c r="G434" s="16" t="str">
        <f t="shared" si="12"/>
        <v>August</v>
      </c>
      <c r="H434" s="2">
        <f t="shared" ca="1" si="13"/>
        <v>12</v>
      </c>
      <c r="I434" s="17" t="s">
        <v>47</v>
      </c>
      <c r="J434" s="18">
        <v>44834</v>
      </c>
      <c r="K434" s="19">
        <v>4</v>
      </c>
    </row>
    <row r="435" spans="1:11" x14ac:dyDescent="0.2">
      <c r="A435" s="11" t="s">
        <v>767</v>
      </c>
      <c r="B435" s="14" t="s">
        <v>43</v>
      </c>
      <c r="C435" s="11" t="s">
        <v>86</v>
      </c>
      <c r="D435" s="15">
        <v>259000447</v>
      </c>
      <c r="E435" s="11" t="s">
        <v>21</v>
      </c>
      <c r="F435" s="20">
        <v>39048</v>
      </c>
      <c r="G435" s="16" t="str">
        <f t="shared" si="12"/>
        <v>November</v>
      </c>
      <c r="H435" s="2">
        <f t="shared" ca="1" si="13"/>
        <v>12</v>
      </c>
      <c r="I435" s="17"/>
      <c r="J435" s="18">
        <v>64287</v>
      </c>
      <c r="K435" s="19">
        <v>5</v>
      </c>
    </row>
    <row r="436" spans="1:11" x14ac:dyDescent="0.2">
      <c r="A436" s="11" t="s">
        <v>884</v>
      </c>
      <c r="B436" s="14" t="s">
        <v>19</v>
      </c>
      <c r="C436" s="11" t="s">
        <v>249</v>
      </c>
      <c r="D436" s="15">
        <v>221004716</v>
      </c>
      <c r="E436" s="11" t="s">
        <v>29</v>
      </c>
      <c r="F436" s="20">
        <v>39754</v>
      </c>
      <c r="G436" s="16" t="str">
        <f t="shared" si="12"/>
        <v>November</v>
      </c>
      <c r="H436" s="2">
        <f t="shared" ca="1" si="13"/>
        <v>10</v>
      </c>
      <c r="I436" s="17" t="s">
        <v>47</v>
      </c>
      <c r="J436" s="18">
        <v>96957</v>
      </c>
      <c r="K436" s="19">
        <v>2</v>
      </c>
    </row>
    <row r="437" spans="1:11" x14ac:dyDescent="0.2">
      <c r="A437" s="11" t="s">
        <v>872</v>
      </c>
      <c r="B437" s="14" t="s">
        <v>27</v>
      </c>
      <c r="C437" s="11" t="s">
        <v>249</v>
      </c>
      <c r="D437" s="15">
        <v>167006549</v>
      </c>
      <c r="E437" s="11" t="s">
        <v>21</v>
      </c>
      <c r="F437" s="20">
        <v>40659</v>
      </c>
      <c r="G437" s="16" t="str">
        <f t="shared" si="12"/>
        <v>April</v>
      </c>
      <c r="H437" s="2">
        <f t="shared" ca="1" si="13"/>
        <v>8</v>
      </c>
      <c r="I437" s="17"/>
      <c r="J437" s="18">
        <v>105435</v>
      </c>
      <c r="K437" s="19">
        <v>3</v>
      </c>
    </row>
    <row r="438" spans="1:11" x14ac:dyDescent="0.2">
      <c r="A438" s="11" t="s">
        <v>98</v>
      </c>
      <c r="B438" s="14" t="s">
        <v>51</v>
      </c>
      <c r="C438" s="4" t="s">
        <v>62</v>
      </c>
      <c r="D438" s="22">
        <v>356000882</v>
      </c>
      <c r="E438" s="4" t="s">
        <v>80</v>
      </c>
      <c r="F438" s="20">
        <v>39073</v>
      </c>
      <c r="G438" s="16" t="str">
        <f t="shared" si="12"/>
        <v>December</v>
      </c>
      <c r="H438" s="2">
        <f t="shared" ca="1" si="13"/>
        <v>12</v>
      </c>
      <c r="I438" s="17" t="s">
        <v>47</v>
      </c>
      <c r="J438" s="18">
        <v>20574</v>
      </c>
      <c r="K438" s="19">
        <v>1</v>
      </c>
    </row>
    <row r="439" spans="1:11" x14ac:dyDescent="0.2">
      <c r="A439" s="11" t="s">
        <v>711</v>
      </c>
      <c r="B439" s="14" t="s">
        <v>27</v>
      </c>
      <c r="C439" s="11" t="s">
        <v>214</v>
      </c>
      <c r="D439" s="15">
        <v>337000590</v>
      </c>
      <c r="E439" s="11" t="s">
        <v>21</v>
      </c>
      <c r="F439" s="20">
        <v>40900</v>
      </c>
      <c r="G439" s="16" t="str">
        <f t="shared" si="12"/>
        <v>December</v>
      </c>
      <c r="H439" s="2">
        <f t="shared" ca="1" si="13"/>
        <v>7</v>
      </c>
      <c r="I439" s="17"/>
      <c r="J439" s="18">
        <v>77504</v>
      </c>
      <c r="K439" s="19">
        <v>2</v>
      </c>
    </row>
    <row r="440" spans="1:11" x14ac:dyDescent="0.2">
      <c r="A440" s="11" t="s">
        <v>970</v>
      </c>
      <c r="B440" s="14" t="s">
        <v>27</v>
      </c>
      <c r="C440" s="11" t="s">
        <v>86</v>
      </c>
      <c r="D440" s="15">
        <v>385004661</v>
      </c>
      <c r="E440" s="11" t="s">
        <v>29</v>
      </c>
      <c r="F440" s="20">
        <v>37731</v>
      </c>
      <c r="G440" s="16" t="str">
        <f t="shared" si="12"/>
        <v>April</v>
      </c>
      <c r="H440" s="2">
        <f t="shared" ca="1" si="13"/>
        <v>16</v>
      </c>
      <c r="I440" s="17" t="s">
        <v>71</v>
      </c>
      <c r="J440" s="18">
        <v>90342</v>
      </c>
      <c r="K440" s="19">
        <v>2</v>
      </c>
    </row>
    <row r="441" spans="1:11" x14ac:dyDescent="0.2">
      <c r="A441" s="11" t="s">
        <v>620</v>
      </c>
      <c r="B441" s="14" t="s">
        <v>19</v>
      </c>
      <c r="C441" s="11" t="s">
        <v>152</v>
      </c>
      <c r="D441" s="15">
        <v>595002550</v>
      </c>
      <c r="E441" s="11" t="s">
        <v>29</v>
      </c>
      <c r="F441" s="20">
        <v>36813</v>
      </c>
      <c r="G441" s="16" t="str">
        <f t="shared" si="12"/>
        <v>October</v>
      </c>
      <c r="H441" s="2">
        <f t="shared" ca="1" si="13"/>
        <v>18</v>
      </c>
      <c r="I441" s="17" t="s">
        <v>87</v>
      </c>
      <c r="J441" s="18">
        <v>80312</v>
      </c>
      <c r="K441" s="19">
        <v>3</v>
      </c>
    </row>
    <row r="442" spans="1:11" x14ac:dyDescent="0.2">
      <c r="A442" s="11" t="s">
        <v>1126</v>
      </c>
      <c r="B442" s="14" t="s">
        <v>43</v>
      </c>
      <c r="C442" s="11" t="s">
        <v>864</v>
      </c>
      <c r="D442" s="15">
        <v>252002122</v>
      </c>
      <c r="E442" s="11" t="s">
        <v>21</v>
      </c>
      <c r="F442" s="20">
        <v>38307</v>
      </c>
      <c r="G442" s="16" t="str">
        <f t="shared" si="12"/>
        <v>November</v>
      </c>
      <c r="H442" s="2">
        <f t="shared" ca="1" si="13"/>
        <v>14</v>
      </c>
      <c r="I442" s="17"/>
      <c r="J442" s="18">
        <v>33912</v>
      </c>
      <c r="K442" s="19">
        <v>2</v>
      </c>
    </row>
    <row r="443" spans="1:11" x14ac:dyDescent="0.2">
      <c r="A443" s="11" t="s">
        <v>843</v>
      </c>
      <c r="B443" s="14" t="s">
        <v>83</v>
      </c>
      <c r="C443" s="11" t="s">
        <v>86</v>
      </c>
      <c r="D443" s="15">
        <v>168007877</v>
      </c>
      <c r="E443" s="11" t="s">
        <v>80</v>
      </c>
      <c r="F443" s="20">
        <v>39997</v>
      </c>
      <c r="G443" s="16" t="str">
        <f t="shared" si="12"/>
        <v>July</v>
      </c>
      <c r="H443" s="2">
        <f t="shared" ca="1" si="13"/>
        <v>9</v>
      </c>
      <c r="I443" s="17" t="s">
        <v>71</v>
      </c>
      <c r="J443" s="18">
        <v>21479</v>
      </c>
      <c r="K443" s="19">
        <v>3</v>
      </c>
    </row>
    <row r="444" spans="1:11" x14ac:dyDescent="0.2">
      <c r="A444" s="11" t="s">
        <v>681</v>
      </c>
      <c r="B444" s="14" t="s">
        <v>36</v>
      </c>
      <c r="C444" s="11" t="s">
        <v>214</v>
      </c>
      <c r="D444" s="15">
        <v>292003080</v>
      </c>
      <c r="E444" s="11" t="s">
        <v>29</v>
      </c>
      <c r="F444" s="20">
        <v>42311</v>
      </c>
      <c r="G444" s="16" t="str">
        <f t="shared" si="12"/>
        <v>November</v>
      </c>
      <c r="H444" s="2">
        <f t="shared" ca="1" si="13"/>
        <v>3</v>
      </c>
      <c r="I444" s="17" t="s">
        <v>30</v>
      </c>
      <c r="J444" s="18">
        <v>80217</v>
      </c>
      <c r="K444" s="19">
        <v>4</v>
      </c>
    </row>
    <row r="445" spans="1:11" x14ac:dyDescent="0.2">
      <c r="A445" s="11" t="s">
        <v>1076</v>
      </c>
      <c r="B445" s="14" t="s">
        <v>83</v>
      </c>
      <c r="C445" s="11" t="s">
        <v>136</v>
      </c>
      <c r="D445" s="15">
        <v>886002647</v>
      </c>
      <c r="E445" s="11" t="s">
        <v>29</v>
      </c>
      <c r="F445" s="20">
        <v>40704</v>
      </c>
      <c r="G445" s="16" t="str">
        <f t="shared" si="12"/>
        <v>June</v>
      </c>
      <c r="H445" s="2">
        <f t="shared" ca="1" si="13"/>
        <v>7</v>
      </c>
      <c r="I445" s="17" t="s">
        <v>87</v>
      </c>
      <c r="J445" s="18">
        <v>103829</v>
      </c>
      <c r="K445" s="19">
        <v>2</v>
      </c>
    </row>
    <row r="446" spans="1:11" x14ac:dyDescent="0.2">
      <c r="A446" s="11" t="s">
        <v>325</v>
      </c>
      <c r="B446" s="14" t="s">
        <v>19</v>
      </c>
      <c r="C446" s="11" t="s">
        <v>136</v>
      </c>
      <c r="D446" s="15">
        <v>462000472</v>
      </c>
      <c r="E446" s="11" t="s">
        <v>21</v>
      </c>
      <c r="F446" s="20">
        <v>36258</v>
      </c>
      <c r="G446" s="16" t="str">
        <f t="shared" si="12"/>
        <v>April</v>
      </c>
      <c r="H446" s="2">
        <f t="shared" ca="1" si="13"/>
        <v>20</v>
      </c>
      <c r="I446" s="17"/>
      <c r="J446" s="18">
        <v>107163</v>
      </c>
      <c r="K446" s="19">
        <v>1</v>
      </c>
    </row>
    <row r="447" spans="1:11" x14ac:dyDescent="0.2">
      <c r="A447" s="11" t="s">
        <v>934</v>
      </c>
      <c r="B447" s="14" t="s">
        <v>27</v>
      </c>
      <c r="C447" s="11" t="s">
        <v>59</v>
      </c>
      <c r="D447" s="15">
        <v>425008783</v>
      </c>
      <c r="E447" s="11" t="s">
        <v>80</v>
      </c>
      <c r="F447" s="20">
        <v>37926</v>
      </c>
      <c r="G447" s="16" t="str">
        <f t="shared" si="12"/>
        <v>November</v>
      </c>
      <c r="H447" s="2">
        <f t="shared" ca="1" si="13"/>
        <v>15</v>
      </c>
      <c r="I447" s="17" t="s">
        <v>71</v>
      </c>
      <c r="J447" s="18">
        <v>28647</v>
      </c>
      <c r="K447" s="19">
        <v>3</v>
      </c>
    </row>
    <row r="448" spans="1:11" x14ac:dyDescent="0.2">
      <c r="A448" s="11" t="s">
        <v>687</v>
      </c>
      <c r="B448" s="14" t="s">
        <v>43</v>
      </c>
      <c r="C448" s="11" t="s">
        <v>214</v>
      </c>
      <c r="D448" s="15">
        <v>427000216</v>
      </c>
      <c r="E448" s="11" t="s">
        <v>80</v>
      </c>
      <c r="F448" s="20">
        <v>37019</v>
      </c>
      <c r="G448" s="16" t="str">
        <f t="shared" si="12"/>
        <v>May</v>
      </c>
      <c r="H448" s="2">
        <f t="shared" ca="1" si="13"/>
        <v>18</v>
      </c>
      <c r="I448" s="17" t="s">
        <v>87</v>
      </c>
      <c r="J448" s="18">
        <v>25508</v>
      </c>
      <c r="K448" s="19">
        <v>4</v>
      </c>
    </row>
    <row r="449" spans="1:11" x14ac:dyDescent="0.2">
      <c r="A449" s="11" t="s">
        <v>661</v>
      </c>
      <c r="B449" s="14" t="s">
        <v>27</v>
      </c>
      <c r="C449" s="11" t="s">
        <v>214</v>
      </c>
      <c r="D449" s="15">
        <v>249009042</v>
      </c>
      <c r="E449" s="11" t="s">
        <v>29</v>
      </c>
      <c r="F449" s="20">
        <v>41520</v>
      </c>
      <c r="G449" s="16" t="str">
        <f t="shared" si="12"/>
        <v>September</v>
      </c>
      <c r="H449" s="2">
        <f t="shared" ca="1" si="13"/>
        <v>5</v>
      </c>
      <c r="I449" s="17" t="s">
        <v>47</v>
      </c>
      <c r="J449" s="18">
        <v>82431</v>
      </c>
      <c r="K449" s="19">
        <v>5</v>
      </c>
    </row>
    <row r="450" spans="1:11" x14ac:dyDescent="0.2">
      <c r="A450" s="11" t="s">
        <v>779</v>
      </c>
      <c r="B450" s="14" t="s">
        <v>43</v>
      </c>
      <c r="C450" s="11" t="s">
        <v>86</v>
      </c>
      <c r="D450" s="15">
        <v>499004019</v>
      </c>
      <c r="E450" s="11" t="s">
        <v>80</v>
      </c>
      <c r="F450" s="20">
        <v>38977</v>
      </c>
      <c r="G450" s="16" t="str">
        <f t="shared" ref="G450:G513" si="14">CHOOSE(MONTH(F450),"January","February","March","April","May","June","July","August","September","October","November","December")</f>
        <v>September</v>
      </c>
      <c r="H450" s="2">
        <f t="shared" ref="H450:H513" ca="1" si="15">DATEDIF(F450,TODAY(),"Y")</f>
        <v>12</v>
      </c>
      <c r="I450" s="17" t="s">
        <v>30</v>
      </c>
      <c r="J450" s="18">
        <v>38988</v>
      </c>
      <c r="K450" s="19">
        <v>3</v>
      </c>
    </row>
    <row r="451" spans="1:11" x14ac:dyDescent="0.2">
      <c r="A451" s="11" t="s">
        <v>701</v>
      </c>
      <c r="B451" s="14" t="s">
        <v>83</v>
      </c>
      <c r="C451" s="11" t="s">
        <v>214</v>
      </c>
      <c r="D451" s="15">
        <v>487000878</v>
      </c>
      <c r="E451" s="11" t="s">
        <v>29</v>
      </c>
      <c r="F451" s="20">
        <v>36924</v>
      </c>
      <c r="G451" s="16" t="str">
        <f t="shared" si="14"/>
        <v>February</v>
      </c>
      <c r="H451" s="2">
        <f t="shared" ca="1" si="15"/>
        <v>18</v>
      </c>
      <c r="I451" s="17" t="s">
        <v>30</v>
      </c>
      <c r="J451" s="18">
        <v>31496</v>
      </c>
      <c r="K451" s="19">
        <v>4</v>
      </c>
    </row>
    <row r="452" spans="1:11" x14ac:dyDescent="0.2">
      <c r="A452" s="11" t="s">
        <v>558</v>
      </c>
      <c r="B452" s="14" t="s">
        <v>43</v>
      </c>
      <c r="C452" s="11" t="s">
        <v>214</v>
      </c>
      <c r="D452" s="15">
        <v>361005033</v>
      </c>
      <c r="E452" s="11" t="s">
        <v>21</v>
      </c>
      <c r="F452" s="20">
        <v>41145</v>
      </c>
      <c r="G452" s="16" t="str">
        <f t="shared" si="14"/>
        <v>August</v>
      </c>
      <c r="H452" s="2">
        <f t="shared" ca="1" si="15"/>
        <v>6</v>
      </c>
      <c r="I452" s="17"/>
      <c r="J452" s="18">
        <v>96971</v>
      </c>
      <c r="K452" s="19">
        <v>3</v>
      </c>
    </row>
    <row r="453" spans="1:11" x14ac:dyDescent="0.2">
      <c r="A453" s="11" t="s">
        <v>727</v>
      </c>
      <c r="B453" s="14" t="s">
        <v>27</v>
      </c>
      <c r="C453" s="11" t="s">
        <v>214</v>
      </c>
      <c r="D453" s="15">
        <v>903008594</v>
      </c>
      <c r="E453" s="11" t="s">
        <v>29</v>
      </c>
      <c r="F453" s="20">
        <v>40722</v>
      </c>
      <c r="G453" s="16" t="str">
        <f t="shared" si="14"/>
        <v>June</v>
      </c>
      <c r="H453" s="2">
        <f t="shared" ca="1" si="15"/>
        <v>7</v>
      </c>
      <c r="I453" s="17" t="s">
        <v>87</v>
      </c>
      <c r="J453" s="18">
        <v>73211</v>
      </c>
      <c r="K453" s="19">
        <v>5</v>
      </c>
    </row>
    <row r="454" spans="1:11" x14ac:dyDescent="0.2">
      <c r="A454" s="11" t="s">
        <v>1552</v>
      </c>
      <c r="B454" s="14" t="s">
        <v>36</v>
      </c>
      <c r="C454" s="11" t="s">
        <v>641</v>
      </c>
      <c r="D454" s="15">
        <v>495002474</v>
      </c>
      <c r="E454" s="11" t="s">
        <v>80</v>
      </c>
      <c r="F454" s="20">
        <v>39413</v>
      </c>
      <c r="G454" s="16" t="str">
        <f t="shared" si="14"/>
        <v>November</v>
      </c>
      <c r="H454" s="2">
        <f t="shared" ca="1" si="15"/>
        <v>11</v>
      </c>
      <c r="I454" s="17" t="s">
        <v>47</v>
      </c>
      <c r="J454" s="18">
        <v>42188</v>
      </c>
      <c r="K454" s="19">
        <v>2</v>
      </c>
    </row>
    <row r="455" spans="1:11" x14ac:dyDescent="0.2">
      <c r="A455" s="11" t="s">
        <v>1216</v>
      </c>
      <c r="B455" s="14" t="s">
        <v>27</v>
      </c>
      <c r="C455" s="11" t="s">
        <v>152</v>
      </c>
      <c r="D455" s="15">
        <v>627004412</v>
      </c>
      <c r="E455" s="11" t="s">
        <v>29</v>
      </c>
      <c r="F455" s="20">
        <v>38132</v>
      </c>
      <c r="G455" s="16" t="str">
        <f t="shared" si="14"/>
        <v>May</v>
      </c>
      <c r="H455" s="2">
        <f t="shared" ca="1" si="15"/>
        <v>15</v>
      </c>
      <c r="I455" s="17" t="s">
        <v>47</v>
      </c>
      <c r="J455" s="18">
        <v>78800</v>
      </c>
      <c r="K455" s="19">
        <v>5</v>
      </c>
    </row>
    <row r="456" spans="1:11" x14ac:dyDescent="0.2">
      <c r="A456" s="11" t="s">
        <v>1042</v>
      </c>
      <c r="B456" s="14" t="s">
        <v>27</v>
      </c>
      <c r="C456" s="11" t="s">
        <v>214</v>
      </c>
      <c r="D456" s="15">
        <v>920007476</v>
      </c>
      <c r="E456" s="11" t="s">
        <v>21</v>
      </c>
      <c r="F456" s="20">
        <v>38041</v>
      </c>
      <c r="G456" s="16" t="str">
        <f t="shared" si="14"/>
        <v>February</v>
      </c>
      <c r="H456" s="2">
        <f t="shared" ca="1" si="15"/>
        <v>15</v>
      </c>
      <c r="I456" s="17"/>
      <c r="J456" s="18">
        <v>32954</v>
      </c>
      <c r="K456" s="19">
        <v>3</v>
      </c>
    </row>
    <row r="457" spans="1:11" x14ac:dyDescent="0.2">
      <c r="A457" s="11" t="s">
        <v>285</v>
      </c>
      <c r="B457" s="14" t="s">
        <v>83</v>
      </c>
      <c r="C457" s="11" t="s">
        <v>28</v>
      </c>
      <c r="D457" s="15">
        <v>313001312</v>
      </c>
      <c r="E457" s="11" t="s">
        <v>29</v>
      </c>
      <c r="F457" s="20">
        <v>39038</v>
      </c>
      <c r="G457" s="16" t="str">
        <f t="shared" si="14"/>
        <v>November</v>
      </c>
      <c r="H457" s="2">
        <f t="shared" ca="1" si="15"/>
        <v>12</v>
      </c>
      <c r="I457" s="17" t="s">
        <v>30</v>
      </c>
      <c r="J457" s="18">
        <v>92205</v>
      </c>
      <c r="K457" s="19">
        <v>5</v>
      </c>
    </row>
    <row r="458" spans="1:11" x14ac:dyDescent="0.2">
      <c r="A458" s="11" t="s">
        <v>494</v>
      </c>
      <c r="B458" s="14" t="s">
        <v>27</v>
      </c>
      <c r="C458" s="11" t="s">
        <v>214</v>
      </c>
      <c r="D458" s="15">
        <v>412001335</v>
      </c>
      <c r="E458" s="11" t="s">
        <v>21</v>
      </c>
      <c r="F458" s="20">
        <v>41363</v>
      </c>
      <c r="G458" s="16" t="str">
        <f t="shared" si="14"/>
        <v>March</v>
      </c>
      <c r="H458" s="2">
        <f t="shared" ca="1" si="15"/>
        <v>6</v>
      </c>
      <c r="I458" s="17"/>
      <c r="J458" s="18">
        <v>55269</v>
      </c>
      <c r="K458" s="19">
        <v>2</v>
      </c>
    </row>
    <row r="459" spans="1:11" x14ac:dyDescent="0.2">
      <c r="A459" s="11" t="s">
        <v>1378</v>
      </c>
      <c r="B459" s="14" t="s">
        <v>27</v>
      </c>
      <c r="C459" s="11" t="s">
        <v>152</v>
      </c>
      <c r="D459" s="15">
        <v>717003282</v>
      </c>
      <c r="E459" s="11" t="s">
        <v>21</v>
      </c>
      <c r="F459" s="20">
        <v>43379</v>
      </c>
      <c r="G459" s="16" t="str">
        <f t="shared" si="14"/>
        <v>October</v>
      </c>
      <c r="H459" s="2">
        <f t="shared" ca="1" si="15"/>
        <v>0</v>
      </c>
      <c r="I459" s="17"/>
      <c r="J459" s="18">
        <v>62870</v>
      </c>
      <c r="K459" s="19">
        <v>4</v>
      </c>
    </row>
    <row r="460" spans="1:11" x14ac:dyDescent="0.2">
      <c r="A460" s="11" t="s">
        <v>376</v>
      </c>
      <c r="B460" s="14" t="s">
        <v>43</v>
      </c>
      <c r="C460" s="11" t="s">
        <v>59</v>
      </c>
      <c r="D460" s="15">
        <v>429003827</v>
      </c>
      <c r="E460" s="11" t="s">
        <v>29</v>
      </c>
      <c r="F460" s="20">
        <v>39499</v>
      </c>
      <c r="G460" s="16" t="str">
        <f t="shared" si="14"/>
        <v>February</v>
      </c>
      <c r="H460" s="2">
        <f t="shared" ca="1" si="15"/>
        <v>11</v>
      </c>
      <c r="I460" s="17" t="s">
        <v>30</v>
      </c>
      <c r="J460" s="18">
        <v>96363</v>
      </c>
      <c r="K460" s="19">
        <v>2</v>
      </c>
    </row>
    <row r="461" spans="1:11" x14ac:dyDescent="0.2">
      <c r="A461" s="11" t="s">
        <v>402</v>
      </c>
      <c r="B461" s="14" t="s">
        <v>19</v>
      </c>
      <c r="C461" s="11" t="s">
        <v>152</v>
      </c>
      <c r="D461" s="15">
        <v>657005603</v>
      </c>
      <c r="E461" s="11" t="s">
        <v>29</v>
      </c>
      <c r="F461" s="20">
        <v>36135</v>
      </c>
      <c r="G461" s="16" t="str">
        <f t="shared" si="14"/>
        <v>December</v>
      </c>
      <c r="H461" s="2">
        <f t="shared" ca="1" si="15"/>
        <v>20</v>
      </c>
      <c r="I461" s="17" t="s">
        <v>47</v>
      </c>
      <c r="J461" s="18">
        <v>32670</v>
      </c>
      <c r="K461" s="19">
        <v>5</v>
      </c>
    </row>
    <row r="462" spans="1:11" x14ac:dyDescent="0.2">
      <c r="A462" s="11" t="s">
        <v>1020</v>
      </c>
      <c r="B462" s="14" t="s">
        <v>27</v>
      </c>
      <c r="C462" s="11" t="s">
        <v>20</v>
      </c>
      <c r="D462" s="15">
        <v>905005120</v>
      </c>
      <c r="E462" s="11" t="s">
        <v>29</v>
      </c>
      <c r="F462" s="20">
        <v>38063</v>
      </c>
      <c r="G462" s="16" t="str">
        <f t="shared" si="14"/>
        <v>March</v>
      </c>
      <c r="H462" s="2">
        <f t="shared" ca="1" si="15"/>
        <v>15</v>
      </c>
      <c r="I462" s="17" t="s">
        <v>38</v>
      </c>
      <c r="J462" s="18">
        <v>104733</v>
      </c>
      <c r="K462" s="19">
        <v>3</v>
      </c>
    </row>
    <row r="463" spans="1:11" x14ac:dyDescent="0.2">
      <c r="A463" s="11" t="s">
        <v>902</v>
      </c>
      <c r="B463" s="14" t="s">
        <v>19</v>
      </c>
      <c r="C463" s="11" t="s">
        <v>136</v>
      </c>
      <c r="D463" s="15">
        <v>336005451</v>
      </c>
      <c r="E463" s="11" t="s">
        <v>21</v>
      </c>
      <c r="F463" s="20">
        <v>37334</v>
      </c>
      <c r="G463" s="16" t="str">
        <f t="shared" si="14"/>
        <v>March</v>
      </c>
      <c r="H463" s="2">
        <f t="shared" ca="1" si="15"/>
        <v>17</v>
      </c>
      <c r="I463" s="17"/>
      <c r="J463" s="18">
        <v>76478</v>
      </c>
      <c r="K463" s="19">
        <v>1</v>
      </c>
    </row>
    <row r="464" spans="1:11" x14ac:dyDescent="0.2">
      <c r="A464" s="11" t="s">
        <v>904</v>
      </c>
      <c r="B464" s="14" t="s">
        <v>19</v>
      </c>
      <c r="C464" s="11" t="s">
        <v>136</v>
      </c>
      <c r="D464" s="15">
        <v>494004997</v>
      </c>
      <c r="E464" s="11" t="s">
        <v>21</v>
      </c>
      <c r="F464" s="20">
        <v>37582</v>
      </c>
      <c r="G464" s="16" t="str">
        <f t="shared" si="14"/>
        <v>November</v>
      </c>
      <c r="H464" s="2">
        <f t="shared" ca="1" si="15"/>
        <v>16</v>
      </c>
      <c r="I464" s="17"/>
      <c r="J464" s="18">
        <v>44712</v>
      </c>
      <c r="K464" s="19">
        <v>2</v>
      </c>
    </row>
    <row r="465" spans="1:11" x14ac:dyDescent="0.2">
      <c r="A465" s="11" t="s">
        <v>484</v>
      </c>
      <c r="B465" s="14" t="s">
        <v>27</v>
      </c>
      <c r="C465" s="11" t="s">
        <v>214</v>
      </c>
      <c r="D465" s="15">
        <v>356002235</v>
      </c>
      <c r="E465" s="11" t="s">
        <v>80</v>
      </c>
      <c r="F465" s="20">
        <v>39460</v>
      </c>
      <c r="G465" s="16" t="str">
        <f t="shared" si="14"/>
        <v>January</v>
      </c>
      <c r="H465" s="2">
        <f t="shared" ca="1" si="15"/>
        <v>11</v>
      </c>
      <c r="I465" s="17" t="s">
        <v>30</v>
      </c>
      <c r="J465" s="18">
        <v>63059</v>
      </c>
      <c r="K465" s="19">
        <v>3</v>
      </c>
    </row>
    <row r="466" spans="1:11" x14ac:dyDescent="0.2">
      <c r="A466" s="11" t="s">
        <v>1110</v>
      </c>
      <c r="B466" s="14" t="s">
        <v>27</v>
      </c>
      <c r="C466" s="11" t="s">
        <v>136</v>
      </c>
      <c r="D466" s="15">
        <v>115004531</v>
      </c>
      <c r="E466" s="11" t="s">
        <v>80</v>
      </c>
      <c r="F466" s="20">
        <v>41029</v>
      </c>
      <c r="G466" s="16" t="str">
        <f t="shared" si="14"/>
        <v>April</v>
      </c>
      <c r="H466" s="2">
        <f t="shared" ca="1" si="15"/>
        <v>7</v>
      </c>
      <c r="I466" s="17" t="s">
        <v>30</v>
      </c>
      <c r="J466" s="18">
        <v>44415</v>
      </c>
      <c r="K466" s="19">
        <v>2</v>
      </c>
    </row>
    <row r="467" spans="1:11" x14ac:dyDescent="0.2">
      <c r="A467" s="11" t="s">
        <v>1010</v>
      </c>
      <c r="B467" s="14" t="s">
        <v>43</v>
      </c>
      <c r="C467" s="11" t="s">
        <v>152</v>
      </c>
      <c r="D467" s="15">
        <v>145005793</v>
      </c>
      <c r="E467" s="11" t="s">
        <v>80</v>
      </c>
      <c r="F467" s="20">
        <v>37816</v>
      </c>
      <c r="G467" s="16" t="str">
        <f t="shared" si="14"/>
        <v>July</v>
      </c>
      <c r="H467" s="2">
        <f t="shared" ca="1" si="15"/>
        <v>15</v>
      </c>
      <c r="I467" s="17" t="s">
        <v>71</v>
      </c>
      <c r="J467" s="18">
        <v>31050</v>
      </c>
      <c r="K467" s="19">
        <v>4</v>
      </c>
    </row>
    <row r="468" spans="1:11" x14ac:dyDescent="0.2">
      <c r="A468" s="11" t="s">
        <v>1138</v>
      </c>
      <c r="B468" s="14" t="s">
        <v>19</v>
      </c>
      <c r="C468" s="11" t="s">
        <v>136</v>
      </c>
      <c r="D468" s="15">
        <v>379000654</v>
      </c>
      <c r="E468" s="11" t="s">
        <v>29</v>
      </c>
      <c r="F468" s="20">
        <v>38846</v>
      </c>
      <c r="G468" s="16" t="str">
        <f t="shared" si="14"/>
        <v>May</v>
      </c>
      <c r="H468" s="2">
        <f t="shared" ca="1" si="15"/>
        <v>13</v>
      </c>
      <c r="I468" s="17" t="s">
        <v>71</v>
      </c>
      <c r="J468" s="18">
        <v>49802</v>
      </c>
      <c r="K468" s="19">
        <v>1</v>
      </c>
    </row>
    <row r="469" spans="1:11" x14ac:dyDescent="0.2">
      <c r="A469" s="11" t="s">
        <v>647</v>
      </c>
      <c r="B469" s="14" t="s">
        <v>43</v>
      </c>
      <c r="C469" s="11" t="s">
        <v>214</v>
      </c>
      <c r="D469" s="15">
        <v>318008637</v>
      </c>
      <c r="E469" s="11" t="s">
        <v>21</v>
      </c>
      <c r="F469" s="20">
        <v>42394</v>
      </c>
      <c r="G469" s="16" t="str">
        <f t="shared" si="14"/>
        <v>January</v>
      </c>
      <c r="H469" s="2">
        <f t="shared" ca="1" si="15"/>
        <v>3</v>
      </c>
      <c r="I469" s="17"/>
      <c r="J469" s="18">
        <v>84753</v>
      </c>
      <c r="K469" s="19">
        <v>4</v>
      </c>
    </row>
    <row r="470" spans="1:11" x14ac:dyDescent="0.2">
      <c r="A470" s="11" t="s">
        <v>801</v>
      </c>
      <c r="B470" s="14" t="s">
        <v>27</v>
      </c>
      <c r="C470" s="11" t="s">
        <v>86</v>
      </c>
      <c r="D470" s="15">
        <v>364004060</v>
      </c>
      <c r="E470" s="11" t="s">
        <v>80</v>
      </c>
      <c r="F470" s="20">
        <v>41218</v>
      </c>
      <c r="G470" s="16" t="str">
        <f t="shared" si="14"/>
        <v>November</v>
      </c>
      <c r="H470" s="2">
        <f t="shared" ca="1" si="15"/>
        <v>6</v>
      </c>
      <c r="I470" s="17" t="s">
        <v>47</v>
      </c>
      <c r="J470" s="18">
        <v>42194</v>
      </c>
      <c r="K470" s="19">
        <v>5</v>
      </c>
    </row>
    <row r="471" spans="1:11" x14ac:dyDescent="0.2">
      <c r="A471" s="11" t="s">
        <v>703</v>
      </c>
      <c r="B471" s="14" t="s">
        <v>27</v>
      </c>
      <c r="C471" s="11" t="s">
        <v>214</v>
      </c>
      <c r="D471" s="15">
        <v>319009613</v>
      </c>
      <c r="E471" s="11" t="s">
        <v>29</v>
      </c>
      <c r="F471" s="20">
        <v>39188</v>
      </c>
      <c r="G471" s="16" t="str">
        <f t="shared" si="14"/>
        <v>April</v>
      </c>
      <c r="H471" s="2">
        <f t="shared" ca="1" si="15"/>
        <v>12</v>
      </c>
      <c r="I471" s="17" t="s">
        <v>38</v>
      </c>
      <c r="J471" s="18">
        <v>50976</v>
      </c>
      <c r="K471" s="19">
        <v>2</v>
      </c>
    </row>
    <row r="472" spans="1:11" x14ac:dyDescent="0.2">
      <c r="A472" s="11" t="s">
        <v>264</v>
      </c>
      <c r="B472" s="14" t="s">
        <v>19</v>
      </c>
      <c r="C472" s="11" t="s">
        <v>265</v>
      </c>
      <c r="D472" s="15">
        <v>759000847</v>
      </c>
      <c r="E472" s="11" t="s">
        <v>29</v>
      </c>
      <c r="F472" s="20">
        <v>41253</v>
      </c>
      <c r="G472" s="16" t="str">
        <f t="shared" si="14"/>
        <v>December</v>
      </c>
      <c r="H472" s="2">
        <f t="shared" ca="1" si="15"/>
        <v>6</v>
      </c>
      <c r="I472" s="17" t="s">
        <v>47</v>
      </c>
      <c r="J472" s="18">
        <v>49451</v>
      </c>
      <c r="K472" s="19">
        <v>4</v>
      </c>
    </row>
    <row r="473" spans="1:11" x14ac:dyDescent="0.2">
      <c r="A473" s="11" t="s">
        <v>1536</v>
      </c>
      <c r="B473" s="14" t="s">
        <v>51</v>
      </c>
      <c r="C473" s="11" t="s">
        <v>254</v>
      </c>
      <c r="D473" s="15">
        <v>711005298</v>
      </c>
      <c r="E473" s="11" t="s">
        <v>21</v>
      </c>
      <c r="F473" s="20">
        <v>43476</v>
      </c>
      <c r="G473" s="16" t="str">
        <f t="shared" si="14"/>
        <v>January</v>
      </c>
      <c r="H473" s="2">
        <f t="shared" ca="1" si="15"/>
        <v>0</v>
      </c>
      <c r="I473" s="17"/>
      <c r="J473" s="18">
        <v>113805</v>
      </c>
      <c r="K473" s="19">
        <v>1</v>
      </c>
    </row>
    <row r="474" spans="1:11" x14ac:dyDescent="0.2">
      <c r="A474" s="11" t="s">
        <v>1014</v>
      </c>
      <c r="B474" s="14" t="s">
        <v>19</v>
      </c>
      <c r="C474" s="11" t="s">
        <v>104</v>
      </c>
      <c r="D474" s="15">
        <v>216007562</v>
      </c>
      <c r="E474" s="11" t="s">
        <v>29</v>
      </c>
      <c r="F474" s="20">
        <v>38315</v>
      </c>
      <c r="G474" s="16" t="str">
        <f t="shared" si="14"/>
        <v>November</v>
      </c>
      <c r="H474" s="2">
        <f t="shared" ca="1" si="15"/>
        <v>14</v>
      </c>
      <c r="I474" s="17" t="s">
        <v>30</v>
      </c>
      <c r="J474" s="18">
        <v>66636</v>
      </c>
      <c r="K474" s="19">
        <v>2</v>
      </c>
    </row>
    <row r="475" spans="1:11" x14ac:dyDescent="0.2">
      <c r="A475" s="11" t="s">
        <v>713</v>
      </c>
      <c r="B475" s="14" t="s">
        <v>19</v>
      </c>
      <c r="C475" s="11" t="s">
        <v>214</v>
      </c>
      <c r="D475" s="15">
        <v>843004707</v>
      </c>
      <c r="E475" s="11" t="s">
        <v>21</v>
      </c>
      <c r="F475" s="20">
        <v>43536</v>
      </c>
      <c r="G475" s="16" t="str">
        <f t="shared" si="14"/>
        <v>March</v>
      </c>
      <c r="H475" s="2">
        <f t="shared" ca="1" si="15"/>
        <v>0</v>
      </c>
      <c r="I475" s="17"/>
      <c r="J475" s="18">
        <v>77099</v>
      </c>
      <c r="K475" s="19">
        <v>3</v>
      </c>
    </row>
    <row r="476" spans="1:11" x14ac:dyDescent="0.2">
      <c r="A476" s="11" t="s">
        <v>1226</v>
      </c>
      <c r="B476" s="14" t="s">
        <v>43</v>
      </c>
      <c r="C476" s="11" t="s">
        <v>145</v>
      </c>
      <c r="D476" s="15">
        <v>649002883</v>
      </c>
      <c r="E476" s="11" t="s">
        <v>29</v>
      </c>
      <c r="F476" s="20">
        <v>41093</v>
      </c>
      <c r="G476" s="16" t="str">
        <f t="shared" si="14"/>
        <v>July</v>
      </c>
      <c r="H476" s="2">
        <f t="shared" ca="1" si="15"/>
        <v>6</v>
      </c>
      <c r="I476" s="17" t="s">
        <v>30</v>
      </c>
      <c r="J476" s="18">
        <v>43079</v>
      </c>
      <c r="K476" s="19">
        <v>5</v>
      </c>
    </row>
    <row r="477" spans="1:11" x14ac:dyDescent="0.2">
      <c r="A477" s="11" t="s">
        <v>1540</v>
      </c>
      <c r="B477" s="14" t="s">
        <v>43</v>
      </c>
      <c r="C477" s="11" t="s">
        <v>405</v>
      </c>
      <c r="D477" s="15">
        <v>797005708</v>
      </c>
      <c r="E477" s="11" t="s">
        <v>29</v>
      </c>
      <c r="F477" s="20">
        <v>39929</v>
      </c>
      <c r="G477" s="16" t="str">
        <f t="shared" si="14"/>
        <v>April</v>
      </c>
      <c r="H477" s="2">
        <f t="shared" ca="1" si="15"/>
        <v>10</v>
      </c>
      <c r="I477" s="17" t="s">
        <v>71</v>
      </c>
      <c r="J477" s="18">
        <v>54918</v>
      </c>
      <c r="K477" s="19">
        <v>5</v>
      </c>
    </row>
    <row r="478" spans="1:11" x14ac:dyDescent="0.2">
      <c r="A478" s="11" t="s">
        <v>1052</v>
      </c>
      <c r="B478" s="14" t="s">
        <v>19</v>
      </c>
      <c r="C478" s="11" t="s">
        <v>214</v>
      </c>
      <c r="D478" s="15">
        <v>962003692</v>
      </c>
      <c r="E478" s="11" t="s">
        <v>29</v>
      </c>
      <c r="F478" s="20">
        <v>38012</v>
      </c>
      <c r="G478" s="16" t="str">
        <f t="shared" si="14"/>
        <v>January</v>
      </c>
      <c r="H478" s="2">
        <f t="shared" ca="1" si="15"/>
        <v>15</v>
      </c>
      <c r="I478" s="17" t="s">
        <v>30</v>
      </c>
      <c r="J478" s="18">
        <v>116451</v>
      </c>
      <c r="K478" s="19">
        <v>3</v>
      </c>
    </row>
    <row r="479" spans="1:11" x14ac:dyDescent="0.2">
      <c r="A479" s="11" t="s">
        <v>457</v>
      </c>
      <c r="B479" s="14" t="s">
        <v>27</v>
      </c>
      <c r="C479" s="11" t="s">
        <v>214</v>
      </c>
      <c r="D479" s="15">
        <v>428004993</v>
      </c>
      <c r="E479" s="11" t="s">
        <v>21</v>
      </c>
      <c r="F479" s="20">
        <v>36630</v>
      </c>
      <c r="G479" s="16" t="str">
        <f t="shared" si="14"/>
        <v>April</v>
      </c>
      <c r="H479" s="2">
        <f t="shared" ca="1" si="15"/>
        <v>19</v>
      </c>
      <c r="I479" s="17"/>
      <c r="J479" s="18">
        <v>43457</v>
      </c>
      <c r="K479" s="19">
        <v>3</v>
      </c>
    </row>
    <row r="480" spans="1:11" x14ac:dyDescent="0.2">
      <c r="A480" s="11" t="s">
        <v>188</v>
      </c>
      <c r="B480" s="14" t="s">
        <v>43</v>
      </c>
      <c r="C480" s="11" t="s">
        <v>52</v>
      </c>
      <c r="D480" s="15">
        <v>719007584</v>
      </c>
      <c r="E480" s="11" t="s">
        <v>29</v>
      </c>
      <c r="F480" s="20">
        <v>36303</v>
      </c>
      <c r="G480" s="16" t="str">
        <f t="shared" si="14"/>
        <v>May</v>
      </c>
      <c r="H480" s="2">
        <f t="shared" ca="1" si="15"/>
        <v>20</v>
      </c>
      <c r="I480" s="17" t="s">
        <v>30</v>
      </c>
      <c r="J480" s="18">
        <v>50787</v>
      </c>
      <c r="K480" s="19">
        <v>5</v>
      </c>
    </row>
    <row r="481" spans="1:11" x14ac:dyDescent="0.2">
      <c r="A481" s="11" t="s">
        <v>1048</v>
      </c>
      <c r="B481" s="14" t="s">
        <v>27</v>
      </c>
      <c r="C481" s="11" t="s">
        <v>136</v>
      </c>
      <c r="D481" s="15">
        <v>161009267</v>
      </c>
      <c r="E481" s="11" t="s">
        <v>29</v>
      </c>
      <c r="F481" s="20">
        <v>42218</v>
      </c>
      <c r="G481" s="16" t="str">
        <f t="shared" si="14"/>
        <v>August</v>
      </c>
      <c r="H481" s="2">
        <f t="shared" ca="1" si="15"/>
        <v>3</v>
      </c>
      <c r="I481" s="17" t="s">
        <v>87</v>
      </c>
      <c r="J481" s="18">
        <v>56727</v>
      </c>
      <c r="K481" s="19">
        <v>5</v>
      </c>
    </row>
    <row r="482" spans="1:11" x14ac:dyDescent="0.2">
      <c r="A482" s="11" t="s">
        <v>1532</v>
      </c>
      <c r="B482" s="14" t="s">
        <v>27</v>
      </c>
      <c r="C482" s="11" t="s">
        <v>152</v>
      </c>
      <c r="D482" s="15">
        <v>121003068</v>
      </c>
      <c r="E482" s="11" t="s">
        <v>29</v>
      </c>
      <c r="F482" s="20">
        <v>43424</v>
      </c>
      <c r="G482" s="16" t="str">
        <f t="shared" si="14"/>
        <v>November</v>
      </c>
      <c r="H482" s="2">
        <f t="shared" ca="1" si="15"/>
        <v>0</v>
      </c>
      <c r="I482" s="17" t="s">
        <v>47</v>
      </c>
      <c r="J482" s="18">
        <v>62627</v>
      </c>
      <c r="K482" s="19">
        <v>5</v>
      </c>
    </row>
    <row r="483" spans="1:11" x14ac:dyDescent="0.2">
      <c r="A483" s="11" t="s">
        <v>1424</v>
      </c>
      <c r="B483" s="14" t="s">
        <v>19</v>
      </c>
      <c r="C483" s="11" t="s">
        <v>20</v>
      </c>
      <c r="D483" s="15">
        <v>981006829</v>
      </c>
      <c r="E483" s="11" t="s">
        <v>21</v>
      </c>
      <c r="F483" s="20">
        <v>38704</v>
      </c>
      <c r="G483" s="16" t="str">
        <f t="shared" si="14"/>
        <v>December</v>
      </c>
      <c r="H483" s="2">
        <f t="shared" ca="1" si="15"/>
        <v>13</v>
      </c>
      <c r="I483" s="17"/>
      <c r="J483" s="18">
        <v>115398</v>
      </c>
      <c r="K483" s="19">
        <v>5</v>
      </c>
    </row>
    <row r="484" spans="1:11" x14ac:dyDescent="0.2">
      <c r="A484" s="11" t="s">
        <v>147</v>
      </c>
      <c r="B484" s="14" t="s">
        <v>27</v>
      </c>
      <c r="C484" s="11" t="s">
        <v>145</v>
      </c>
      <c r="D484" s="15">
        <v>420009404</v>
      </c>
      <c r="E484" s="11" t="s">
        <v>29</v>
      </c>
      <c r="F484" s="20">
        <v>36125</v>
      </c>
      <c r="G484" s="16" t="str">
        <f t="shared" si="14"/>
        <v>November</v>
      </c>
      <c r="H484" s="2">
        <f t="shared" ca="1" si="15"/>
        <v>20</v>
      </c>
      <c r="I484" s="17" t="s">
        <v>30</v>
      </c>
      <c r="J484" s="18">
        <v>33534</v>
      </c>
      <c r="K484" s="19">
        <v>1</v>
      </c>
    </row>
    <row r="485" spans="1:11" x14ac:dyDescent="0.2">
      <c r="A485" s="11" t="s">
        <v>178</v>
      </c>
      <c r="B485" s="14" t="s">
        <v>19</v>
      </c>
      <c r="C485" s="11" t="s">
        <v>20</v>
      </c>
      <c r="D485" s="15">
        <v>242009349</v>
      </c>
      <c r="E485" s="11" t="s">
        <v>29</v>
      </c>
      <c r="F485" s="20">
        <v>43357</v>
      </c>
      <c r="G485" s="16" t="str">
        <f t="shared" si="14"/>
        <v>September</v>
      </c>
      <c r="H485" s="2">
        <f t="shared" ca="1" si="15"/>
        <v>0</v>
      </c>
      <c r="I485" s="17" t="s">
        <v>38</v>
      </c>
      <c r="J485" s="18">
        <v>105057</v>
      </c>
      <c r="K485" s="19">
        <v>3</v>
      </c>
    </row>
    <row r="486" spans="1:11" x14ac:dyDescent="0.2">
      <c r="A486" s="11" t="s">
        <v>85</v>
      </c>
      <c r="B486" s="14" t="s">
        <v>43</v>
      </c>
      <c r="C486" s="11" t="s">
        <v>86</v>
      </c>
      <c r="D486" s="15">
        <v>738006277</v>
      </c>
      <c r="E486" s="11" t="s">
        <v>29</v>
      </c>
      <c r="F486" s="20">
        <v>36079</v>
      </c>
      <c r="G486" s="16" t="str">
        <f t="shared" si="14"/>
        <v>October</v>
      </c>
      <c r="H486" s="2">
        <f t="shared" ca="1" si="15"/>
        <v>20</v>
      </c>
      <c r="I486" s="17" t="s">
        <v>87</v>
      </c>
      <c r="J486" s="18">
        <v>42201</v>
      </c>
      <c r="K486" s="19">
        <v>5</v>
      </c>
    </row>
    <row r="487" spans="1:11" x14ac:dyDescent="0.2">
      <c r="A487" s="11" t="s">
        <v>849</v>
      </c>
      <c r="B487" s="14" t="s">
        <v>19</v>
      </c>
      <c r="C487" s="11" t="s">
        <v>214</v>
      </c>
      <c r="D487" s="15">
        <v>219005495</v>
      </c>
      <c r="E487" s="11" t="s">
        <v>21</v>
      </c>
      <c r="F487" s="20">
        <v>37281</v>
      </c>
      <c r="G487" s="16" t="str">
        <f t="shared" si="14"/>
        <v>January</v>
      </c>
      <c r="H487" s="2">
        <f t="shared" ca="1" si="15"/>
        <v>17</v>
      </c>
      <c r="I487" s="17"/>
      <c r="J487" s="18">
        <v>85469</v>
      </c>
      <c r="K487" s="19">
        <v>3</v>
      </c>
    </row>
    <row r="488" spans="1:11" x14ac:dyDescent="0.2">
      <c r="A488" s="11" t="s">
        <v>1452</v>
      </c>
      <c r="B488" s="14" t="s">
        <v>83</v>
      </c>
      <c r="C488" s="11" t="s">
        <v>152</v>
      </c>
      <c r="D488" s="15">
        <v>230002897</v>
      </c>
      <c r="E488" s="11" t="s">
        <v>29</v>
      </c>
      <c r="F488" s="20">
        <v>42297</v>
      </c>
      <c r="G488" s="16" t="str">
        <f t="shared" si="14"/>
        <v>October</v>
      </c>
      <c r="H488" s="2">
        <f t="shared" ca="1" si="15"/>
        <v>3</v>
      </c>
      <c r="I488" s="17" t="s">
        <v>87</v>
      </c>
      <c r="J488" s="18">
        <v>92961</v>
      </c>
      <c r="K488" s="19">
        <v>2</v>
      </c>
    </row>
    <row r="489" spans="1:11" x14ac:dyDescent="0.2">
      <c r="A489" s="11" t="s">
        <v>370</v>
      </c>
      <c r="B489" s="14" t="s">
        <v>83</v>
      </c>
      <c r="C489" s="11" t="s">
        <v>59</v>
      </c>
      <c r="D489" s="15">
        <v>279001317</v>
      </c>
      <c r="E489" s="11" t="s">
        <v>56</v>
      </c>
      <c r="F489" s="20">
        <v>39119</v>
      </c>
      <c r="G489" s="16" t="str">
        <f t="shared" si="14"/>
        <v>February</v>
      </c>
      <c r="H489" s="2">
        <f t="shared" ca="1" si="15"/>
        <v>12</v>
      </c>
      <c r="I489" s="17"/>
      <c r="J489" s="18">
        <v>52337</v>
      </c>
      <c r="K489" s="19">
        <v>4</v>
      </c>
    </row>
    <row r="490" spans="1:11" x14ac:dyDescent="0.2">
      <c r="A490" s="11" t="s">
        <v>1400</v>
      </c>
      <c r="B490" s="14" t="s">
        <v>27</v>
      </c>
      <c r="C490" s="11" t="s">
        <v>145</v>
      </c>
      <c r="D490" s="15">
        <v>750002934</v>
      </c>
      <c r="E490" s="11" t="s">
        <v>29</v>
      </c>
      <c r="F490" s="20">
        <v>38425</v>
      </c>
      <c r="G490" s="16" t="str">
        <f t="shared" si="14"/>
        <v>March</v>
      </c>
      <c r="H490" s="2">
        <f t="shared" ca="1" si="15"/>
        <v>14</v>
      </c>
      <c r="I490" s="17" t="s">
        <v>30</v>
      </c>
      <c r="J490" s="18">
        <v>50990</v>
      </c>
      <c r="K490" s="19">
        <v>5</v>
      </c>
    </row>
    <row r="491" spans="1:11" x14ac:dyDescent="0.2">
      <c r="A491" s="11" t="s">
        <v>968</v>
      </c>
      <c r="B491" s="14" t="s">
        <v>83</v>
      </c>
      <c r="C491" s="11" t="s">
        <v>86</v>
      </c>
      <c r="D491" s="15">
        <v>991004142</v>
      </c>
      <c r="E491" s="11" t="s">
        <v>21</v>
      </c>
      <c r="F491" s="20">
        <v>37803</v>
      </c>
      <c r="G491" s="16" t="str">
        <f t="shared" si="14"/>
        <v>July</v>
      </c>
      <c r="H491" s="2">
        <f t="shared" ca="1" si="15"/>
        <v>15</v>
      </c>
      <c r="I491" s="17"/>
      <c r="J491" s="18">
        <v>110606</v>
      </c>
      <c r="K491" s="19">
        <v>5</v>
      </c>
    </row>
    <row r="492" spans="1:11" x14ac:dyDescent="0.2">
      <c r="A492" s="11" t="s">
        <v>115</v>
      </c>
      <c r="B492" s="14" t="s">
        <v>43</v>
      </c>
      <c r="C492" s="11" t="s">
        <v>104</v>
      </c>
      <c r="D492" s="15">
        <v>515003972</v>
      </c>
      <c r="E492" s="11" t="s">
        <v>29</v>
      </c>
      <c r="F492" s="20">
        <v>39475</v>
      </c>
      <c r="G492" s="16" t="str">
        <f t="shared" si="14"/>
        <v>January</v>
      </c>
      <c r="H492" s="2">
        <f t="shared" ca="1" si="15"/>
        <v>11</v>
      </c>
      <c r="I492" s="17" t="s">
        <v>38</v>
      </c>
      <c r="J492" s="18">
        <v>76194</v>
      </c>
      <c r="K492" s="19">
        <v>1</v>
      </c>
    </row>
    <row r="493" spans="1:11" x14ac:dyDescent="0.2">
      <c r="A493" s="11" t="s">
        <v>649</v>
      </c>
      <c r="B493" s="14" t="s">
        <v>19</v>
      </c>
      <c r="C493" s="11" t="s">
        <v>214</v>
      </c>
      <c r="D493" s="15">
        <v>213004397</v>
      </c>
      <c r="E493" s="11" t="s">
        <v>29</v>
      </c>
      <c r="F493" s="20">
        <v>40187</v>
      </c>
      <c r="G493" s="16" t="str">
        <f t="shared" si="14"/>
        <v>January</v>
      </c>
      <c r="H493" s="2">
        <f t="shared" ca="1" si="15"/>
        <v>9</v>
      </c>
      <c r="I493" s="17" t="s">
        <v>30</v>
      </c>
      <c r="J493" s="18">
        <v>84713</v>
      </c>
      <c r="K493" s="19">
        <v>3</v>
      </c>
    </row>
    <row r="494" spans="1:11" x14ac:dyDescent="0.2">
      <c r="A494" s="11" t="s">
        <v>368</v>
      </c>
      <c r="B494" s="14" t="s">
        <v>83</v>
      </c>
      <c r="C494" s="11" t="s">
        <v>59</v>
      </c>
      <c r="D494" s="15">
        <v>525007320</v>
      </c>
      <c r="E494" s="11" t="s">
        <v>29</v>
      </c>
      <c r="F494" s="20">
        <v>39270</v>
      </c>
      <c r="G494" s="16" t="str">
        <f t="shared" si="14"/>
        <v>July</v>
      </c>
      <c r="H494" s="2">
        <f t="shared" ca="1" si="15"/>
        <v>11</v>
      </c>
      <c r="I494" s="17" t="s">
        <v>71</v>
      </c>
      <c r="J494" s="18">
        <v>53568</v>
      </c>
      <c r="K494" s="19">
        <v>5</v>
      </c>
    </row>
    <row r="495" spans="1:11" x14ac:dyDescent="0.2">
      <c r="A495" s="4" t="s">
        <v>751</v>
      </c>
      <c r="B495" s="14" t="s">
        <v>51</v>
      </c>
      <c r="C495" s="11" t="s">
        <v>478</v>
      </c>
      <c r="D495" s="15">
        <v>370008224</v>
      </c>
      <c r="E495" s="11" t="s">
        <v>29</v>
      </c>
      <c r="F495" s="20">
        <v>40263</v>
      </c>
      <c r="G495" s="16" t="str">
        <f t="shared" si="14"/>
        <v>March</v>
      </c>
      <c r="H495" s="2">
        <f t="shared" ca="1" si="15"/>
        <v>9</v>
      </c>
      <c r="I495" s="17" t="s">
        <v>47</v>
      </c>
      <c r="J495" s="18">
        <v>79839</v>
      </c>
      <c r="K495" s="19">
        <v>5</v>
      </c>
    </row>
    <row r="496" spans="1:11" x14ac:dyDescent="0.2">
      <c r="A496" s="11" t="s">
        <v>1360</v>
      </c>
      <c r="B496" s="14" t="s">
        <v>51</v>
      </c>
      <c r="C496" s="11" t="s">
        <v>249</v>
      </c>
      <c r="D496" s="15">
        <v>859004644</v>
      </c>
      <c r="E496" s="11" t="s">
        <v>21</v>
      </c>
      <c r="F496" s="20">
        <v>38580</v>
      </c>
      <c r="G496" s="16" t="str">
        <f t="shared" si="14"/>
        <v>August</v>
      </c>
      <c r="H496" s="2">
        <f t="shared" ca="1" si="15"/>
        <v>13</v>
      </c>
      <c r="I496" s="17"/>
      <c r="J496" s="18">
        <v>116735</v>
      </c>
      <c r="K496" s="19">
        <v>4</v>
      </c>
    </row>
    <row r="497" spans="1:11" x14ac:dyDescent="0.2">
      <c r="A497" s="11" t="s">
        <v>1282</v>
      </c>
      <c r="B497" s="14" t="s">
        <v>43</v>
      </c>
      <c r="C497" s="11" t="s">
        <v>145</v>
      </c>
      <c r="D497" s="15">
        <v>512004764</v>
      </c>
      <c r="E497" s="11" t="s">
        <v>29</v>
      </c>
      <c r="F497" s="20">
        <v>39146</v>
      </c>
      <c r="G497" s="16" t="str">
        <f t="shared" si="14"/>
        <v>March</v>
      </c>
      <c r="H497" s="2">
        <f t="shared" ca="1" si="15"/>
        <v>12</v>
      </c>
      <c r="I497" s="17" t="s">
        <v>30</v>
      </c>
      <c r="J497" s="18">
        <v>52650</v>
      </c>
      <c r="K497" s="19">
        <v>3</v>
      </c>
    </row>
    <row r="498" spans="1:11" x14ac:dyDescent="0.2">
      <c r="A498" s="11" t="s">
        <v>303</v>
      </c>
      <c r="B498" s="14" t="s">
        <v>27</v>
      </c>
      <c r="C498" s="11" t="s">
        <v>101</v>
      </c>
      <c r="D498" s="15">
        <v>219000602</v>
      </c>
      <c r="E498" s="11" t="s">
        <v>80</v>
      </c>
      <c r="F498" s="20">
        <v>36205</v>
      </c>
      <c r="G498" s="16" t="str">
        <f t="shared" si="14"/>
        <v>February</v>
      </c>
      <c r="H498" s="2">
        <f t="shared" ca="1" si="15"/>
        <v>20</v>
      </c>
      <c r="I498" s="17" t="s">
        <v>71</v>
      </c>
      <c r="J498" s="18">
        <v>21620</v>
      </c>
      <c r="K498" s="19">
        <v>3</v>
      </c>
    </row>
    <row r="499" spans="1:11" x14ac:dyDescent="0.2">
      <c r="A499" s="11" t="s">
        <v>242</v>
      </c>
      <c r="B499" s="14" t="s">
        <v>27</v>
      </c>
      <c r="C499" s="11" t="s">
        <v>86</v>
      </c>
      <c r="D499" s="15">
        <v>643002576</v>
      </c>
      <c r="E499" s="11" t="s">
        <v>56</v>
      </c>
      <c r="F499" s="20">
        <v>36161</v>
      </c>
      <c r="G499" s="16" t="str">
        <f t="shared" si="14"/>
        <v>January</v>
      </c>
      <c r="H499" s="2">
        <f t="shared" ca="1" si="15"/>
        <v>20</v>
      </c>
      <c r="I499" s="17"/>
      <c r="J499" s="18">
        <v>49739</v>
      </c>
      <c r="K499" s="19">
        <v>4</v>
      </c>
    </row>
    <row r="500" spans="1:11" x14ac:dyDescent="0.2">
      <c r="A500" s="11" t="s">
        <v>1496</v>
      </c>
      <c r="B500" s="14" t="s">
        <v>43</v>
      </c>
      <c r="C500" s="11" t="s">
        <v>20</v>
      </c>
      <c r="D500" s="15">
        <v>733003074</v>
      </c>
      <c r="E500" s="11" t="s">
        <v>21</v>
      </c>
      <c r="F500" s="20">
        <v>41826</v>
      </c>
      <c r="G500" s="16" t="str">
        <f t="shared" si="14"/>
        <v>July</v>
      </c>
      <c r="H500" s="2">
        <f t="shared" ca="1" si="15"/>
        <v>4</v>
      </c>
      <c r="I500" s="17"/>
      <c r="J500" s="18">
        <v>112145</v>
      </c>
      <c r="K500" s="19">
        <v>3</v>
      </c>
    </row>
    <row r="501" spans="1:11" x14ac:dyDescent="0.2">
      <c r="A501" s="11" t="s">
        <v>1324</v>
      </c>
      <c r="B501" s="14" t="s">
        <v>83</v>
      </c>
      <c r="C501" s="11" t="s">
        <v>145</v>
      </c>
      <c r="D501" s="15">
        <v>619006809</v>
      </c>
      <c r="E501" s="11" t="s">
        <v>80</v>
      </c>
      <c r="F501" s="20">
        <v>38698</v>
      </c>
      <c r="G501" s="16" t="str">
        <f t="shared" si="14"/>
        <v>December</v>
      </c>
      <c r="H501" s="2">
        <f t="shared" ca="1" si="15"/>
        <v>13</v>
      </c>
      <c r="I501" s="17" t="s">
        <v>38</v>
      </c>
      <c r="J501" s="18">
        <v>53366</v>
      </c>
      <c r="K501" s="19">
        <v>5</v>
      </c>
    </row>
    <row r="502" spans="1:11" x14ac:dyDescent="0.2">
      <c r="A502" s="11" t="s">
        <v>1070</v>
      </c>
      <c r="B502" s="14" t="s">
        <v>43</v>
      </c>
      <c r="C502" s="11" t="s">
        <v>136</v>
      </c>
      <c r="D502" s="15">
        <v>106006151</v>
      </c>
      <c r="E502" s="11" t="s">
        <v>21</v>
      </c>
      <c r="F502" s="20">
        <v>38942</v>
      </c>
      <c r="G502" s="16" t="str">
        <f t="shared" si="14"/>
        <v>August</v>
      </c>
      <c r="H502" s="2">
        <f t="shared" ca="1" si="15"/>
        <v>12</v>
      </c>
      <c r="I502" s="17"/>
      <c r="J502" s="18">
        <v>64152</v>
      </c>
      <c r="K502" s="19">
        <v>1</v>
      </c>
    </row>
    <row r="503" spans="1:11" x14ac:dyDescent="0.2">
      <c r="A503" s="11" t="s">
        <v>598</v>
      </c>
      <c r="B503" s="14" t="s">
        <v>83</v>
      </c>
      <c r="C503" s="11" t="s">
        <v>152</v>
      </c>
      <c r="D503" s="15">
        <v>364005917</v>
      </c>
      <c r="E503" s="11" t="s">
        <v>29</v>
      </c>
      <c r="F503" s="20">
        <v>36834</v>
      </c>
      <c r="G503" s="16" t="str">
        <f t="shared" si="14"/>
        <v>November</v>
      </c>
      <c r="H503" s="2">
        <f t="shared" ca="1" si="15"/>
        <v>18</v>
      </c>
      <c r="I503" s="17" t="s">
        <v>30</v>
      </c>
      <c r="J503" s="18">
        <v>62654</v>
      </c>
      <c r="K503" s="19">
        <v>2</v>
      </c>
    </row>
    <row r="504" spans="1:11" x14ac:dyDescent="0.2">
      <c r="A504" s="11" t="s">
        <v>500</v>
      </c>
      <c r="B504" s="14" t="s">
        <v>27</v>
      </c>
      <c r="C504" s="11" t="s">
        <v>214</v>
      </c>
      <c r="D504" s="15">
        <v>722000791</v>
      </c>
      <c r="E504" s="11" t="s">
        <v>56</v>
      </c>
      <c r="F504" s="20">
        <v>38838</v>
      </c>
      <c r="G504" s="16" t="str">
        <f t="shared" si="14"/>
        <v>May</v>
      </c>
      <c r="H504" s="2">
        <f t="shared" ca="1" si="15"/>
        <v>13</v>
      </c>
      <c r="I504" s="17"/>
      <c r="J504" s="18">
        <v>12020</v>
      </c>
      <c r="K504" s="19">
        <v>3</v>
      </c>
    </row>
    <row r="505" spans="1:11" x14ac:dyDescent="0.2">
      <c r="A505" s="11" t="s">
        <v>890</v>
      </c>
      <c r="B505" s="14" t="s">
        <v>83</v>
      </c>
      <c r="C505" s="11" t="s">
        <v>249</v>
      </c>
      <c r="D505" s="15">
        <v>478004556</v>
      </c>
      <c r="E505" s="11" t="s">
        <v>29</v>
      </c>
      <c r="F505" s="20">
        <v>43389</v>
      </c>
      <c r="G505" s="16" t="str">
        <f t="shared" si="14"/>
        <v>October</v>
      </c>
      <c r="H505" s="2">
        <f t="shared" ca="1" si="15"/>
        <v>0</v>
      </c>
      <c r="I505" s="17" t="s">
        <v>71</v>
      </c>
      <c r="J505" s="18">
        <v>83943</v>
      </c>
      <c r="K505" s="19">
        <v>2</v>
      </c>
    </row>
    <row r="506" spans="1:11" x14ac:dyDescent="0.2">
      <c r="A506" s="11" t="s">
        <v>671</v>
      </c>
      <c r="B506" s="14" t="s">
        <v>19</v>
      </c>
      <c r="C506" s="11" t="s">
        <v>214</v>
      </c>
      <c r="D506" s="15">
        <v>380003169</v>
      </c>
      <c r="E506" s="11" t="s">
        <v>29</v>
      </c>
      <c r="F506" s="20">
        <v>37007</v>
      </c>
      <c r="G506" s="16" t="str">
        <f t="shared" si="14"/>
        <v>April</v>
      </c>
      <c r="H506" s="2">
        <f t="shared" ca="1" si="15"/>
        <v>18</v>
      </c>
      <c r="I506" s="17" t="s">
        <v>30</v>
      </c>
      <c r="J506" s="18">
        <v>110673</v>
      </c>
      <c r="K506" s="19">
        <v>2</v>
      </c>
    </row>
    <row r="507" spans="1:11" x14ac:dyDescent="0.2">
      <c r="A507" s="11" t="s">
        <v>459</v>
      </c>
      <c r="B507" s="14" t="s">
        <v>27</v>
      </c>
      <c r="C507" s="11" t="s">
        <v>214</v>
      </c>
      <c r="D507" s="15">
        <v>276000518</v>
      </c>
      <c r="E507" s="11" t="s">
        <v>29</v>
      </c>
      <c r="F507" s="20">
        <v>41688</v>
      </c>
      <c r="G507" s="16" t="str">
        <f t="shared" si="14"/>
        <v>February</v>
      </c>
      <c r="H507" s="2">
        <f t="shared" ca="1" si="15"/>
        <v>5</v>
      </c>
      <c r="I507" s="17" t="s">
        <v>71</v>
      </c>
      <c r="J507" s="18">
        <v>39717</v>
      </c>
      <c r="K507" s="19">
        <v>5</v>
      </c>
    </row>
    <row r="508" spans="1:11" x14ac:dyDescent="0.2">
      <c r="A508" s="11" t="s">
        <v>908</v>
      </c>
      <c r="B508" s="14" t="s">
        <v>19</v>
      </c>
      <c r="C508" s="11" t="s">
        <v>152</v>
      </c>
      <c r="D508" s="15">
        <v>318003704</v>
      </c>
      <c r="E508" s="11" t="s">
        <v>29</v>
      </c>
      <c r="F508" s="20">
        <v>37281</v>
      </c>
      <c r="G508" s="16" t="str">
        <f t="shared" si="14"/>
        <v>January</v>
      </c>
      <c r="H508" s="2">
        <f t="shared" ca="1" si="15"/>
        <v>17</v>
      </c>
      <c r="I508" s="17" t="s">
        <v>30</v>
      </c>
      <c r="J508" s="18">
        <v>99698</v>
      </c>
      <c r="K508" s="19">
        <v>2</v>
      </c>
    </row>
    <row r="509" spans="1:11" x14ac:dyDescent="0.2">
      <c r="A509" s="4" t="s">
        <v>1364</v>
      </c>
      <c r="B509" s="14" t="s">
        <v>27</v>
      </c>
      <c r="C509" s="11" t="s">
        <v>152</v>
      </c>
      <c r="D509" s="15">
        <v>546006374</v>
      </c>
      <c r="E509" s="11" t="s">
        <v>80</v>
      </c>
      <c r="F509" s="20">
        <v>39318</v>
      </c>
      <c r="G509" s="16" t="str">
        <f t="shared" si="14"/>
        <v>August</v>
      </c>
      <c r="H509" s="2">
        <f t="shared" ca="1" si="15"/>
        <v>11</v>
      </c>
      <c r="I509" s="17" t="s">
        <v>30</v>
      </c>
      <c r="J509" s="18">
        <v>35350</v>
      </c>
      <c r="K509" s="19">
        <v>5</v>
      </c>
    </row>
    <row r="510" spans="1:11" x14ac:dyDescent="0.2">
      <c r="A510" s="11" t="s">
        <v>1204</v>
      </c>
      <c r="B510" s="14" t="s">
        <v>83</v>
      </c>
      <c r="C510" s="11" t="s">
        <v>152</v>
      </c>
      <c r="D510" s="15">
        <v>749008847</v>
      </c>
      <c r="E510" s="11" t="s">
        <v>21</v>
      </c>
      <c r="F510" s="20">
        <v>38136</v>
      </c>
      <c r="G510" s="16" t="str">
        <f t="shared" si="14"/>
        <v>May</v>
      </c>
      <c r="H510" s="2">
        <f t="shared" ca="1" si="15"/>
        <v>15</v>
      </c>
      <c r="I510" s="17"/>
      <c r="J510" s="18">
        <v>56390</v>
      </c>
      <c r="K510" s="19">
        <v>5</v>
      </c>
    </row>
    <row r="511" spans="1:11" x14ac:dyDescent="0.2">
      <c r="A511" s="11" t="s">
        <v>234</v>
      </c>
      <c r="B511" s="14" t="s">
        <v>19</v>
      </c>
      <c r="C511" s="11" t="s">
        <v>20</v>
      </c>
      <c r="D511" s="15">
        <v>504005443</v>
      </c>
      <c r="E511" s="11" t="s">
        <v>21</v>
      </c>
      <c r="F511" s="20">
        <v>38758</v>
      </c>
      <c r="G511" s="16" t="str">
        <f t="shared" si="14"/>
        <v>February</v>
      </c>
      <c r="H511" s="2">
        <f t="shared" ca="1" si="15"/>
        <v>13</v>
      </c>
      <c r="I511" s="17"/>
      <c r="J511" s="18">
        <v>85509</v>
      </c>
      <c r="K511" s="19">
        <v>3</v>
      </c>
    </row>
    <row r="512" spans="1:11" x14ac:dyDescent="0.2">
      <c r="A512" s="11" t="s">
        <v>1406</v>
      </c>
      <c r="B512" s="14" t="s">
        <v>27</v>
      </c>
      <c r="C512" s="11" t="s">
        <v>152</v>
      </c>
      <c r="D512" s="15">
        <v>296001985</v>
      </c>
      <c r="E512" s="11" t="s">
        <v>29</v>
      </c>
      <c r="F512" s="20">
        <v>38483</v>
      </c>
      <c r="G512" s="16" t="str">
        <f t="shared" si="14"/>
        <v>May</v>
      </c>
      <c r="H512" s="2">
        <f t="shared" ca="1" si="15"/>
        <v>14</v>
      </c>
      <c r="I512" s="17" t="s">
        <v>30</v>
      </c>
      <c r="J512" s="18">
        <v>55863</v>
      </c>
      <c r="K512" s="19">
        <v>2</v>
      </c>
    </row>
    <row r="513" spans="1:11" x14ac:dyDescent="0.2">
      <c r="A513" s="11" t="s">
        <v>1280</v>
      </c>
      <c r="B513" s="14" t="s">
        <v>19</v>
      </c>
      <c r="C513" s="11" t="s">
        <v>59</v>
      </c>
      <c r="D513" s="15">
        <v>571001715</v>
      </c>
      <c r="E513" s="11" t="s">
        <v>29</v>
      </c>
      <c r="F513" s="20">
        <v>38461</v>
      </c>
      <c r="G513" s="16" t="str">
        <f t="shared" si="14"/>
        <v>April</v>
      </c>
      <c r="H513" s="2">
        <f t="shared" ca="1" si="15"/>
        <v>14</v>
      </c>
      <c r="I513" s="17" t="s">
        <v>30</v>
      </c>
      <c r="J513" s="18">
        <v>76775</v>
      </c>
      <c r="K513" s="19">
        <v>1</v>
      </c>
    </row>
    <row r="514" spans="1:11" x14ac:dyDescent="0.2">
      <c r="A514" s="11" t="s">
        <v>364</v>
      </c>
      <c r="B514" s="14" t="s">
        <v>19</v>
      </c>
      <c r="C514" s="11" t="s">
        <v>145</v>
      </c>
      <c r="D514" s="15">
        <v>304004314</v>
      </c>
      <c r="E514" s="11" t="s">
        <v>21</v>
      </c>
      <c r="F514" s="20">
        <v>36277</v>
      </c>
      <c r="G514" s="16" t="str">
        <f t="shared" ref="G514:G577" si="16">CHOOSE(MONTH(F514),"January","February","March","April","May","June","July","August","September","October","November","December")</f>
        <v>April</v>
      </c>
      <c r="H514" s="2">
        <f t="shared" ref="H514:H577" ca="1" si="17">DATEDIF(F514,TODAY(),"Y")</f>
        <v>20</v>
      </c>
      <c r="I514" s="17"/>
      <c r="J514" s="18">
        <v>62978</v>
      </c>
      <c r="K514" s="19">
        <v>2</v>
      </c>
    </row>
    <row r="515" spans="1:11" x14ac:dyDescent="0.2">
      <c r="A515" s="11" t="s">
        <v>1094</v>
      </c>
      <c r="B515" s="14" t="s">
        <v>43</v>
      </c>
      <c r="C515" s="11" t="s">
        <v>86</v>
      </c>
      <c r="D515" s="15">
        <v>343007392</v>
      </c>
      <c r="E515" s="11" t="s">
        <v>29</v>
      </c>
      <c r="F515" s="20">
        <v>38110</v>
      </c>
      <c r="G515" s="16" t="str">
        <f t="shared" si="16"/>
        <v>May</v>
      </c>
      <c r="H515" s="2">
        <f t="shared" ca="1" si="17"/>
        <v>15</v>
      </c>
      <c r="I515" s="17" t="s">
        <v>47</v>
      </c>
      <c r="J515" s="18">
        <v>65880</v>
      </c>
      <c r="K515" s="19">
        <v>4</v>
      </c>
    </row>
    <row r="516" spans="1:11" x14ac:dyDescent="0.2">
      <c r="A516" s="11" t="s">
        <v>441</v>
      </c>
      <c r="B516" s="14" t="s">
        <v>27</v>
      </c>
      <c r="C516" s="11" t="s">
        <v>52</v>
      </c>
      <c r="D516" s="15">
        <v>585005837</v>
      </c>
      <c r="E516" s="11" t="s">
        <v>80</v>
      </c>
      <c r="F516" s="20">
        <v>36850</v>
      </c>
      <c r="G516" s="16" t="str">
        <f t="shared" si="16"/>
        <v>November</v>
      </c>
      <c r="H516" s="2">
        <f t="shared" ca="1" si="17"/>
        <v>18</v>
      </c>
      <c r="I516" s="17" t="s">
        <v>71</v>
      </c>
      <c r="J516" s="18">
        <v>25184</v>
      </c>
      <c r="K516" s="19">
        <v>4</v>
      </c>
    </row>
    <row r="517" spans="1:11" x14ac:dyDescent="0.2">
      <c r="A517" s="11" t="s">
        <v>1450</v>
      </c>
      <c r="B517" s="14" t="s">
        <v>51</v>
      </c>
      <c r="C517" s="11" t="s">
        <v>152</v>
      </c>
      <c r="D517" s="15">
        <v>332004481</v>
      </c>
      <c r="E517" s="11" t="s">
        <v>29</v>
      </c>
      <c r="F517" s="20">
        <v>38936</v>
      </c>
      <c r="G517" s="16" t="str">
        <f t="shared" si="16"/>
        <v>August</v>
      </c>
      <c r="H517" s="2">
        <f t="shared" ca="1" si="17"/>
        <v>12</v>
      </c>
      <c r="I517" s="17" t="s">
        <v>30</v>
      </c>
      <c r="J517" s="18">
        <v>65354</v>
      </c>
      <c r="K517" s="19">
        <v>5</v>
      </c>
    </row>
    <row r="518" spans="1:11" x14ac:dyDescent="0.2">
      <c r="A518" s="11" t="s">
        <v>588</v>
      </c>
      <c r="B518" s="14" t="s">
        <v>27</v>
      </c>
      <c r="C518" s="11" t="s">
        <v>214</v>
      </c>
      <c r="D518" s="15">
        <v>378001658</v>
      </c>
      <c r="E518" s="11" t="s">
        <v>21</v>
      </c>
      <c r="F518" s="20">
        <v>40929</v>
      </c>
      <c r="G518" s="16" t="str">
        <f t="shared" si="16"/>
        <v>January</v>
      </c>
      <c r="H518" s="2">
        <f t="shared" ca="1" si="17"/>
        <v>7</v>
      </c>
      <c r="I518" s="17"/>
      <c r="J518" s="18">
        <v>53055</v>
      </c>
      <c r="K518" s="19">
        <v>2</v>
      </c>
    </row>
    <row r="519" spans="1:11" x14ac:dyDescent="0.2">
      <c r="A519" s="11" t="s">
        <v>785</v>
      </c>
      <c r="B519" s="14" t="s">
        <v>43</v>
      </c>
      <c r="C519" s="11" t="s">
        <v>145</v>
      </c>
      <c r="D519" s="15">
        <v>186001354</v>
      </c>
      <c r="E519" s="11" t="s">
        <v>29</v>
      </c>
      <c r="F519" s="20">
        <v>36866</v>
      </c>
      <c r="G519" s="16" t="str">
        <f t="shared" si="16"/>
        <v>December</v>
      </c>
      <c r="H519" s="2">
        <f t="shared" ca="1" si="17"/>
        <v>18</v>
      </c>
      <c r="I519" s="17" t="s">
        <v>47</v>
      </c>
      <c r="J519" s="18">
        <v>73265</v>
      </c>
      <c r="K519" s="19">
        <v>3</v>
      </c>
    </row>
    <row r="520" spans="1:11" x14ac:dyDescent="0.2">
      <c r="A520" s="11" t="s">
        <v>174</v>
      </c>
      <c r="B520" s="14" t="s">
        <v>27</v>
      </c>
      <c r="C520" s="11" t="s">
        <v>20</v>
      </c>
      <c r="D520" s="15">
        <v>334004480</v>
      </c>
      <c r="E520" s="11" t="s">
        <v>29</v>
      </c>
      <c r="F520" s="20">
        <v>39362</v>
      </c>
      <c r="G520" s="16" t="str">
        <f t="shared" si="16"/>
        <v>October</v>
      </c>
      <c r="H520" s="2">
        <f t="shared" ca="1" si="17"/>
        <v>11</v>
      </c>
      <c r="I520" s="17" t="s">
        <v>30</v>
      </c>
      <c r="J520" s="18">
        <v>43335</v>
      </c>
      <c r="K520" s="19">
        <v>1</v>
      </c>
    </row>
    <row r="521" spans="1:11" x14ac:dyDescent="0.2">
      <c r="A521" s="11" t="s">
        <v>103</v>
      </c>
      <c r="B521" s="14" t="s">
        <v>51</v>
      </c>
      <c r="C521" s="11" t="s">
        <v>104</v>
      </c>
      <c r="D521" s="15">
        <v>764005259</v>
      </c>
      <c r="E521" s="11" t="s">
        <v>29</v>
      </c>
      <c r="F521" s="20">
        <v>40907</v>
      </c>
      <c r="G521" s="16" t="str">
        <f t="shared" si="16"/>
        <v>December</v>
      </c>
      <c r="H521" s="2">
        <f t="shared" ca="1" si="17"/>
        <v>7</v>
      </c>
      <c r="I521" s="17" t="s">
        <v>47</v>
      </c>
      <c r="J521" s="18">
        <v>40973</v>
      </c>
      <c r="K521" s="19">
        <v>1</v>
      </c>
    </row>
    <row r="522" spans="1:11" x14ac:dyDescent="0.2">
      <c r="A522" s="11" t="s">
        <v>289</v>
      </c>
      <c r="B522" s="14" t="s">
        <v>27</v>
      </c>
      <c r="C522" s="11" t="s">
        <v>28</v>
      </c>
      <c r="D522" s="15">
        <v>510000628</v>
      </c>
      <c r="E522" s="11" t="s">
        <v>29</v>
      </c>
      <c r="F522" s="20">
        <v>42003</v>
      </c>
      <c r="G522" s="16" t="str">
        <f t="shared" si="16"/>
        <v>December</v>
      </c>
      <c r="H522" s="2">
        <f t="shared" ca="1" si="17"/>
        <v>4</v>
      </c>
      <c r="I522" s="17" t="s">
        <v>30</v>
      </c>
      <c r="J522" s="18">
        <v>58968</v>
      </c>
      <c r="K522" s="19">
        <v>5</v>
      </c>
    </row>
    <row r="523" spans="1:11" x14ac:dyDescent="0.2">
      <c r="A523" s="11" t="s">
        <v>825</v>
      </c>
      <c r="B523" s="14" t="s">
        <v>51</v>
      </c>
      <c r="C523" s="11" t="s">
        <v>214</v>
      </c>
      <c r="D523" s="15">
        <v>720008680</v>
      </c>
      <c r="E523" s="11" t="s">
        <v>29</v>
      </c>
      <c r="F523" s="20">
        <v>37339</v>
      </c>
      <c r="G523" s="16" t="str">
        <f t="shared" si="16"/>
        <v>March</v>
      </c>
      <c r="H523" s="2">
        <f t="shared" ca="1" si="17"/>
        <v>17</v>
      </c>
      <c r="I523" s="17" t="s">
        <v>47</v>
      </c>
      <c r="J523" s="18">
        <v>109364</v>
      </c>
      <c r="K523" s="19">
        <v>4</v>
      </c>
    </row>
    <row r="524" spans="1:11" x14ac:dyDescent="0.2">
      <c r="A524" s="11" t="s">
        <v>960</v>
      </c>
      <c r="B524" s="14" t="s">
        <v>27</v>
      </c>
      <c r="C524" s="11" t="s">
        <v>254</v>
      </c>
      <c r="D524" s="15">
        <v>145000921</v>
      </c>
      <c r="E524" s="11" t="s">
        <v>29</v>
      </c>
      <c r="F524" s="20">
        <v>42260</v>
      </c>
      <c r="G524" s="16" t="str">
        <f t="shared" si="16"/>
        <v>September</v>
      </c>
      <c r="H524" s="2">
        <f t="shared" ca="1" si="17"/>
        <v>3</v>
      </c>
      <c r="I524" s="17" t="s">
        <v>38</v>
      </c>
      <c r="J524" s="18">
        <v>68837</v>
      </c>
      <c r="K524" s="19">
        <v>4</v>
      </c>
    </row>
    <row r="525" spans="1:11" x14ac:dyDescent="0.2">
      <c r="A525" s="11" t="s">
        <v>695</v>
      </c>
      <c r="B525" s="14" t="s">
        <v>83</v>
      </c>
      <c r="C525" s="11" t="s">
        <v>214</v>
      </c>
      <c r="D525" s="15">
        <v>969006994</v>
      </c>
      <c r="E525" s="11" t="s">
        <v>21</v>
      </c>
      <c r="F525" s="20">
        <v>39139</v>
      </c>
      <c r="G525" s="16" t="str">
        <f t="shared" si="16"/>
        <v>February</v>
      </c>
      <c r="H525" s="2">
        <f t="shared" ca="1" si="17"/>
        <v>12</v>
      </c>
      <c r="I525" s="17"/>
      <c r="J525" s="18">
        <v>33926</v>
      </c>
      <c r="K525" s="19">
        <v>5</v>
      </c>
    </row>
    <row r="526" spans="1:11" x14ac:dyDescent="0.2">
      <c r="A526" s="11" t="s">
        <v>1550</v>
      </c>
      <c r="B526" s="14" t="s">
        <v>36</v>
      </c>
      <c r="C526" s="11" t="s">
        <v>641</v>
      </c>
      <c r="D526" s="15">
        <v>827007063</v>
      </c>
      <c r="E526" s="11" t="s">
        <v>56</v>
      </c>
      <c r="F526" s="20">
        <v>43399</v>
      </c>
      <c r="G526" s="16" t="str">
        <f t="shared" si="16"/>
        <v>October</v>
      </c>
      <c r="H526" s="2">
        <f t="shared" ca="1" si="17"/>
        <v>0</v>
      </c>
      <c r="I526" s="17"/>
      <c r="J526" s="18">
        <v>25709</v>
      </c>
      <c r="K526" s="19">
        <v>1</v>
      </c>
    </row>
    <row r="527" spans="1:11" x14ac:dyDescent="0.2">
      <c r="A527" s="11" t="s">
        <v>1392</v>
      </c>
      <c r="B527" s="14" t="s">
        <v>19</v>
      </c>
      <c r="C527" s="11" t="s">
        <v>145</v>
      </c>
      <c r="D527" s="15">
        <v>863006129</v>
      </c>
      <c r="E527" s="11" t="s">
        <v>80</v>
      </c>
      <c r="F527" s="20">
        <v>38544</v>
      </c>
      <c r="G527" s="16" t="str">
        <f t="shared" si="16"/>
        <v>July</v>
      </c>
      <c r="H527" s="2">
        <f t="shared" ca="1" si="17"/>
        <v>13</v>
      </c>
      <c r="I527" s="17" t="s">
        <v>30</v>
      </c>
      <c r="J527" s="18">
        <v>57699</v>
      </c>
      <c r="K527" s="19">
        <v>2</v>
      </c>
    </row>
    <row r="528" spans="1:11" x14ac:dyDescent="0.2">
      <c r="A528" s="11" t="s">
        <v>358</v>
      </c>
      <c r="B528" s="14" t="s">
        <v>19</v>
      </c>
      <c r="C528" s="11" t="s">
        <v>136</v>
      </c>
      <c r="D528" s="15">
        <v>387001597</v>
      </c>
      <c r="E528" s="11" t="s">
        <v>21</v>
      </c>
      <c r="F528" s="20">
        <v>36371</v>
      </c>
      <c r="G528" s="16" t="str">
        <f t="shared" si="16"/>
        <v>July</v>
      </c>
      <c r="H528" s="2">
        <f t="shared" ca="1" si="17"/>
        <v>19</v>
      </c>
      <c r="I528" s="17"/>
      <c r="J528" s="18">
        <v>71213</v>
      </c>
      <c r="K528" s="19">
        <v>1</v>
      </c>
    </row>
    <row r="529" spans="1:11" x14ac:dyDescent="0.2">
      <c r="A529" s="11" t="s">
        <v>1382</v>
      </c>
      <c r="B529" s="14" t="s">
        <v>43</v>
      </c>
      <c r="C529" s="11" t="s">
        <v>152</v>
      </c>
      <c r="D529" s="15">
        <v>502000266</v>
      </c>
      <c r="E529" s="11" t="s">
        <v>56</v>
      </c>
      <c r="F529" s="20">
        <v>41502</v>
      </c>
      <c r="G529" s="16" t="str">
        <f t="shared" si="16"/>
        <v>August</v>
      </c>
      <c r="H529" s="2">
        <f t="shared" ca="1" si="17"/>
        <v>5</v>
      </c>
      <c r="I529" s="17"/>
      <c r="J529" s="18">
        <v>50414</v>
      </c>
      <c r="K529" s="19">
        <v>2</v>
      </c>
    </row>
    <row r="530" spans="1:11" x14ac:dyDescent="0.2">
      <c r="A530" s="11" t="s">
        <v>958</v>
      </c>
      <c r="B530" s="14" t="s">
        <v>27</v>
      </c>
      <c r="C530" s="11" t="s">
        <v>254</v>
      </c>
      <c r="D530" s="15">
        <v>365009498</v>
      </c>
      <c r="E530" s="11" t="s">
        <v>29</v>
      </c>
      <c r="F530" s="20">
        <v>41663</v>
      </c>
      <c r="G530" s="16" t="str">
        <f t="shared" si="16"/>
        <v>January</v>
      </c>
      <c r="H530" s="2">
        <f t="shared" ca="1" si="17"/>
        <v>5</v>
      </c>
      <c r="I530" s="17" t="s">
        <v>47</v>
      </c>
      <c r="J530" s="18">
        <v>63531</v>
      </c>
      <c r="K530" s="19">
        <v>4</v>
      </c>
    </row>
    <row r="531" spans="1:11" x14ac:dyDescent="0.2">
      <c r="A531" s="11" t="s">
        <v>1190</v>
      </c>
      <c r="B531" s="14" t="s">
        <v>36</v>
      </c>
      <c r="C531" s="11" t="s">
        <v>136</v>
      </c>
      <c r="D531" s="15">
        <v>437000422</v>
      </c>
      <c r="E531" s="11" t="s">
        <v>80</v>
      </c>
      <c r="F531" s="20">
        <v>41579</v>
      </c>
      <c r="G531" s="16" t="str">
        <f t="shared" si="16"/>
        <v>November</v>
      </c>
      <c r="H531" s="2">
        <f t="shared" ca="1" si="17"/>
        <v>5</v>
      </c>
      <c r="I531" s="17" t="s">
        <v>30</v>
      </c>
      <c r="J531" s="18">
        <v>14351</v>
      </c>
      <c r="K531" s="19">
        <v>3</v>
      </c>
    </row>
    <row r="532" spans="1:11" x14ac:dyDescent="0.2">
      <c r="A532" s="4" t="s">
        <v>1336</v>
      </c>
      <c r="B532" s="14" t="s">
        <v>27</v>
      </c>
      <c r="C532" s="11" t="s">
        <v>145</v>
      </c>
      <c r="D532" s="15">
        <v>393003492</v>
      </c>
      <c r="E532" s="11" t="s">
        <v>80</v>
      </c>
      <c r="F532" s="20">
        <v>39279</v>
      </c>
      <c r="G532" s="16" t="str">
        <f t="shared" si="16"/>
        <v>July</v>
      </c>
      <c r="H532" s="2">
        <f t="shared" ca="1" si="17"/>
        <v>11</v>
      </c>
      <c r="I532" s="17" t="s">
        <v>71</v>
      </c>
      <c r="J532" s="18">
        <v>63923</v>
      </c>
      <c r="K532" s="19">
        <v>1</v>
      </c>
    </row>
    <row r="533" spans="1:11" x14ac:dyDescent="0.2">
      <c r="A533" s="11" t="s">
        <v>168</v>
      </c>
      <c r="B533" s="14" t="s">
        <v>27</v>
      </c>
      <c r="C533" s="11" t="s">
        <v>20</v>
      </c>
      <c r="D533" s="15">
        <v>260005239</v>
      </c>
      <c r="E533" s="11" t="s">
        <v>56</v>
      </c>
      <c r="F533" s="20">
        <v>36476</v>
      </c>
      <c r="G533" s="16" t="str">
        <f t="shared" si="16"/>
        <v>November</v>
      </c>
      <c r="H533" s="2">
        <f t="shared" ca="1" si="17"/>
        <v>19</v>
      </c>
      <c r="I533" s="17"/>
      <c r="J533" s="18">
        <v>19667</v>
      </c>
      <c r="K533" s="19">
        <v>3</v>
      </c>
    </row>
    <row r="534" spans="1:11" x14ac:dyDescent="0.2">
      <c r="A534" s="11" t="s">
        <v>1112</v>
      </c>
      <c r="B534" s="14" t="s">
        <v>19</v>
      </c>
      <c r="C534" s="11" t="s">
        <v>136</v>
      </c>
      <c r="D534" s="15">
        <v>867000310</v>
      </c>
      <c r="E534" s="11" t="s">
        <v>29</v>
      </c>
      <c r="F534" s="20">
        <v>39249</v>
      </c>
      <c r="G534" s="16" t="str">
        <f t="shared" si="16"/>
        <v>June</v>
      </c>
      <c r="H534" s="2">
        <f t="shared" ca="1" si="17"/>
        <v>11</v>
      </c>
      <c r="I534" s="17" t="s">
        <v>30</v>
      </c>
      <c r="J534" s="18">
        <v>88979</v>
      </c>
      <c r="K534" s="19">
        <v>5</v>
      </c>
    </row>
    <row r="535" spans="1:11" x14ac:dyDescent="0.2">
      <c r="A535" s="11" t="s">
        <v>932</v>
      </c>
      <c r="B535" s="14" t="s">
        <v>27</v>
      </c>
      <c r="C535" s="11" t="s">
        <v>59</v>
      </c>
      <c r="D535" s="15">
        <v>116009057</v>
      </c>
      <c r="E535" s="11" t="s">
        <v>80</v>
      </c>
      <c r="F535" s="20">
        <v>37611</v>
      </c>
      <c r="G535" s="16" t="str">
        <f t="shared" si="16"/>
        <v>December</v>
      </c>
      <c r="H535" s="2">
        <f t="shared" ca="1" si="17"/>
        <v>16</v>
      </c>
      <c r="I535" s="17" t="s">
        <v>38</v>
      </c>
      <c r="J535" s="18">
        <v>20257</v>
      </c>
      <c r="K535" s="19">
        <v>4</v>
      </c>
    </row>
    <row r="536" spans="1:11" x14ac:dyDescent="0.2">
      <c r="A536" s="11" t="s">
        <v>1432</v>
      </c>
      <c r="B536" s="14" t="s">
        <v>27</v>
      </c>
      <c r="C536" s="11" t="s">
        <v>152</v>
      </c>
      <c r="D536" s="15">
        <v>186006711</v>
      </c>
      <c r="E536" s="11" t="s">
        <v>29</v>
      </c>
      <c r="F536" s="20">
        <v>39475</v>
      </c>
      <c r="G536" s="16" t="str">
        <f t="shared" si="16"/>
        <v>January</v>
      </c>
      <c r="H536" s="2">
        <f t="shared" ca="1" si="17"/>
        <v>11</v>
      </c>
      <c r="I536" s="17" t="s">
        <v>87</v>
      </c>
      <c r="J536" s="18">
        <v>97160</v>
      </c>
      <c r="K536" s="19">
        <v>4</v>
      </c>
    </row>
    <row r="537" spans="1:11" x14ac:dyDescent="0.2">
      <c r="A537" s="11" t="s">
        <v>1154</v>
      </c>
      <c r="B537" s="14" t="s">
        <v>36</v>
      </c>
      <c r="C537" s="11" t="s">
        <v>136</v>
      </c>
      <c r="D537" s="15">
        <v>546009785</v>
      </c>
      <c r="E537" s="11" t="s">
        <v>29</v>
      </c>
      <c r="F537" s="20">
        <v>41279</v>
      </c>
      <c r="G537" s="16" t="str">
        <f t="shared" si="16"/>
        <v>January</v>
      </c>
      <c r="H537" s="2">
        <f t="shared" ca="1" si="17"/>
        <v>6</v>
      </c>
      <c r="I537" s="17" t="s">
        <v>71</v>
      </c>
      <c r="J537" s="18">
        <v>82796</v>
      </c>
      <c r="K537" s="19">
        <v>2</v>
      </c>
    </row>
    <row r="538" spans="1:11" x14ac:dyDescent="0.2">
      <c r="A538" s="11" t="s">
        <v>1446</v>
      </c>
      <c r="B538" s="14" t="s">
        <v>51</v>
      </c>
      <c r="C538" s="11" t="s">
        <v>214</v>
      </c>
      <c r="D538" s="15">
        <v>923003594</v>
      </c>
      <c r="E538" s="11" t="s">
        <v>29</v>
      </c>
      <c r="F538" s="20">
        <v>39054</v>
      </c>
      <c r="G538" s="16" t="str">
        <f t="shared" si="16"/>
        <v>December</v>
      </c>
      <c r="H538" s="2">
        <f t="shared" ca="1" si="17"/>
        <v>12</v>
      </c>
      <c r="I538" s="17" t="s">
        <v>71</v>
      </c>
      <c r="J538" s="18">
        <v>109890</v>
      </c>
      <c r="K538" s="19">
        <v>2</v>
      </c>
    </row>
    <row r="539" spans="1:11" x14ac:dyDescent="0.2">
      <c r="A539" s="11" t="s">
        <v>1548</v>
      </c>
      <c r="B539" s="14" t="s">
        <v>19</v>
      </c>
      <c r="C539" s="11" t="s">
        <v>405</v>
      </c>
      <c r="D539" s="15">
        <v>510000395</v>
      </c>
      <c r="E539" s="11" t="s">
        <v>29</v>
      </c>
      <c r="F539" s="20">
        <v>39847</v>
      </c>
      <c r="G539" s="16" t="str">
        <f t="shared" si="16"/>
        <v>February</v>
      </c>
      <c r="H539" s="2">
        <f t="shared" ca="1" si="17"/>
        <v>10</v>
      </c>
      <c r="I539" s="17" t="s">
        <v>47</v>
      </c>
      <c r="J539" s="18">
        <v>85955</v>
      </c>
      <c r="K539" s="19">
        <v>5</v>
      </c>
    </row>
    <row r="540" spans="1:11" x14ac:dyDescent="0.2">
      <c r="A540" s="11" t="s">
        <v>192</v>
      </c>
      <c r="B540" s="14" t="s">
        <v>19</v>
      </c>
      <c r="C540" s="11" t="s">
        <v>52</v>
      </c>
      <c r="D540" s="15">
        <v>690004765</v>
      </c>
      <c r="E540" s="11" t="s">
        <v>29</v>
      </c>
      <c r="F540" s="20">
        <v>36469</v>
      </c>
      <c r="G540" s="16" t="str">
        <f t="shared" si="16"/>
        <v>November</v>
      </c>
      <c r="H540" s="2">
        <f t="shared" ca="1" si="17"/>
        <v>19</v>
      </c>
      <c r="I540" s="17" t="s">
        <v>38</v>
      </c>
      <c r="J540" s="18">
        <v>111375</v>
      </c>
      <c r="K540" s="19">
        <v>5</v>
      </c>
    </row>
    <row r="541" spans="1:11" x14ac:dyDescent="0.2">
      <c r="A541" s="11" t="s">
        <v>1542</v>
      </c>
      <c r="B541" s="14" t="s">
        <v>19</v>
      </c>
      <c r="C541" s="11" t="s">
        <v>136</v>
      </c>
      <c r="D541" s="15">
        <v>728007428</v>
      </c>
      <c r="E541" s="11" t="s">
        <v>29</v>
      </c>
      <c r="F541" s="20">
        <v>43480</v>
      </c>
      <c r="G541" s="16" t="str">
        <f t="shared" si="16"/>
        <v>January</v>
      </c>
      <c r="H541" s="2">
        <f t="shared" ca="1" si="17"/>
        <v>0</v>
      </c>
      <c r="I541" s="17" t="s">
        <v>71</v>
      </c>
      <c r="J541" s="18">
        <v>116775</v>
      </c>
      <c r="K541" s="19">
        <v>1</v>
      </c>
    </row>
    <row r="542" spans="1:11" x14ac:dyDescent="0.2">
      <c r="A542" s="11" t="s">
        <v>797</v>
      </c>
      <c r="B542" s="14" t="s">
        <v>19</v>
      </c>
      <c r="C542" s="11" t="s">
        <v>152</v>
      </c>
      <c r="D542" s="15">
        <v>418001946</v>
      </c>
      <c r="E542" s="11" t="s">
        <v>80</v>
      </c>
      <c r="F542" s="20">
        <v>37010</v>
      </c>
      <c r="G542" s="16" t="str">
        <f t="shared" si="16"/>
        <v>April</v>
      </c>
      <c r="H542" s="2">
        <f t="shared" ca="1" si="17"/>
        <v>18</v>
      </c>
      <c r="I542" s="17" t="s">
        <v>47</v>
      </c>
      <c r="J542" s="18">
        <v>66886</v>
      </c>
      <c r="K542" s="19">
        <v>2</v>
      </c>
    </row>
    <row r="543" spans="1:11" x14ac:dyDescent="0.2">
      <c r="A543" s="11" t="s">
        <v>443</v>
      </c>
      <c r="B543" s="14" t="s">
        <v>19</v>
      </c>
      <c r="C543" s="11" t="s">
        <v>59</v>
      </c>
      <c r="D543" s="15">
        <v>249000737</v>
      </c>
      <c r="E543" s="11" t="s">
        <v>21</v>
      </c>
      <c r="F543" s="20">
        <v>36805</v>
      </c>
      <c r="G543" s="16" t="str">
        <f t="shared" si="16"/>
        <v>October</v>
      </c>
      <c r="H543" s="2">
        <f t="shared" ca="1" si="17"/>
        <v>18</v>
      </c>
      <c r="I543" s="17"/>
      <c r="J543" s="18">
        <v>109445</v>
      </c>
      <c r="K543" s="19">
        <v>5</v>
      </c>
    </row>
    <row r="544" spans="1:11" x14ac:dyDescent="0.2">
      <c r="A544" s="11" t="s">
        <v>309</v>
      </c>
      <c r="B544" s="14" t="s">
        <v>19</v>
      </c>
      <c r="C544" s="11" t="s">
        <v>101</v>
      </c>
      <c r="D544" s="15">
        <v>967006310</v>
      </c>
      <c r="E544" s="11" t="s">
        <v>29</v>
      </c>
      <c r="F544" s="20">
        <v>36176</v>
      </c>
      <c r="G544" s="16" t="str">
        <f t="shared" si="16"/>
        <v>January</v>
      </c>
      <c r="H544" s="2">
        <f t="shared" ca="1" si="17"/>
        <v>20</v>
      </c>
      <c r="I544" s="17" t="s">
        <v>71</v>
      </c>
      <c r="J544" s="18">
        <v>47682</v>
      </c>
      <c r="K544" s="19">
        <v>3</v>
      </c>
    </row>
    <row r="545" spans="1:11" x14ac:dyDescent="0.2">
      <c r="A545" s="11" t="s">
        <v>360</v>
      </c>
      <c r="B545" s="14" t="s">
        <v>19</v>
      </c>
      <c r="C545" s="11" t="s">
        <v>59</v>
      </c>
      <c r="D545" s="15">
        <v>232006341</v>
      </c>
      <c r="E545" s="11" t="s">
        <v>21</v>
      </c>
      <c r="F545" s="20">
        <v>43092</v>
      </c>
      <c r="G545" s="16" t="str">
        <f t="shared" si="16"/>
        <v>December</v>
      </c>
      <c r="H545" s="2">
        <f t="shared" ca="1" si="17"/>
        <v>1</v>
      </c>
      <c r="I545" s="17"/>
      <c r="J545" s="18">
        <v>61871</v>
      </c>
      <c r="K545" s="19">
        <v>4</v>
      </c>
    </row>
    <row r="546" spans="1:11" x14ac:dyDescent="0.2">
      <c r="A546" s="11" t="s">
        <v>878</v>
      </c>
      <c r="B546" s="14" t="s">
        <v>19</v>
      </c>
      <c r="C546" s="11" t="s">
        <v>249</v>
      </c>
      <c r="D546" s="15">
        <v>122000839</v>
      </c>
      <c r="E546" s="11" t="s">
        <v>80</v>
      </c>
      <c r="F546" s="20">
        <v>38817</v>
      </c>
      <c r="G546" s="16" t="str">
        <f t="shared" si="16"/>
        <v>April</v>
      </c>
      <c r="H546" s="2">
        <f t="shared" ca="1" si="17"/>
        <v>13</v>
      </c>
      <c r="I546" s="17" t="s">
        <v>47</v>
      </c>
      <c r="J546" s="18">
        <v>27675</v>
      </c>
      <c r="K546" s="19">
        <v>3</v>
      </c>
    </row>
    <row r="547" spans="1:11" x14ac:dyDescent="0.2">
      <c r="A547" s="11" t="s">
        <v>729</v>
      </c>
      <c r="B547" s="14" t="s">
        <v>83</v>
      </c>
      <c r="C547" s="11" t="s">
        <v>214</v>
      </c>
      <c r="D547" s="15">
        <v>575000646</v>
      </c>
      <c r="E547" s="11" t="s">
        <v>29</v>
      </c>
      <c r="F547" s="20">
        <v>42204</v>
      </c>
      <c r="G547" s="16" t="str">
        <f t="shared" si="16"/>
        <v>July</v>
      </c>
      <c r="H547" s="2">
        <f t="shared" ca="1" si="17"/>
        <v>3</v>
      </c>
      <c r="I547" s="17" t="s">
        <v>47</v>
      </c>
      <c r="J547" s="18">
        <v>62397</v>
      </c>
      <c r="K547" s="19">
        <v>2</v>
      </c>
    </row>
    <row r="548" spans="1:11" x14ac:dyDescent="0.2">
      <c r="A548" s="11" t="s">
        <v>1230</v>
      </c>
      <c r="B548" s="14" t="s">
        <v>43</v>
      </c>
      <c r="C548" s="11" t="s">
        <v>20</v>
      </c>
      <c r="D548" s="15">
        <v>936000279</v>
      </c>
      <c r="E548" s="11" t="s">
        <v>80</v>
      </c>
      <c r="F548" s="20">
        <v>38373</v>
      </c>
      <c r="G548" s="16" t="str">
        <f t="shared" si="16"/>
        <v>January</v>
      </c>
      <c r="H548" s="2">
        <f t="shared" ca="1" si="17"/>
        <v>14</v>
      </c>
      <c r="I548" s="17" t="s">
        <v>38</v>
      </c>
      <c r="J548" s="18">
        <v>65360</v>
      </c>
      <c r="K548" s="19">
        <v>4</v>
      </c>
    </row>
    <row r="549" spans="1:11" x14ac:dyDescent="0.2">
      <c r="A549" s="11" t="s">
        <v>578</v>
      </c>
      <c r="B549" s="14" t="s">
        <v>19</v>
      </c>
      <c r="C549" s="11" t="s">
        <v>214</v>
      </c>
      <c r="D549" s="15">
        <v>468003610</v>
      </c>
      <c r="E549" s="11" t="s">
        <v>29</v>
      </c>
      <c r="F549" s="20">
        <v>40365</v>
      </c>
      <c r="G549" s="16" t="str">
        <f t="shared" si="16"/>
        <v>July</v>
      </c>
      <c r="H549" s="2">
        <f t="shared" ca="1" si="17"/>
        <v>8</v>
      </c>
      <c r="I549" s="17" t="s">
        <v>30</v>
      </c>
      <c r="J549" s="18">
        <v>93258</v>
      </c>
      <c r="K549" s="19">
        <v>3</v>
      </c>
    </row>
    <row r="550" spans="1:11" x14ac:dyDescent="0.2">
      <c r="A550" s="11" t="s">
        <v>118</v>
      </c>
      <c r="B550" s="14" t="s">
        <v>27</v>
      </c>
      <c r="C550" s="11" t="s">
        <v>101</v>
      </c>
      <c r="D550" s="15">
        <v>285005419</v>
      </c>
      <c r="E550" s="11" t="s">
        <v>56</v>
      </c>
      <c r="F550" s="20">
        <v>36014</v>
      </c>
      <c r="G550" s="16" t="str">
        <f t="shared" si="16"/>
        <v>August</v>
      </c>
      <c r="H550" s="2">
        <f t="shared" ca="1" si="17"/>
        <v>20</v>
      </c>
      <c r="I550" s="17"/>
      <c r="J550" s="18">
        <v>44863</v>
      </c>
      <c r="K550" s="19">
        <v>4</v>
      </c>
    </row>
    <row r="551" spans="1:11" x14ac:dyDescent="0.2">
      <c r="A551" s="11" t="s">
        <v>608</v>
      </c>
      <c r="B551" s="14" t="s">
        <v>27</v>
      </c>
      <c r="C551" s="11" t="s">
        <v>152</v>
      </c>
      <c r="D551" s="15">
        <v>283006654</v>
      </c>
      <c r="E551" s="11" t="s">
        <v>29</v>
      </c>
      <c r="F551" s="20">
        <v>36537</v>
      </c>
      <c r="G551" s="16" t="str">
        <f t="shared" si="16"/>
        <v>January</v>
      </c>
      <c r="H551" s="2">
        <f t="shared" ca="1" si="17"/>
        <v>19</v>
      </c>
      <c r="I551" s="17" t="s">
        <v>87</v>
      </c>
      <c r="J551" s="18">
        <v>62843</v>
      </c>
      <c r="K551" s="19">
        <v>4</v>
      </c>
    </row>
    <row r="552" spans="1:11" x14ac:dyDescent="0.2">
      <c r="A552" s="11" t="s">
        <v>453</v>
      </c>
      <c r="B552" s="14" t="s">
        <v>27</v>
      </c>
      <c r="C552" s="11" t="s">
        <v>214</v>
      </c>
      <c r="D552" s="15">
        <v>594000949</v>
      </c>
      <c r="E552" s="11" t="s">
        <v>80</v>
      </c>
      <c r="F552" s="20">
        <v>39278</v>
      </c>
      <c r="G552" s="16" t="str">
        <f t="shared" si="16"/>
        <v>July</v>
      </c>
      <c r="H552" s="2">
        <f t="shared" ca="1" si="17"/>
        <v>11</v>
      </c>
      <c r="I552" s="17" t="s">
        <v>30</v>
      </c>
      <c r="J552" s="18">
        <v>23315</v>
      </c>
      <c r="K552" s="19">
        <v>5</v>
      </c>
    </row>
    <row r="553" spans="1:11" x14ac:dyDescent="0.2">
      <c r="A553" s="11" t="s">
        <v>396</v>
      </c>
      <c r="B553" s="14" t="s">
        <v>83</v>
      </c>
      <c r="C553" s="11" t="s">
        <v>152</v>
      </c>
      <c r="D553" s="15">
        <v>643004096</v>
      </c>
      <c r="E553" s="11" t="s">
        <v>21</v>
      </c>
      <c r="F553" s="20">
        <v>36269</v>
      </c>
      <c r="G553" s="16" t="str">
        <f t="shared" si="16"/>
        <v>April</v>
      </c>
      <c r="H553" s="2">
        <f t="shared" ca="1" si="17"/>
        <v>20</v>
      </c>
      <c r="I553" s="17"/>
      <c r="J553" s="18">
        <v>35127</v>
      </c>
      <c r="K553" s="19">
        <v>5</v>
      </c>
    </row>
    <row r="554" spans="1:11" x14ac:dyDescent="0.2">
      <c r="A554" s="11" t="s">
        <v>916</v>
      </c>
      <c r="B554" s="14" t="s">
        <v>27</v>
      </c>
      <c r="C554" s="11" t="s">
        <v>641</v>
      </c>
      <c r="D554" s="15">
        <v>978002408</v>
      </c>
      <c r="E554" s="11" t="s">
        <v>21</v>
      </c>
      <c r="F554" s="20">
        <v>37381</v>
      </c>
      <c r="G554" s="16" t="str">
        <f t="shared" si="16"/>
        <v>May</v>
      </c>
      <c r="H554" s="2">
        <f t="shared" ca="1" si="17"/>
        <v>17</v>
      </c>
      <c r="I554" s="17"/>
      <c r="J554" s="18">
        <v>87372</v>
      </c>
      <c r="K554" s="19">
        <v>5</v>
      </c>
    </row>
    <row r="555" spans="1:11" x14ac:dyDescent="0.2">
      <c r="A555" s="11" t="s">
        <v>1066</v>
      </c>
      <c r="B555" s="14" t="s">
        <v>27</v>
      </c>
      <c r="C555" s="11" t="s">
        <v>214</v>
      </c>
      <c r="D555" s="15">
        <v>930002755</v>
      </c>
      <c r="E555" s="11" t="s">
        <v>80</v>
      </c>
      <c r="F555" s="20">
        <v>38045</v>
      </c>
      <c r="G555" s="16" t="str">
        <f t="shared" si="16"/>
        <v>February</v>
      </c>
      <c r="H555" s="2">
        <f t="shared" ca="1" si="17"/>
        <v>15</v>
      </c>
      <c r="I555" s="17" t="s">
        <v>47</v>
      </c>
      <c r="J555" s="18">
        <v>62485</v>
      </c>
      <c r="K555" s="19">
        <v>5</v>
      </c>
    </row>
    <row r="556" spans="1:11" x14ac:dyDescent="0.2">
      <c r="A556" s="11" t="s">
        <v>1128</v>
      </c>
      <c r="B556" s="14" t="s">
        <v>19</v>
      </c>
      <c r="C556" s="11" t="s">
        <v>254</v>
      </c>
      <c r="D556" s="15">
        <v>803006506</v>
      </c>
      <c r="E556" s="11" t="s">
        <v>29</v>
      </c>
      <c r="F556" s="20">
        <v>38268</v>
      </c>
      <c r="G556" s="16" t="str">
        <f t="shared" si="16"/>
        <v>October</v>
      </c>
      <c r="H556" s="2">
        <f t="shared" ca="1" si="17"/>
        <v>14</v>
      </c>
      <c r="I556" s="17" t="s">
        <v>87</v>
      </c>
      <c r="J556" s="18">
        <v>105233</v>
      </c>
      <c r="K556" s="19">
        <v>4</v>
      </c>
    </row>
    <row r="557" spans="1:11" x14ac:dyDescent="0.2">
      <c r="A557" s="11" t="s">
        <v>1558</v>
      </c>
      <c r="B557" s="14" t="s">
        <v>51</v>
      </c>
      <c r="C557" s="11" t="s">
        <v>641</v>
      </c>
      <c r="D557" s="15">
        <v>383006821</v>
      </c>
      <c r="E557" s="11" t="s">
        <v>29</v>
      </c>
      <c r="F557" s="20">
        <v>43240</v>
      </c>
      <c r="G557" s="16" t="str">
        <f t="shared" si="16"/>
        <v>May</v>
      </c>
      <c r="H557" s="2">
        <f t="shared" ca="1" si="17"/>
        <v>1</v>
      </c>
      <c r="I557" s="17" t="s">
        <v>47</v>
      </c>
      <c r="J557" s="18">
        <v>63018</v>
      </c>
      <c r="K557" s="19">
        <v>1</v>
      </c>
    </row>
    <row r="558" spans="1:11" x14ac:dyDescent="0.2">
      <c r="A558" s="11" t="s">
        <v>520</v>
      </c>
      <c r="B558" s="14" t="s">
        <v>27</v>
      </c>
      <c r="C558" s="11" t="s">
        <v>254</v>
      </c>
      <c r="D558" s="15">
        <v>881002432</v>
      </c>
      <c r="E558" s="11" t="s">
        <v>29</v>
      </c>
      <c r="F558" s="20">
        <v>36784</v>
      </c>
      <c r="G558" s="16" t="str">
        <f t="shared" si="16"/>
        <v>September</v>
      </c>
      <c r="H558" s="2">
        <f t="shared" ca="1" si="17"/>
        <v>18</v>
      </c>
      <c r="I558" s="17" t="s">
        <v>87</v>
      </c>
      <c r="J558" s="18">
        <v>91814</v>
      </c>
      <c r="K558" s="19">
        <v>1</v>
      </c>
    </row>
    <row r="559" spans="1:11" x14ac:dyDescent="0.2">
      <c r="A559" s="11" t="s">
        <v>1522</v>
      </c>
      <c r="B559" s="14" t="s">
        <v>27</v>
      </c>
      <c r="C559" s="11" t="s">
        <v>152</v>
      </c>
      <c r="D559" s="15">
        <v>458004969</v>
      </c>
      <c r="E559" s="11" t="s">
        <v>29</v>
      </c>
      <c r="F559" s="20">
        <v>42584</v>
      </c>
      <c r="G559" s="16" t="str">
        <f t="shared" si="16"/>
        <v>August</v>
      </c>
      <c r="H559" s="2">
        <f t="shared" ca="1" si="17"/>
        <v>2</v>
      </c>
      <c r="I559" s="17" t="s">
        <v>47</v>
      </c>
      <c r="J559" s="18">
        <v>111200</v>
      </c>
      <c r="K559" s="19">
        <v>5</v>
      </c>
    </row>
    <row r="560" spans="1:11" x14ac:dyDescent="0.2">
      <c r="A560" s="11" t="s">
        <v>584</v>
      </c>
      <c r="B560" s="14" t="s">
        <v>83</v>
      </c>
      <c r="C560" s="11" t="s">
        <v>214</v>
      </c>
      <c r="D560" s="15">
        <v>177002873</v>
      </c>
      <c r="E560" s="11" t="s">
        <v>29</v>
      </c>
      <c r="F560" s="20">
        <v>39269</v>
      </c>
      <c r="G560" s="16" t="str">
        <f t="shared" si="16"/>
        <v>July</v>
      </c>
      <c r="H560" s="2">
        <f t="shared" ca="1" si="17"/>
        <v>11</v>
      </c>
      <c r="I560" s="17" t="s">
        <v>47</v>
      </c>
      <c r="J560" s="18">
        <v>54081</v>
      </c>
      <c r="K560" s="19">
        <v>3</v>
      </c>
    </row>
    <row r="561" spans="1:11" x14ac:dyDescent="0.2">
      <c r="A561" s="11" t="s">
        <v>79</v>
      </c>
      <c r="B561" s="14" t="s">
        <v>19</v>
      </c>
      <c r="C561" s="11" t="s">
        <v>62</v>
      </c>
      <c r="D561" s="15">
        <v>781003936</v>
      </c>
      <c r="E561" s="11" t="s">
        <v>80</v>
      </c>
      <c r="F561" s="20">
        <v>40638</v>
      </c>
      <c r="G561" s="16" t="str">
        <f t="shared" si="16"/>
        <v>April</v>
      </c>
      <c r="H561" s="2">
        <f t="shared" ca="1" si="17"/>
        <v>8</v>
      </c>
      <c r="I561" s="17" t="s">
        <v>71</v>
      </c>
      <c r="J561" s="18">
        <v>23942</v>
      </c>
      <c r="K561" s="19">
        <v>3</v>
      </c>
    </row>
    <row r="562" spans="1:11" x14ac:dyDescent="0.2">
      <c r="A562" s="11" t="s">
        <v>1166</v>
      </c>
      <c r="B562" s="14" t="s">
        <v>27</v>
      </c>
      <c r="C562" s="11" t="s">
        <v>136</v>
      </c>
      <c r="D562" s="15">
        <v>699006024</v>
      </c>
      <c r="E562" s="11" t="s">
        <v>56</v>
      </c>
      <c r="F562" s="20">
        <v>38884</v>
      </c>
      <c r="G562" s="16" t="str">
        <f t="shared" si="16"/>
        <v>June</v>
      </c>
      <c r="H562" s="2">
        <f t="shared" ca="1" si="17"/>
        <v>12</v>
      </c>
      <c r="I562" s="17"/>
      <c r="J562" s="18">
        <v>22529</v>
      </c>
      <c r="K562" s="19">
        <v>3</v>
      </c>
    </row>
    <row r="563" spans="1:11" x14ac:dyDescent="0.2">
      <c r="A563" s="11" t="s">
        <v>1292</v>
      </c>
      <c r="B563" s="14" t="s">
        <v>83</v>
      </c>
      <c r="C563" s="11" t="s">
        <v>145</v>
      </c>
      <c r="D563" s="15">
        <v>531004742</v>
      </c>
      <c r="E563" s="11" t="s">
        <v>29</v>
      </c>
      <c r="F563" s="20">
        <v>40649</v>
      </c>
      <c r="G563" s="16" t="str">
        <f t="shared" si="16"/>
        <v>April</v>
      </c>
      <c r="H563" s="2">
        <f t="shared" ca="1" si="17"/>
        <v>8</v>
      </c>
      <c r="I563" s="17" t="s">
        <v>47</v>
      </c>
      <c r="J563" s="18">
        <v>39434</v>
      </c>
      <c r="K563" s="19">
        <v>5</v>
      </c>
    </row>
    <row r="564" spans="1:11" x14ac:dyDescent="0.2">
      <c r="A564" s="11" t="s">
        <v>447</v>
      </c>
      <c r="B564" s="14" t="s">
        <v>83</v>
      </c>
      <c r="C564" s="11" t="s">
        <v>59</v>
      </c>
      <c r="D564" s="15">
        <v>291001866</v>
      </c>
      <c r="E564" s="11" t="s">
        <v>29</v>
      </c>
      <c r="F564" s="20">
        <v>36728</v>
      </c>
      <c r="G564" s="16" t="str">
        <f t="shared" si="16"/>
        <v>July</v>
      </c>
      <c r="H564" s="2">
        <f t="shared" ca="1" si="17"/>
        <v>18</v>
      </c>
      <c r="I564" s="17" t="s">
        <v>47</v>
      </c>
      <c r="J564" s="18">
        <v>87089</v>
      </c>
      <c r="K564" s="19">
        <v>3</v>
      </c>
    </row>
    <row r="565" spans="1:11" x14ac:dyDescent="0.2">
      <c r="A565" s="11" t="s">
        <v>342</v>
      </c>
      <c r="B565" s="14" t="s">
        <v>19</v>
      </c>
      <c r="C565" s="11" t="s">
        <v>136</v>
      </c>
      <c r="D565" s="15">
        <v>503006433</v>
      </c>
      <c r="E565" s="11" t="s">
        <v>29</v>
      </c>
      <c r="F565" s="20">
        <v>36316</v>
      </c>
      <c r="G565" s="16" t="str">
        <f t="shared" si="16"/>
        <v>June</v>
      </c>
      <c r="H565" s="2">
        <f t="shared" ca="1" si="17"/>
        <v>20</v>
      </c>
      <c r="I565" s="17" t="s">
        <v>38</v>
      </c>
      <c r="J565" s="18">
        <v>104949</v>
      </c>
      <c r="K565" s="19">
        <v>1</v>
      </c>
    </row>
    <row r="566" spans="1:11" x14ac:dyDescent="0.2">
      <c r="A566" s="11" t="s">
        <v>1462</v>
      </c>
      <c r="B566" s="14" t="s">
        <v>27</v>
      </c>
      <c r="C566" s="11" t="s">
        <v>152</v>
      </c>
      <c r="D566" s="15">
        <v>249006723</v>
      </c>
      <c r="E566" s="11" t="s">
        <v>29</v>
      </c>
      <c r="F566" s="20">
        <v>38881</v>
      </c>
      <c r="G566" s="16" t="str">
        <f t="shared" si="16"/>
        <v>June</v>
      </c>
      <c r="H566" s="2">
        <f t="shared" ca="1" si="17"/>
        <v>12</v>
      </c>
      <c r="I566" s="17" t="s">
        <v>87</v>
      </c>
      <c r="J566" s="18">
        <v>87035</v>
      </c>
      <c r="K566" s="19">
        <v>5</v>
      </c>
    </row>
    <row r="567" spans="1:11" x14ac:dyDescent="0.2">
      <c r="A567" s="11" t="s">
        <v>372</v>
      </c>
      <c r="B567" s="14" t="s">
        <v>51</v>
      </c>
      <c r="C567" s="11" t="s">
        <v>145</v>
      </c>
      <c r="D567" s="15">
        <v>593004018</v>
      </c>
      <c r="E567" s="11" t="s">
        <v>29</v>
      </c>
      <c r="F567" s="20">
        <v>36310</v>
      </c>
      <c r="G567" s="16" t="str">
        <f t="shared" si="16"/>
        <v>May</v>
      </c>
      <c r="H567" s="2">
        <f t="shared" ca="1" si="17"/>
        <v>20</v>
      </c>
      <c r="I567" s="17" t="s">
        <v>47</v>
      </c>
      <c r="J567" s="18">
        <v>91692</v>
      </c>
      <c r="K567" s="19">
        <v>4</v>
      </c>
    </row>
    <row r="568" spans="1:11" x14ac:dyDescent="0.2">
      <c r="A568" s="11" t="s">
        <v>1306</v>
      </c>
      <c r="B568" s="14" t="s">
        <v>43</v>
      </c>
      <c r="C568" s="11" t="s">
        <v>214</v>
      </c>
      <c r="D568" s="15">
        <v>612005735</v>
      </c>
      <c r="E568" s="11" t="s">
        <v>29</v>
      </c>
      <c r="F568" s="20">
        <v>38367</v>
      </c>
      <c r="G568" s="16" t="str">
        <f t="shared" si="16"/>
        <v>January</v>
      </c>
      <c r="H568" s="2">
        <f t="shared" ca="1" si="17"/>
        <v>14</v>
      </c>
      <c r="I568" s="17" t="s">
        <v>30</v>
      </c>
      <c r="J568" s="18">
        <v>98744</v>
      </c>
      <c r="K568" s="19">
        <v>5</v>
      </c>
    </row>
    <row r="569" spans="1:11" x14ac:dyDescent="0.2">
      <c r="A569" s="11" t="s">
        <v>870</v>
      </c>
      <c r="B569" s="14" t="s">
        <v>51</v>
      </c>
      <c r="C569" s="11" t="s">
        <v>254</v>
      </c>
      <c r="D569" s="15">
        <v>302004692</v>
      </c>
      <c r="E569" s="11" t="s">
        <v>80</v>
      </c>
      <c r="F569" s="20">
        <v>37473</v>
      </c>
      <c r="G569" s="16" t="str">
        <f t="shared" si="16"/>
        <v>August</v>
      </c>
      <c r="H569" s="2">
        <f t="shared" ca="1" si="17"/>
        <v>16</v>
      </c>
      <c r="I569" s="17" t="s">
        <v>47</v>
      </c>
      <c r="J569" s="18">
        <v>18137</v>
      </c>
      <c r="K569" s="19">
        <v>1</v>
      </c>
    </row>
    <row r="570" spans="1:11" x14ac:dyDescent="0.2">
      <c r="A570" s="11" t="s">
        <v>194</v>
      </c>
      <c r="B570" s="14" t="s">
        <v>27</v>
      </c>
      <c r="C570" s="11" t="s">
        <v>59</v>
      </c>
      <c r="D570" s="15">
        <v>927003360</v>
      </c>
      <c r="E570" s="11" t="s">
        <v>21</v>
      </c>
      <c r="F570" s="20">
        <v>36280</v>
      </c>
      <c r="G570" s="16" t="str">
        <f t="shared" si="16"/>
        <v>April</v>
      </c>
      <c r="H570" s="2">
        <f t="shared" ca="1" si="17"/>
        <v>20</v>
      </c>
      <c r="I570" s="17"/>
      <c r="J570" s="18">
        <v>30132</v>
      </c>
      <c r="K570" s="19">
        <v>2</v>
      </c>
    </row>
    <row r="571" spans="1:11" x14ac:dyDescent="0.2">
      <c r="A571" s="11" t="s">
        <v>1302</v>
      </c>
      <c r="B571" s="14" t="s">
        <v>36</v>
      </c>
      <c r="C571" s="11" t="s">
        <v>214</v>
      </c>
      <c r="D571" s="15">
        <v>881005933</v>
      </c>
      <c r="E571" s="11" t="s">
        <v>29</v>
      </c>
      <c r="F571" s="20">
        <v>38686</v>
      </c>
      <c r="G571" s="16" t="str">
        <f t="shared" si="16"/>
        <v>November</v>
      </c>
      <c r="H571" s="2">
        <f t="shared" ca="1" si="17"/>
        <v>13</v>
      </c>
      <c r="I571" s="17" t="s">
        <v>38</v>
      </c>
      <c r="J571" s="18">
        <v>47871</v>
      </c>
      <c r="K571" s="19">
        <v>5</v>
      </c>
    </row>
    <row r="572" spans="1:11" x14ac:dyDescent="0.2">
      <c r="A572" s="11" t="s">
        <v>1342</v>
      </c>
      <c r="B572" s="14" t="s">
        <v>27</v>
      </c>
      <c r="C572" s="11" t="s">
        <v>86</v>
      </c>
      <c r="D572" s="15">
        <v>983001302</v>
      </c>
      <c r="E572" s="11" t="s">
        <v>29</v>
      </c>
      <c r="F572" s="20">
        <v>38403</v>
      </c>
      <c r="G572" s="16" t="str">
        <f t="shared" si="16"/>
        <v>February</v>
      </c>
      <c r="H572" s="2">
        <f t="shared" ca="1" si="17"/>
        <v>14</v>
      </c>
      <c r="I572" s="17" t="s">
        <v>47</v>
      </c>
      <c r="J572" s="18">
        <v>110214</v>
      </c>
      <c r="K572" s="19">
        <v>4</v>
      </c>
    </row>
    <row r="573" spans="1:11" x14ac:dyDescent="0.2">
      <c r="A573" s="11" t="s">
        <v>874</v>
      </c>
      <c r="B573" s="14" t="s">
        <v>19</v>
      </c>
      <c r="C573" s="11" t="s">
        <v>249</v>
      </c>
      <c r="D573" s="15">
        <v>397005298</v>
      </c>
      <c r="E573" s="11" t="s">
        <v>21</v>
      </c>
      <c r="F573" s="20">
        <v>43228</v>
      </c>
      <c r="G573" s="16" t="str">
        <f t="shared" si="16"/>
        <v>May</v>
      </c>
      <c r="H573" s="2">
        <f t="shared" ca="1" si="17"/>
        <v>1</v>
      </c>
      <c r="I573" s="17"/>
      <c r="J573" s="18">
        <v>101385</v>
      </c>
      <c r="K573" s="19">
        <v>4</v>
      </c>
    </row>
    <row r="574" spans="1:11" x14ac:dyDescent="0.2">
      <c r="A574" s="11" t="s">
        <v>1504</v>
      </c>
      <c r="B574" s="14" t="s">
        <v>27</v>
      </c>
      <c r="C574" s="11" t="s">
        <v>136</v>
      </c>
      <c r="D574" s="15">
        <v>938003321</v>
      </c>
      <c r="E574" s="11" t="s">
        <v>21</v>
      </c>
      <c r="F574" s="20">
        <v>42199</v>
      </c>
      <c r="G574" s="16" t="str">
        <f t="shared" si="16"/>
        <v>July</v>
      </c>
      <c r="H574" s="2">
        <f t="shared" ca="1" si="17"/>
        <v>3</v>
      </c>
      <c r="I574" s="17"/>
      <c r="J574" s="18">
        <v>121014</v>
      </c>
      <c r="K574" s="19">
        <v>4</v>
      </c>
    </row>
    <row r="575" spans="1:11" x14ac:dyDescent="0.2">
      <c r="A575" s="11" t="s">
        <v>564</v>
      </c>
      <c r="B575" s="14" t="s">
        <v>43</v>
      </c>
      <c r="C575" s="11" t="s">
        <v>214</v>
      </c>
      <c r="D575" s="15">
        <v>354009285</v>
      </c>
      <c r="E575" s="11" t="s">
        <v>29</v>
      </c>
      <c r="F575" s="20">
        <v>38978</v>
      </c>
      <c r="G575" s="16" t="str">
        <f t="shared" si="16"/>
        <v>September</v>
      </c>
      <c r="H575" s="2">
        <f t="shared" ca="1" si="17"/>
        <v>12</v>
      </c>
      <c r="I575" s="17" t="s">
        <v>87</v>
      </c>
      <c r="J575" s="18">
        <v>30591</v>
      </c>
      <c r="K575" s="19">
        <v>2</v>
      </c>
    </row>
    <row r="576" spans="1:11" x14ac:dyDescent="0.2">
      <c r="A576" s="11" t="s">
        <v>1326</v>
      </c>
      <c r="B576" s="14" t="s">
        <v>43</v>
      </c>
      <c r="C576" s="11" t="s">
        <v>145</v>
      </c>
      <c r="D576" s="15">
        <v>221007766</v>
      </c>
      <c r="E576" s="11" t="s">
        <v>21</v>
      </c>
      <c r="F576" s="20">
        <v>38926</v>
      </c>
      <c r="G576" s="16" t="str">
        <f t="shared" si="16"/>
        <v>July</v>
      </c>
      <c r="H576" s="2">
        <f t="shared" ca="1" si="17"/>
        <v>12</v>
      </c>
      <c r="I576" s="17"/>
      <c r="J576" s="18">
        <v>79718</v>
      </c>
      <c r="K576" s="19">
        <v>4</v>
      </c>
    </row>
    <row r="577" spans="1:11" x14ac:dyDescent="0.2">
      <c r="A577" s="11" t="s">
        <v>1270</v>
      </c>
      <c r="B577" s="14" t="s">
        <v>19</v>
      </c>
      <c r="C577" s="11" t="s">
        <v>52</v>
      </c>
      <c r="D577" s="15">
        <v>197009466</v>
      </c>
      <c r="E577" s="11" t="s">
        <v>21</v>
      </c>
      <c r="F577" s="20">
        <v>38593</v>
      </c>
      <c r="G577" s="16" t="str">
        <f t="shared" si="16"/>
        <v>August</v>
      </c>
      <c r="H577" s="2">
        <f t="shared" ca="1" si="17"/>
        <v>13</v>
      </c>
      <c r="I577" s="17"/>
      <c r="J577" s="18">
        <v>102627</v>
      </c>
      <c r="K577" s="19">
        <v>1</v>
      </c>
    </row>
    <row r="578" spans="1:11" x14ac:dyDescent="0.2">
      <c r="A578" s="11" t="s">
        <v>471</v>
      </c>
      <c r="B578" s="14" t="s">
        <v>19</v>
      </c>
      <c r="C578" s="11" t="s">
        <v>214</v>
      </c>
      <c r="D578" s="15">
        <v>259003806</v>
      </c>
      <c r="E578" s="11" t="s">
        <v>29</v>
      </c>
      <c r="F578" s="20">
        <v>36504</v>
      </c>
      <c r="G578" s="16" t="str">
        <f t="shared" ref="G578:G641" si="18">CHOOSE(MONTH(F578),"January","February","March","April","May","June","July","August","September","October","November","December")</f>
        <v>December</v>
      </c>
      <c r="H578" s="2">
        <f t="shared" ref="H578:H641" ca="1" si="19">DATEDIF(F578,TODAY(),"Y")</f>
        <v>19</v>
      </c>
      <c r="I578" s="17" t="s">
        <v>71</v>
      </c>
      <c r="J578" s="18">
        <v>81513</v>
      </c>
      <c r="K578" s="19">
        <v>4</v>
      </c>
    </row>
    <row r="579" spans="1:11" x14ac:dyDescent="0.2">
      <c r="A579" s="11" t="s">
        <v>1086</v>
      </c>
      <c r="B579" s="14" t="s">
        <v>27</v>
      </c>
      <c r="C579" s="11" t="s">
        <v>136</v>
      </c>
      <c r="D579" s="15">
        <v>569002669</v>
      </c>
      <c r="E579" s="11" t="s">
        <v>29</v>
      </c>
      <c r="F579" s="20">
        <v>40424</v>
      </c>
      <c r="G579" s="16" t="str">
        <f t="shared" si="18"/>
        <v>September</v>
      </c>
      <c r="H579" s="2">
        <f t="shared" ca="1" si="19"/>
        <v>8</v>
      </c>
      <c r="I579" s="17" t="s">
        <v>87</v>
      </c>
      <c r="J579" s="18">
        <v>60885</v>
      </c>
      <c r="K579" s="19">
        <v>2</v>
      </c>
    </row>
    <row r="580" spans="1:11" x14ac:dyDescent="0.2">
      <c r="A580" s="11" t="s">
        <v>524</v>
      </c>
      <c r="B580" s="14" t="s">
        <v>27</v>
      </c>
      <c r="C580" s="11" t="s">
        <v>214</v>
      </c>
      <c r="D580" s="15">
        <v>798006688</v>
      </c>
      <c r="E580" s="11" t="s">
        <v>29</v>
      </c>
      <c r="F580" s="20">
        <v>43059</v>
      </c>
      <c r="G580" s="16" t="str">
        <f t="shared" si="18"/>
        <v>November</v>
      </c>
      <c r="H580" s="2">
        <f t="shared" ca="1" si="19"/>
        <v>1</v>
      </c>
      <c r="I580" s="17" t="s">
        <v>47</v>
      </c>
      <c r="J580" s="18">
        <v>48060</v>
      </c>
      <c r="K580" s="19">
        <v>5</v>
      </c>
    </row>
    <row r="581" spans="1:11" x14ac:dyDescent="0.2">
      <c r="A581" s="11" t="s">
        <v>180</v>
      </c>
      <c r="B581" s="14" t="s">
        <v>19</v>
      </c>
      <c r="C581" s="11" t="s">
        <v>20</v>
      </c>
      <c r="D581" s="15">
        <v>459002265</v>
      </c>
      <c r="E581" s="11" t="s">
        <v>29</v>
      </c>
      <c r="F581" s="20">
        <v>36431</v>
      </c>
      <c r="G581" s="16" t="str">
        <f t="shared" si="18"/>
        <v>September</v>
      </c>
      <c r="H581" s="2">
        <f t="shared" ca="1" si="19"/>
        <v>19</v>
      </c>
      <c r="I581" s="17" t="s">
        <v>87</v>
      </c>
      <c r="J581" s="18">
        <v>82890</v>
      </c>
      <c r="K581" s="19">
        <v>5</v>
      </c>
    </row>
    <row r="582" spans="1:11" x14ac:dyDescent="0.2">
      <c r="A582" s="11" t="s">
        <v>992</v>
      </c>
      <c r="B582" s="14" t="s">
        <v>43</v>
      </c>
      <c r="C582" s="11" t="s">
        <v>136</v>
      </c>
      <c r="D582" s="15">
        <v>160004934</v>
      </c>
      <c r="E582" s="11" t="s">
        <v>80</v>
      </c>
      <c r="F582" s="20">
        <v>37649</v>
      </c>
      <c r="G582" s="16" t="str">
        <f t="shared" si="18"/>
        <v>January</v>
      </c>
      <c r="H582" s="2">
        <f t="shared" ca="1" si="19"/>
        <v>16</v>
      </c>
      <c r="I582" s="17" t="s">
        <v>30</v>
      </c>
      <c r="J582" s="18">
        <v>14445</v>
      </c>
      <c r="K582" s="19">
        <v>4</v>
      </c>
    </row>
    <row r="583" spans="1:11" x14ac:dyDescent="0.2">
      <c r="A583" s="11" t="s">
        <v>1354</v>
      </c>
      <c r="B583" s="14" t="s">
        <v>36</v>
      </c>
      <c r="C583" s="11" t="s">
        <v>152</v>
      </c>
      <c r="D583" s="15">
        <v>120004342</v>
      </c>
      <c r="E583" s="11" t="s">
        <v>56</v>
      </c>
      <c r="F583" s="20">
        <v>39314</v>
      </c>
      <c r="G583" s="16" t="str">
        <f t="shared" si="18"/>
        <v>August</v>
      </c>
      <c r="H583" s="2">
        <f t="shared" ca="1" si="19"/>
        <v>11</v>
      </c>
      <c r="I583" s="17"/>
      <c r="J583" s="18">
        <v>43924</v>
      </c>
      <c r="K583" s="19">
        <v>2</v>
      </c>
    </row>
    <row r="584" spans="1:11" x14ac:dyDescent="0.2">
      <c r="A584" s="11" t="s">
        <v>1430</v>
      </c>
      <c r="B584" s="14" t="s">
        <v>27</v>
      </c>
      <c r="C584" s="11" t="s">
        <v>214</v>
      </c>
      <c r="D584" s="15">
        <v>618005019</v>
      </c>
      <c r="E584" s="11" t="s">
        <v>29</v>
      </c>
      <c r="F584" s="20">
        <v>38788</v>
      </c>
      <c r="G584" s="16" t="str">
        <f t="shared" si="18"/>
        <v>March</v>
      </c>
      <c r="H584" s="2">
        <f t="shared" ca="1" si="19"/>
        <v>13</v>
      </c>
      <c r="I584" s="17" t="s">
        <v>30</v>
      </c>
      <c r="J584" s="18">
        <v>121149</v>
      </c>
      <c r="K584" s="19">
        <v>5</v>
      </c>
    </row>
    <row r="585" spans="1:11" x14ac:dyDescent="0.2">
      <c r="A585" s="11" t="s">
        <v>131</v>
      </c>
      <c r="B585" s="14" t="s">
        <v>36</v>
      </c>
      <c r="C585" s="11" t="s">
        <v>101</v>
      </c>
      <c r="D585" s="15">
        <v>710000589</v>
      </c>
      <c r="E585" s="11" t="s">
        <v>29</v>
      </c>
      <c r="F585" s="20">
        <v>36035</v>
      </c>
      <c r="G585" s="16" t="str">
        <f t="shared" si="18"/>
        <v>August</v>
      </c>
      <c r="H585" s="2">
        <f t="shared" ca="1" si="19"/>
        <v>20</v>
      </c>
      <c r="I585" s="17" t="s">
        <v>30</v>
      </c>
      <c r="J585" s="18">
        <v>58199</v>
      </c>
      <c r="K585" s="19">
        <v>2</v>
      </c>
    </row>
    <row r="586" spans="1:11" x14ac:dyDescent="0.2">
      <c r="A586" s="11" t="s">
        <v>1222</v>
      </c>
      <c r="B586" s="14" t="s">
        <v>36</v>
      </c>
      <c r="C586" s="11" t="s">
        <v>145</v>
      </c>
      <c r="D586" s="15">
        <v>889000902</v>
      </c>
      <c r="E586" s="11" t="s">
        <v>29</v>
      </c>
      <c r="F586" s="20">
        <v>39370</v>
      </c>
      <c r="G586" s="16" t="str">
        <f t="shared" si="18"/>
        <v>October</v>
      </c>
      <c r="H586" s="2">
        <f t="shared" ca="1" si="19"/>
        <v>11</v>
      </c>
      <c r="I586" s="17" t="s">
        <v>30</v>
      </c>
      <c r="J586" s="18">
        <v>65138</v>
      </c>
      <c r="K586" s="19">
        <v>3</v>
      </c>
    </row>
    <row r="587" spans="1:11" x14ac:dyDescent="0.2">
      <c r="A587" s="11" t="s">
        <v>723</v>
      </c>
      <c r="B587" s="14" t="s">
        <v>43</v>
      </c>
      <c r="C587" s="11" t="s">
        <v>214</v>
      </c>
      <c r="D587" s="15">
        <v>416004493</v>
      </c>
      <c r="E587" s="11" t="s">
        <v>29</v>
      </c>
      <c r="F587" s="20">
        <v>38794</v>
      </c>
      <c r="G587" s="16" t="str">
        <f t="shared" si="18"/>
        <v>March</v>
      </c>
      <c r="H587" s="2">
        <f t="shared" ca="1" si="19"/>
        <v>13</v>
      </c>
      <c r="I587" s="17" t="s">
        <v>38</v>
      </c>
      <c r="J587" s="18">
        <v>74858</v>
      </c>
      <c r="K587" s="19">
        <v>5</v>
      </c>
    </row>
    <row r="588" spans="1:11" x14ac:dyDescent="0.2">
      <c r="A588" s="11" t="s">
        <v>966</v>
      </c>
      <c r="B588" s="14" t="s">
        <v>27</v>
      </c>
      <c r="C588" s="11" t="s">
        <v>254</v>
      </c>
      <c r="D588" s="15">
        <v>248000119</v>
      </c>
      <c r="E588" s="11" t="s">
        <v>29</v>
      </c>
      <c r="F588" s="20">
        <v>38759</v>
      </c>
      <c r="G588" s="16" t="str">
        <f t="shared" si="18"/>
        <v>February</v>
      </c>
      <c r="H588" s="2">
        <f t="shared" ca="1" si="19"/>
        <v>13</v>
      </c>
      <c r="I588" s="17" t="s">
        <v>47</v>
      </c>
      <c r="J588" s="18">
        <v>92502</v>
      </c>
      <c r="K588" s="19">
        <v>5</v>
      </c>
    </row>
    <row r="589" spans="1:11" x14ac:dyDescent="0.2">
      <c r="A589" s="11" t="s">
        <v>352</v>
      </c>
      <c r="B589" s="14" t="s">
        <v>19</v>
      </c>
      <c r="C589" s="11" t="s">
        <v>136</v>
      </c>
      <c r="D589" s="15">
        <v>191009642</v>
      </c>
      <c r="E589" s="11" t="s">
        <v>29</v>
      </c>
      <c r="F589" s="20">
        <v>36217</v>
      </c>
      <c r="G589" s="16" t="str">
        <f t="shared" si="18"/>
        <v>February</v>
      </c>
      <c r="H589" s="2">
        <f t="shared" ca="1" si="19"/>
        <v>20</v>
      </c>
      <c r="I589" s="17" t="s">
        <v>47</v>
      </c>
      <c r="J589" s="18">
        <v>32522</v>
      </c>
      <c r="K589" s="19">
        <v>4</v>
      </c>
    </row>
    <row r="590" spans="1:11" x14ac:dyDescent="0.2">
      <c r="A590" s="11" t="s">
        <v>1134</v>
      </c>
      <c r="B590" s="14" t="s">
        <v>43</v>
      </c>
      <c r="C590" s="11" t="s">
        <v>254</v>
      </c>
      <c r="D590" s="15">
        <v>869004136</v>
      </c>
      <c r="E590" s="11" t="s">
        <v>29</v>
      </c>
      <c r="F590" s="20">
        <v>38195</v>
      </c>
      <c r="G590" s="16" t="str">
        <f t="shared" si="18"/>
        <v>July</v>
      </c>
      <c r="H590" s="2">
        <f t="shared" ca="1" si="19"/>
        <v>14</v>
      </c>
      <c r="I590" s="17" t="s">
        <v>30</v>
      </c>
      <c r="J590" s="18">
        <v>58604</v>
      </c>
      <c r="K590" s="19">
        <v>1</v>
      </c>
    </row>
    <row r="591" spans="1:11" x14ac:dyDescent="0.2">
      <c r="A591" s="11" t="s">
        <v>759</v>
      </c>
      <c r="B591" s="14" t="s">
        <v>27</v>
      </c>
      <c r="C591" s="11" t="s">
        <v>136</v>
      </c>
      <c r="D591" s="15">
        <v>967005612</v>
      </c>
      <c r="E591" s="11" t="s">
        <v>29</v>
      </c>
      <c r="F591" s="20">
        <v>37005</v>
      </c>
      <c r="G591" s="16" t="str">
        <f t="shared" si="18"/>
        <v>April</v>
      </c>
      <c r="H591" s="2">
        <f t="shared" ca="1" si="19"/>
        <v>18</v>
      </c>
      <c r="I591" s="17" t="s">
        <v>71</v>
      </c>
      <c r="J591" s="18">
        <v>85644</v>
      </c>
      <c r="K591" s="19">
        <v>3</v>
      </c>
    </row>
    <row r="592" spans="1:11" x14ac:dyDescent="0.2">
      <c r="A592" s="11" t="s">
        <v>275</v>
      </c>
      <c r="B592" s="14" t="s">
        <v>83</v>
      </c>
      <c r="C592" s="11" t="s">
        <v>265</v>
      </c>
      <c r="D592" s="15">
        <v>676001149</v>
      </c>
      <c r="E592" s="11" t="s">
        <v>29</v>
      </c>
      <c r="F592" s="20">
        <v>42244</v>
      </c>
      <c r="G592" s="16" t="str">
        <f t="shared" si="18"/>
        <v>August</v>
      </c>
      <c r="H592" s="2">
        <f t="shared" ca="1" si="19"/>
        <v>3</v>
      </c>
      <c r="I592" s="17" t="s">
        <v>47</v>
      </c>
      <c r="J592" s="18">
        <v>96012</v>
      </c>
      <c r="K592" s="19">
        <v>4</v>
      </c>
    </row>
    <row r="593" spans="1:11" x14ac:dyDescent="0.2">
      <c r="A593" s="11" t="s">
        <v>158</v>
      </c>
      <c r="B593" s="14" t="s">
        <v>19</v>
      </c>
      <c r="C593" s="4" t="s">
        <v>62</v>
      </c>
      <c r="D593" s="22">
        <v>535009723</v>
      </c>
      <c r="E593" s="4" t="s">
        <v>80</v>
      </c>
      <c r="F593" s="20">
        <v>36330</v>
      </c>
      <c r="G593" s="16" t="str">
        <f t="shared" si="18"/>
        <v>June</v>
      </c>
      <c r="H593" s="2">
        <f t="shared" ca="1" si="19"/>
        <v>19</v>
      </c>
      <c r="I593" s="17" t="s">
        <v>87</v>
      </c>
      <c r="J593" s="18">
        <v>41101</v>
      </c>
      <c r="K593" s="19">
        <v>1</v>
      </c>
    </row>
    <row r="594" spans="1:11" x14ac:dyDescent="0.2">
      <c r="A594" s="11" t="s">
        <v>129</v>
      </c>
      <c r="B594" s="14" t="s">
        <v>19</v>
      </c>
      <c r="C594" s="11" t="s">
        <v>127</v>
      </c>
      <c r="D594" s="15">
        <v>601002708</v>
      </c>
      <c r="E594" s="11" t="s">
        <v>80</v>
      </c>
      <c r="F594" s="20">
        <v>43008</v>
      </c>
      <c r="G594" s="16" t="str">
        <f t="shared" si="18"/>
        <v>September</v>
      </c>
      <c r="H594" s="2">
        <f t="shared" ca="1" si="19"/>
        <v>1</v>
      </c>
      <c r="I594" s="17" t="s">
        <v>30</v>
      </c>
      <c r="J594" s="18">
        <v>38718</v>
      </c>
      <c r="K594" s="19">
        <v>1</v>
      </c>
    </row>
    <row r="595" spans="1:11" x14ac:dyDescent="0.2">
      <c r="A595" s="11" t="s">
        <v>1460</v>
      </c>
      <c r="B595" s="14" t="s">
        <v>36</v>
      </c>
      <c r="C595" s="11" t="s">
        <v>145</v>
      </c>
      <c r="D595" s="15">
        <v>313008228</v>
      </c>
      <c r="E595" s="11" t="s">
        <v>29</v>
      </c>
      <c r="F595" s="20">
        <v>40481</v>
      </c>
      <c r="G595" s="16" t="str">
        <f t="shared" si="18"/>
        <v>October</v>
      </c>
      <c r="H595" s="2">
        <f t="shared" ca="1" si="19"/>
        <v>8</v>
      </c>
      <c r="I595" s="17" t="s">
        <v>30</v>
      </c>
      <c r="J595" s="18">
        <v>111362</v>
      </c>
      <c r="K595" s="19">
        <v>5</v>
      </c>
    </row>
    <row r="596" spans="1:11" x14ac:dyDescent="0.2">
      <c r="A596" s="11" t="s">
        <v>628</v>
      </c>
      <c r="B596" s="14" t="s">
        <v>83</v>
      </c>
      <c r="C596" s="11" t="s">
        <v>214</v>
      </c>
      <c r="D596" s="15">
        <v>396007504</v>
      </c>
      <c r="E596" s="11" t="s">
        <v>21</v>
      </c>
      <c r="F596" s="20">
        <v>39456</v>
      </c>
      <c r="G596" s="16" t="str">
        <f t="shared" si="18"/>
        <v>January</v>
      </c>
      <c r="H596" s="2">
        <f t="shared" ca="1" si="19"/>
        <v>11</v>
      </c>
      <c r="I596" s="17"/>
      <c r="J596" s="18">
        <v>56484</v>
      </c>
      <c r="K596" s="19">
        <v>2</v>
      </c>
    </row>
    <row r="597" spans="1:11" x14ac:dyDescent="0.2">
      <c r="A597" s="11" t="s">
        <v>186</v>
      </c>
      <c r="B597" s="14" t="s">
        <v>83</v>
      </c>
      <c r="C597" s="11" t="s">
        <v>20</v>
      </c>
      <c r="D597" s="15">
        <v>683002853</v>
      </c>
      <c r="E597" s="11" t="s">
        <v>21</v>
      </c>
      <c r="F597" s="20">
        <v>42778</v>
      </c>
      <c r="G597" s="16" t="str">
        <f t="shared" si="18"/>
        <v>February</v>
      </c>
      <c r="H597" s="2">
        <f t="shared" ca="1" si="19"/>
        <v>2</v>
      </c>
      <c r="I597" s="17"/>
      <c r="J597" s="18">
        <v>34817</v>
      </c>
      <c r="K597" s="19">
        <v>3</v>
      </c>
    </row>
    <row r="598" spans="1:11" x14ac:dyDescent="0.2">
      <c r="A598" s="11" t="s">
        <v>829</v>
      </c>
      <c r="B598" s="14" t="s">
        <v>51</v>
      </c>
      <c r="C598" s="11" t="s">
        <v>86</v>
      </c>
      <c r="D598" s="15">
        <v>345007459</v>
      </c>
      <c r="E598" s="11" t="s">
        <v>21</v>
      </c>
      <c r="F598" s="20">
        <v>39055</v>
      </c>
      <c r="G598" s="16" t="str">
        <f t="shared" si="18"/>
        <v>December</v>
      </c>
      <c r="H598" s="2">
        <f t="shared" ca="1" si="19"/>
        <v>12</v>
      </c>
      <c r="I598" s="17"/>
      <c r="J598" s="18">
        <v>42215</v>
      </c>
      <c r="K598" s="19">
        <v>5</v>
      </c>
    </row>
    <row r="599" spans="1:11" x14ac:dyDescent="0.2">
      <c r="A599" s="11" t="s">
        <v>1520</v>
      </c>
      <c r="B599" s="14" t="s">
        <v>43</v>
      </c>
      <c r="C599" s="11" t="s">
        <v>152</v>
      </c>
      <c r="D599" s="15">
        <v>667005362</v>
      </c>
      <c r="E599" s="11" t="s">
        <v>21</v>
      </c>
      <c r="F599" s="20">
        <v>42584</v>
      </c>
      <c r="G599" s="16" t="str">
        <f t="shared" si="18"/>
        <v>August</v>
      </c>
      <c r="H599" s="2">
        <f t="shared" ca="1" si="19"/>
        <v>2</v>
      </c>
      <c r="I599" s="17"/>
      <c r="J599" s="18">
        <v>116154</v>
      </c>
      <c r="K599" s="19">
        <v>5</v>
      </c>
    </row>
    <row r="600" spans="1:11" x14ac:dyDescent="0.2">
      <c r="A600" s="11" t="s">
        <v>35</v>
      </c>
      <c r="B600" s="14" t="s">
        <v>36</v>
      </c>
      <c r="C600" s="4" t="s">
        <v>37</v>
      </c>
      <c r="D600" s="22">
        <v>991006720</v>
      </c>
      <c r="E600" s="4" t="s">
        <v>29</v>
      </c>
      <c r="F600" s="20">
        <v>42303</v>
      </c>
      <c r="G600" s="16" t="str">
        <f t="shared" si="18"/>
        <v>October</v>
      </c>
      <c r="H600" s="2">
        <f t="shared" ca="1" si="19"/>
        <v>3</v>
      </c>
      <c r="I600" s="17" t="s">
        <v>38</v>
      </c>
      <c r="J600" s="18">
        <v>98321</v>
      </c>
      <c r="K600" s="19">
        <v>2</v>
      </c>
    </row>
    <row r="601" spans="1:11" x14ac:dyDescent="0.2">
      <c r="A601" s="11" t="s">
        <v>550</v>
      </c>
      <c r="B601" s="14" t="s">
        <v>43</v>
      </c>
      <c r="C601" s="11" t="s">
        <v>214</v>
      </c>
      <c r="D601" s="15">
        <v>466007318</v>
      </c>
      <c r="E601" s="11" t="s">
        <v>29</v>
      </c>
      <c r="F601" s="20">
        <v>43434</v>
      </c>
      <c r="G601" s="16" t="str">
        <f t="shared" si="18"/>
        <v>November</v>
      </c>
      <c r="H601" s="2">
        <f t="shared" ca="1" si="19"/>
        <v>0</v>
      </c>
      <c r="I601" s="17" t="s">
        <v>47</v>
      </c>
      <c r="J601" s="18">
        <v>59157</v>
      </c>
      <c r="K601" s="19">
        <v>2</v>
      </c>
    </row>
    <row r="602" spans="1:11" x14ac:dyDescent="0.2">
      <c r="A602" s="11" t="s">
        <v>1352</v>
      </c>
      <c r="B602" s="14" t="s">
        <v>36</v>
      </c>
      <c r="C602" s="11" t="s">
        <v>152</v>
      </c>
      <c r="D602" s="15">
        <v>626008632</v>
      </c>
      <c r="E602" s="11" t="s">
        <v>21</v>
      </c>
      <c r="F602" s="20">
        <v>40309</v>
      </c>
      <c r="G602" s="16" t="str">
        <f t="shared" si="18"/>
        <v>May</v>
      </c>
      <c r="H602" s="2">
        <f t="shared" ca="1" si="19"/>
        <v>9</v>
      </c>
      <c r="I602" s="17"/>
      <c r="J602" s="18">
        <v>66272</v>
      </c>
      <c r="K602" s="19">
        <v>4</v>
      </c>
    </row>
    <row r="603" spans="1:11" x14ac:dyDescent="0.2">
      <c r="A603" s="11" t="s">
        <v>1502</v>
      </c>
      <c r="B603" s="14" t="s">
        <v>27</v>
      </c>
      <c r="C603" s="11" t="s">
        <v>145</v>
      </c>
      <c r="D603" s="15">
        <v>983007016</v>
      </c>
      <c r="E603" s="11" t="s">
        <v>21</v>
      </c>
      <c r="F603" s="20">
        <v>41649</v>
      </c>
      <c r="G603" s="16" t="str">
        <f t="shared" si="18"/>
        <v>January</v>
      </c>
      <c r="H603" s="2">
        <f t="shared" ca="1" si="19"/>
        <v>5</v>
      </c>
      <c r="I603" s="17"/>
      <c r="J603" s="18">
        <v>116006</v>
      </c>
      <c r="K603" s="19">
        <v>2</v>
      </c>
    </row>
    <row r="604" spans="1:11" x14ac:dyDescent="0.2">
      <c r="A604" s="11" t="s">
        <v>673</v>
      </c>
      <c r="B604" s="14" t="s">
        <v>43</v>
      </c>
      <c r="C604" s="11" t="s">
        <v>214</v>
      </c>
      <c r="D604" s="15">
        <v>138007245</v>
      </c>
      <c r="E604" s="11" t="s">
        <v>21</v>
      </c>
      <c r="F604" s="20">
        <v>36909</v>
      </c>
      <c r="G604" s="16" t="str">
        <f t="shared" si="18"/>
        <v>January</v>
      </c>
      <c r="H604" s="2">
        <f t="shared" ca="1" si="19"/>
        <v>18</v>
      </c>
      <c r="I604" s="17"/>
      <c r="J604" s="18">
        <v>106947</v>
      </c>
      <c r="K604" s="19">
        <v>4</v>
      </c>
    </row>
    <row r="605" spans="1:11" x14ac:dyDescent="0.2">
      <c r="A605" s="11" t="s">
        <v>1078</v>
      </c>
      <c r="B605" s="14" t="s">
        <v>36</v>
      </c>
      <c r="C605" s="11" t="s">
        <v>214</v>
      </c>
      <c r="D605" s="15">
        <v>906001388</v>
      </c>
      <c r="E605" s="11" t="s">
        <v>21</v>
      </c>
      <c r="F605" s="20">
        <v>38216</v>
      </c>
      <c r="G605" s="16" t="str">
        <f t="shared" si="18"/>
        <v>August</v>
      </c>
      <c r="H605" s="2">
        <f t="shared" ca="1" si="19"/>
        <v>14</v>
      </c>
      <c r="I605" s="17"/>
      <c r="J605" s="18">
        <v>38151</v>
      </c>
      <c r="K605" s="19">
        <v>5</v>
      </c>
    </row>
    <row r="606" spans="1:11" x14ac:dyDescent="0.2">
      <c r="A606" s="11" t="s">
        <v>739</v>
      </c>
      <c r="B606" s="14" t="s">
        <v>19</v>
      </c>
      <c r="C606" s="11" t="s">
        <v>214</v>
      </c>
      <c r="D606" s="15">
        <v>569001716</v>
      </c>
      <c r="E606" s="11" t="s">
        <v>80</v>
      </c>
      <c r="F606" s="20">
        <v>39033</v>
      </c>
      <c r="G606" s="16" t="str">
        <f t="shared" si="18"/>
        <v>November</v>
      </c>
      <c r="H606" s="2">
        <f t="shared" ca="1" si="19"/>
        <v>12</v>
      </c>
      <c r="I606" s="17" t="s">
        <v>38</v>
      </c>
      <c r="J606" s="18">
        <v>29255</v>
      </c>
      <c r="K606" s="19">
        <v>2</v>
      </c>
    </row>
    <row r="607" spans="1:11" x14ac:dyDescent="0.2">
      <c r="A607" s="11" t="s">
        <v>731</v>
      </c>
      <c r="B607" s="14" t="s">
        <v>27</v>
      </c>
      <c r="C607" s="11" t="s">
        <v>86</v>
      </c>
      <c r="D607" s="15">
        <v>422007475</v>
      </c>
      <c r="E607" s="11" t="s">
        <v>29</v>
      </c>
      <c r="F607" s="20">
        <v>37033</v>
      </c>
      <c r="G607" s="16" t="str">
        <f t="shared" si="18"/>
        <v>May</v>
      </c>
      <c r="H607" s="2">
        <f t="shared" ca="1" si="19"/>
        <v>18</v>
      </c>
      <c r="I607" s="17" t="s">
        <v>30</v>
      </c>
      <c r="J607" s="18">
        <v>88088</v>
      </c>
      <c r="K607" s="19">
        <v>2</v>
      </c>
    </row>
    <row r="608" spans="1:11" x14ac:dyDescent="0.2">
      <c r="A608" s="11" t="s">
        <v>1362</v>
      </c>
      <c r="B608" s="14" t="s">
        <v>19</v>
      </c>
      <c r="C608" s="11" t="s">
        <v>864</v>
      </c>
      <c r="D608" s="15">
        <v>121008720</v>
      </c>
      <c r="E608" s="11" t="s">
        <v>21</v>
      </c>
      <c r="F608" s="20">
        <v>38423</v>
      </c>
      <c r="G608" s="16" t="str">
        <f t="shared" si="18"/>
        <v>March</v>
      </c>
      <c r="H608" s="2">
        <f t="shared" ca="1" si="19"/>
        <v>14</v>
      </c>
      <c r="I608" s="17"/>
      <c r="J608" s="18">
        <v>60507</v>
      </c>
      <c r="K608" s="19">
        <v>4</v>
      </c>
    </row>
    <row r="609" spans="1:11" x14ac:dyDescent="0.2">
      <c r="A609" s="11" t="s">
        <v>411</v>
      </c>
      <c r="B609" s="14" t="s">
        <v>51</v>
      </c>
      <c r="C609" s="11" t="s">
        <v>59</v>
      </c>
      <c r="D609" s="15">
        <v>281005046</v>
      </c>
      <c r="E609" s="11" t="s">
        <v>21</v>
      </c>
      <c r="F609" s="20">
        <v>42910</v>
      </c>
      <c r="G609" s="16" t="str">
        <f t="shared" si="18"/>
        <v>June</v>
      </c>
      <c r="H609" s="2">
        <f t="shared" ca="1" si="19"/>
        <v>1</v>
      </c>
      <c r="I609" s="17"/>
      <c r="J609" s="18">
        <v>76842</v>
      </c>
      <c r="K609" s="19">
        <v>4</v>
      </c>
    </row>
    <row r="610" spans="1:11" x14ac:dyDescent="0.2">
      <c r="A610" s="11" t="s">
        <v>144</v>
      </c>
      <c r="B610" s="14" t="s">
        <v>43</v>
      </c>
      <c r="C610" s="11" t="s">
        <v>145</v>
      </c>
      <c r="D610" s="15">
        <v>352001400</v>
      </c>
      <c r="E610" s="11" t="s">
        <v>56</v>
      </c>
      <c r="F610" s="20">
        <v>36112</v>
      </c>
      <c r="G610" s="16" t="str">
        <f t="shared" si="18"/>
        <v>November</v>
      </c>
      <c r="H610" s="2">
        <f t="shared" ca="1" si="19"/>
        <v>20</v>
      </c>
      <c r="I610" s="17"/>
      <c r="J610" s="18">
        <v>41132</v>
      </c>
      <c r="K610" s="19">
        <v>2</v>
      </c>
    </row>
    <row r="611" spans="1:11" x14ac:dyDescent="0.2">
      <c r="A611" s="11" t="s">
        <v>841</v>
      </c>
      <c r="B611" s="14" t="s">
        <v>43</v>
      </c>
      <c r="C611" s="11" t="s">
        <v>86</v>
      </c>
      <c r="D611" s="15">
        <v>132006163</v>
      </c>
      <c r="E611" s="11" t="s">
        <v>80</v>
      </c>
      <c r="F611" s="20">
        <v>42727</v>
      </c>
      <c r="G611" s="16" t="str">
        <f t="shared" si="18"/>
        <v>December</v>
      </c>
      <c r="H611" s="2">
        <f t="shared" ca="1" si="19"/>
        <v>2</v>
      </c>
      <c r="I611" s="17" t="s">
        <v>38</v>
      </c>
      <c r="J611" s="18">
        <v>52076</v>
      </c>
      <c r="K611" s="19">
        <v>2</v>
      </c>
    </row>
    <row r="612" spans="1:11" x14ac:dyDescent="0.2">
      <c r="A612" s="11" t="s">
        <v>1140</v>
      </c>
      <c r="B612" s="14" t="s">
        <v>36</v>
      </c>
      <c r="C612" s="11" t="s">
        <v>136</v>
      </c>
      <c r="D612" s="15">
        <v>920005140</v>
      </c>
      <c r="E612" s="11" t="s">
        <v>29</v>
      </c>
      <c r="F612" s="20">
        <v>41646</v>
      </c>
      <c r="G612" s="16" t="str">
        <f t="shared" si="18"/>
        <v>January</v>
      </c>
      <c r="H612" s="2">
        <f t="shared" ca="1" si="19"/>
        <v>5</v>
      </c>
      <c r="I612" s="17" t="s">
        <v>87</v>
      </c>
      <c r="J612" s="18">
        <v>84629</v>
      </c>
      <c r="K612" s="19">
        <v>3</v>
      </c>
    </row>
    <row r="613" spans="1:11" x14ac:dyDescent="0.2">
      <c r="A613" s="11" t="s">
        <v>1470</v>
      </c>
      <c r="B613" s="14" t="s">
        <v>83</v>
      </c>
      <c r="C613" s="11" t="s">
        <v>152</v>
      </c>
      <c r="D613" s="15">
        <v>276003359</v>
      </c>
      <c r="E613" s="11" t="s">
        <v>29</v>
      </c>
      <c r="F613" s="20">
        <v>42027</v>
      </c>
      <c r="G613" s="16" t="str">
        <f t="shared" si="18"/>
        <v>January</v>
      </c>
      <c r="H613" s="2">
        <f t="shared" ca="1" si="19"/>
        <v>4</v>
      </c>
      <c r="I613" s="17" t="s">
        <v>38</v>
      </c>
      <c r="J613" s="18">
        <v>34682</v>
      </c>
      <c r="K613" s="19">
        <v>2</v>
      </c>
    </row>
    <row r="614" spans="1:11" x14ac:dyDescent="0.2">
      <c r="A614" s="11" t="s">
        <v>554</v>
      </c>
      <c r="B614" s="14" t="s">
        <v>27</v>
      </c>
      <c r="C614" s="11" t="s">
        <v>145</v>
      </c>
      <c r="D614" s="15">
        <v>693005055</v>
      </c>
      <c r="E614" s="11" t="s">
        <v>29</v>
      </c>
      <c r="F614" s="20">
        <v>36567</v>
      </c>
      <c r="G614" s="16" t="str">
        <f t="shared" si="18"/>
        <v>February</v>
      </c>
      <c r="H614" s="2">
        <f t="shared" ca="1" si="19"/>
        <v>19</v>
      </c>
      <c r="I614" s="17" t="s">
        <v>47</v>
      </c>
      <c r="J614" s="18">
        <v>92435</v>
      </c>
      <c r="K614" s="19">
        <v>4</v>
      </c>
    </row>
    <row r="615" spans="1:11" x14ac:dyDescent="0.2">
      <c r="A615" s="11" t="s">
        <v>709</v>
      </c>
      <c r="B615" s="14" t="s">
        <v>27</v>
      </c>
      <c r="C615" s="11" t="s">
        <v>214</v>
      </c>
      <c r="D615" s="15">
        <v>399000898</v>
      </c>
      <c r="E615" s="11" t="s">
        <v>21</v>
      </c>
      <c r="F615" s="20">
        <v>41177</v>
      </c>
      <c r="G615" s="16" t="str">
        <f t="shared" si="18"/>
        <v>September</v>
      </c>
      <c r="H615" s="2">
        <f t="shared" ca="1" si="19"/>
        <v>6</v>
      </c>
      <c r="I615" s="17"/>
      <c r="J615" s="18">
        <v>51273</v>
      </c>
      <c r="K615" s="19">
        <v>4</v>
      </c>
    </row>
    <row r="616" spans="1:11" x14ac:dyDescent="0.2">
      <c r="A616" s="11" t="s">
        <v>1368</v>
      </c>
      <c r="B616" s="14" t="s">
        <v>51</v>
      </c>
      <c r="C616" s="11" t="s">
        <v>136</v>
      </c>
      <c r="D616" s="15">
        <v>698002533</v>
      </c>
      <c r="E616" s="11" t="s">
        <v>21</v>
      </c>
      <c r="F616" s="20">
        <v>38555</v>
      </c>
      <c r="G616" s="16" t="str">
        <f t="shared" si="18"/>
        <v>July</v>
      </c>
      <c r="H616" s="2">
        <f t="shared" ca="1" si="19"/>
        <v>13</v>
      </c>
      <c r="I616" s="17"/>
      <c r="J616" s="18">
        <v>48911</v>
      </c>
      <c r="K616" s="19">
        <v>2</v>
      </c>
    </row>
    <row r="617" spans="1:11" x14ac:dyDescent="0.2">
      <c r="A617" s="11" t="s">
        <v>570</v>
      </c>
      <c r="B617" s="14" t="s">
        <v>27</v>
      </c>
      <c r="C617" s="11" t="s">
        <v>145</v>
      </c>
      <c r="D617" s="15">
        <v>195002503</v>
      </c>
      <c r="E617" s="11" t="s">
        <v>21</v>
      </c>
      <c r="F617" s="20">
        <v>36770</v>
      </c>
      <c r="G617" s="16" t="str">
        <f t="shared" si="18"/>
        <v>September</v>
      </c>
      <c r="H617" s="2">
        <f t="shared" ca="1" si="19"/>
        <v>18</v>
      </c>
      <c r="I617" s="17"/>
      <c r="J617" s="18">
        <v>75182</v>
      </c>
      <c r="K617" s="19">
        <v>2</v>
      </c>
    </row>
    <row r="618" spans="1:11" x14ac:dyDescent="0.2">
      <c r="A618" s="11" t="s">
        <v>1310</v>
      </c>
      <c r="B618" s="14" t="s">
        <v>43</v>
      </c>
      <c r="C618" s="11" t="s">
        <v>214</v>
      </c>
      <c r="D618" s="15">
        <v>661000671</v>
      </c>
      <c r="E618" s="11" t="s">
        <v>56</v>
      </c>
      <c r="F618" s="20">
        <v>38685</v>
      </c>
      <c r="G618" s="16" t="str">
        <f t="shared" si="18"/>
        <v>November</v>
      </c>
      <c r="H618" s="2">
        <f t="shared" ca="1" si="19"/>
        <v>13</v>
      </c>
      <c r="I618" s="17"/>
      <c r="J618" s="18">
        <v>39388</v>
      </c>
      <c r="K618" s="19">
        <v>3</v>
      </c>
    </row>
    <row r="619" spans="1:11" x14ac:dyDescent="0.2">
      <c r="A619" s="11" t="s">
        <v>1328</v>
      </c>
      <c r="B619" s="14" t="s">
        <v>27</v>
      </c>
      <c r="C619" s="11" t="s">
        <v>145</v>
      </c>
      <c r="D619" s="15">
        <v>125000405</v>
      </c>
      <c r="E619" s="11" t="s">
        <v>29</v>
      </c>
      <c r="F619" s="20">
        <v>39101</v>
      </c>
      <c r="G619" s="16" t="str">
        <f t="shared" si="18"/>
        <v>January</v>
      </c>
      <c r="H619" s="2">
        <f t="shared" ca="1" si="19"/>
        <v>12</v>
      </c>
      <c r="I619" s="17" t="s">
        <v>47</v>
      </c>
      <c r="J619" s="18">
        <v>78854</v>
      </c>
      <c r="K619" s="19">
        <v>5</v>
      </c>
    </row>
    <row r="620" spans="1:11" x14ac:dyDescent="0.2">
      <c r="A620" s="11" t="s">
        <v>273</v>
      </c>
      <c r="B620" s="14" t="s">
        <v>19</v>
      </c>
      <c r="C620" s="11" t="s">
        <v>265</v>
      </c>
      <c r="D620" s="15">
        <v>106006222</v>
      </c>
      <c r="E620" s="11" t="s">
        <v>21</v>
      </c>
      <c r="F620" s="20">
        <v>42385</v>
      </c>
      <c r="G620" s="16" t="str">
        <f t="shared" si="18"/>
        <v>January</v>
      </c>
      <c r="H620" s="2">
        <f t="shared" ca="1" si="19"/>
        <v>3</v>
      </c>
      <c r="I620" s="17"/>
      <c r="J620" s="18">
        <v>48087</v>
      </c>
      <c r="K620" s="19">
        <v>4</v>
      </c>
    </row>
    <row r="621" spans="1:11" x14ac:dyDescent="0.2">
      <c r="A621" s="11" t="s">
        <v>475</v>
      </c>
      <c r="B621" s="14" t="s">
        <v>43</v>
      </c>
      <c r="C621" s="11" t="s">
        <v>214</v>
      </c>
      <c r="D621" s="15">
        <v>467000396</v>
      </c>
      <c r="E621" s="11" t="s">
        <v>29</v>
      </c>
      <c r="F621" s="20">
        <v>36576</v>
      </c>
      <c r="G621" s="16" t="str">
        <f t="shared" si="18"/>
        <v>February</v>
      </c>
      <c r="H621" s="2">
        <f t="shared" ca="1" si="19"/>
        <v>19</v>
      </c>
      <c r="I621" s="17" t="s">
        <v>30</v>
      </c>
      <c r="J621" s="18">
        <v>79529</v>
      </c>
      <c r="K621" s="19">
        <v>1</v>
      </c>
    </row>
    <row r="622" spans="1:11" x14ac:dyDescent="0.2">
      <c r="A622" s="11" t="s">
        <v>924</v>
      </c>
      <c r="B622" s="14" t="s">
        <v>19</v>
      </c>
      <c r="C622" s="11" t="s">
        <v>254</v>
      </c>
      <c r="D622" s="15">
        <v>816007187</v>
      </c>
      <c r="E622" s="11" t="s">
        <v>56</v>
      </c>
      <c r="F622" s="20">
        <v>43308</v>
      </c>
      <c r="G622" s="16" t="str">
        <f t="shared" si="18"/>
        <v>July</v>
      </c>
      <c r="H622" s="2">
        <f t="shared" ca="1" si="19"/>
        <v>0</v>
      </c>
      <c r="I622" s="17"/>
      <c r="J622" s="18">
        <v>12393</v>
      </c>
      <c r="K622" s="19">
        <v>3</v>
      </c>
    </row>
    <row r="623" spans="1:11" x14ac:dyDescent="0.2">
      <c r="A623" s="11" t="s">
        <v>156</v>
      </c>
      <c r="B623" s="14" t="s">
        <v>43</v>
      </c>
      <c r="C623" s="4" t="s">
        <v>37</v>
      </c>
      <c r="D623" s="22">
        <v>914008485</v>
      </c>
      <c r="E623" s="4" t="s">
        <v>80</v>
      </c>
      <c r="F623" s="20">
        <v>36146</v>
      </c>
      <c r="G623" s="16" t="str">
        <f t="shared" si="18"/>
        <v>December</v>
      </c>
      <c r="H623" s="2">
        <f t="shared" ca="1" si="19"/>
        <v>20</v>
      </c>
      <c r="I623" s="17" t="s">
        <v>87</v>
      </c>
      <c r="J623" s="18">
        <v>36173</v>
      </c>
      <c r="K623" s="19">
        <v>4</v>
      </c>
    </row>
    <row r="624" spans="1:11" x14ac:dyDescent="0.2">
      <c r="A624" s="11" t="s">
        <v>954</v>
      </c>
      <c r="B624" s="14" t="s">
        <v>27</v>
      </c>
      <c r="C624" s="11" t="s">
        <v>214</v>
      </c>
      <c r="D624" s="15">
        <v>565002209</v>
      </c>
      <c r="E624" s="11" t="s">
        <v>29</v>
      </c>
      <c r="F624" s="20">
        <v>37827</v>
      </c>
      <c r="G624" s="16" t="str">
        <f t="shared" si="18"/>
        <v>July</v>
      </c>
      <c r="H624" s="2">
        <f t="shared" ca="1" si="19"/>
        <v>15</v>
      </c>
      <c r="I624" s="17" t="s">
        <v>30</v>
      </c>
      <c r="J624" s="18">
        <v>90518</v>
      </c>
      <c r="K624" s="19">
        <v>4</v>
      </c>
    </row>
    <row r="625" spans="1:11" x14ac:dyDescent="0.2">
      <c r="A625" s="11" t="s">
        <v>807</v>
      </c>
      <c r="B625" s="14" t="s">
        <v>19</v>
      </c>
      <c r="C625" s="11" t="s">
        <v>152</v>
      </c>
      <c r="D625" s="15">
        <v>750006979</v>
      </c>
      <c r="E625" s="11" t="s">
        <v>80</v>
      </c>
      <c r="F625" s="20">
        <v>36898</v>
      </c>
      <c r="G625" s="16" t="str">
        <f t="shared" si="18"/>
        <v>January</v>
      </c>
      <c r="H625" s="2">
        <f t="shared" ca="1" si="19"/>
        <v>18</v>
      </c>
      <c r="I625" s="17" t="s">
        <v>38</v>
      </c>
      <c r="J625" s="18">
        <v>37409</v>
      </c>
      <c r="K625" s="19">
        <v>3</v>
      </c>
    </row>
    <row r="626" spans="1:11" x14ac:dyDescent="0.2">
      <c r="A626" s="11" t="s">
        <v>1426</v>
      </c>
      <c r="B626" s="14" t="s">
        <v>83</v>
      </c>
      <c r="C626" s="11" t="s">
        <v>152</v>
      </c>
      <c r="D626" s="15">
        <v>658002625</v>
      </c>
      <c r="E626" s="11" t="s">
        <v>80</v>
      </c>
      <c r="F626" s="20">
        <v>38909</v>
      </c>
      <c r="G626" s="16" t="str">
        <f t="shared" si="18"/>
        <v>July</v>
      </c>
      <c r="H626" s="2">
        <f t="shared" ca="1" si="19"/>
        <v>12</v>
      </c>
      <c r="I626" s="17" t="s">
        <v>71</v>
      </c>
      <c r="J626" s="18">
        <v>62242</v>
      </c>
      <c r="K626" s="19">
        <v>5</v>
      </c>
    </row>
    <row r="627" spans="1:11" x14ac:dyDescent="0.2">
      <c r="A627" s="11" t="s">
        <v>592</v>
      </c>
      <c r="B627" s="14" t="s">
        <v>27</v>
      </c>
      <c r="C627" s="11" t="s">
        <v>214</v>
      </c>
      <c r="D627" s="15">
        <v>635007088</v>
      </c>
      <c r="E627" s="11" t="s">
        <v>21</v>
      </c>
      <c r="F627" s="20">
        <v>39833</v>
      </c>
      <c r="G627" s="16" t="str">
        <f t="shared" si="18"/>
        <v>January</v>
      </c>
      <c r="H627" s="2">
        <f t="shared" ca="1" si="19"/>
        <v>10</v>
      </c>
      <c r="I627" s="17"/>
      <c r="J627" s="18">
        <v>92489</v>
      </c>
      <c r="K627" s="19">
        <v>5</v>
      </c>
    </row>
    <row r="628" spans="1:11" x14ac:dyDescent="0.2">
      <c r="A628" s="11" t="s">
        <v>1312</v>
      </c>
      <c r="B628" s="14" t="s">
        <v>43</v>
      </c>
      <c r="C628" s="11" t="s">
        <v>214</v>
      </c>
      <c r="D628" s="15">
        <v>136000388</v>
      </c>
      <c r="E628" s="11" t="s">
        <v>29</v>
      </c>
      <c r="F628" s="20">
        <v>38570</v>
      </c>
      <c r="G628" s="16" t="str">
        <f t="shared" si="18"/>
        <v>August</v>
      </c>
      <c r="H628" s="2">
        <f t="shared" ca="1" si="19"/>
        <v>13</v>
      </c>
      <c r="I628" s="17" t="s">
        <v>87</v>
      </c>
      <c r="J628" s="18">
        <v>94527</v>
      </c>
      <c r="K628" s="19">
        <v>3</v>
      </c>
    </row>
    <row r="629" spans="1:11" x14ac:dyDescent="0.2">
      <c r="A629" s="11" t="s">
        <v>1220</v>
      </c>
      <c r="B629" s="14" t="s">
        <v>43</v>
      </c>
      <c r="C629" s="11" t="s">
        <v>145</v>
      </c>
      <c r="D629" s="15">
        <v>518009092</v>
      </c>
      <c r="E629" s="11" t="s">
        <v>56</v>
      </c>
      <c r="F629" s="20">
        <v>38725</v>
      </c>
      <c r="G629" s="16" t="str">
        <f t="shared" si="18"/>
        <v>January</v>
      </c>
      <c r="H629" s="2">
        <f t="shared" ca="1" si="19"/>
        <v>13</v>
      </c>
      <c r="I629" s="17"/>
      <c r="J629" s="18">
        <v>24181</v>
      </c>
      <c r="K629" s="19">
        <v>5</v>
      </c>
    </row>
    <row r="630" spans="1:11" x14ac:dyDescent="0.2">
      <c r="A630" s="11" t="s">
        <v>388</v>
      </c>
      <c r="B630" s="14" t="s">
        <v>27</v>
      </c>
      <c r="C630" s="11" t="s">
        <v>152</v>
      </c>
      <c r="D630" s="15">
        <v>277003593</v>
      </c>
      <c r="E630" s="11" t="s">
        <v>80</v>
      </c>
      <c r="F630" s="20">
        <v>36247</v>
      </c>
      <c r="G630" s="16" t="str">
        <f t="shared" si="18"/>
        <v>March</v>
      </c>
      <c r="H630" s="2">
        <f t="shared" ca="1" si="19"/>
        <v>20</v>
      </c>
      <c r="I630" s="17" t="s">
        <v>30</v>
      </c>
      <c r="J630" s="18">
        <v>18164</v>
      </c>
      <c r="K630" s="19">
        <v>2</v>
      </c>
    </row>
    <row r="631" spans="1:11" x14ac:dyDescent="0.2">
      <c r="A631" s="11" t="s">
        <v>184</v>
      </c>
      <c r="B631" s="14" t="s">
        <v>43</v>
      </c>
      <c r="C631" s="11" t="s">
        <v>20</v>
      </c>
      <c r="D631" s="15">
        <v>474009228</v>
      </c>
      <c r="E631" s="11" t="s">
        <v>21</v>
      </c>
      <c r="F631" s="20">
        <v>38943</v>
      </c>
      <c r="G631" s="16" t="str">
        <f t="shared" si="18"/>
        <v>August</v>
      </c>
      <c r="H631" s="2">
        <f t="shared" ca="1" si="19"/>
        <v>12</v>
      </c>
      <c r="I631" s="17"/>
      <c r="J631" s="18">
        <v>103856</v>
      </c>
      <c r="K631" s="19">
        <v>1</v>
      </c>
    </row>
    <row r="632" spans="1:11" x14ac:dyDescent="0.2">
      <c r="A632" s="11" t="s">
        <v>1514</v>
      </c>
      <c r="B632" s="14" t="s">
        <v>43</v>
      </c>
      <c r="C632" s="11" t="s">
        <v>254</v>
      </c>
      <c r="D632" s="15">
        <v>847001774</v>
      </c>
      <c r="E632" s="11" t="s">
        <v>29</v>
      </c>
      <c r="F632" s="20">
        <v>42513</v>
      </c>
      <c r="G632" s="16" t="str">
        <f t="shared" si="18"/>
        <v>May</v>
      </c>
      <c r="H632" s="2">
        <f t="shared" ca="1" si="19"/>
        <v>3</v>
      </c>
      <c r="I632" s="17" t="s">
        <v>71</v>
      </c>
      <c r="J632" s="18">
        <v>109188</v>
      </c>
      <c r="K632" s="19">
        <v>1</v>
      </c>
    </row>
    <row r="633" spans="1:11" x14ac:dyDescent="0.2">
      <c r="A633" s="11" t="s">
        <v>741</v>
      </c>
      <c r="B633" s="14" t="s">
        <v>19</v>
      </c>
      <c r="C633" s="11" t="s">
        <v>214</v>
      </c>
      <c r="D633" s="15">
        <v>665003893</v>
      </c>
      <c r="E633" s="11" t="s">
        <v>56</v>
      </c>
      <c r="F633" s="20">
        <v>43430</v>
      </c>
      <c r="G633" s="16" t="str">
        <f t="shared" si="18"/>
        <v>November</v>
      </c>
      <c r="H633" s="2">
        <f t="shared" ca="1" si="19"/>
        <v>0</v>
      </c>
      <c r="I633" s="17"/>
      <c r="J633" s="18">
        <v>38372</v>
      </c>
      <c r="K633" s="19">
        <v>4</v>
      </c>
    </row>
    <row r="634" spans="1:11" x14ac:dyDescent="0.2">
      <c r="A634" s="11" t="s">
        <v>251</v>
      </c>
      <c r="B634" s="14" t="s">
        <v>43</v>
      </c>
      <c r="C634" s="11" t="s">
        <v>20</v>
      </c>
      <c r="D634" s="15">
        <v>676004152</v>
      </c>
      <c r="E634" s="11" t="s">
        <v>29</v>
      </c>
      <c r="F634" s="20">
        <v>43148</v>
      </c>
      <c r="G634" s="16" t="str">
        <f t="shared" si="18"/>
        <v>February</v>
      </c>
      <c r="H634" s="2">
        <f t="shared" ca="1" si="19"/>
        <v>1</v>
      </c>
      <c r="I634" s="17" t="s">
        <v>47</v>
      </c>
      <c r="J634" s="18">
        <v>31428</v>
      </c>
      <c r="K634" s="19">
        <v>1</v>
      </c>
    </row>
    <row r="635" spans="1:11" x14ac:dyDescent="0.2">
      <c r="A635" s="11" t="s">
        <v>1030</v>
      </c>
      <c r="B635" s="14" t="s">
        <v>43</v>
      </c>
      <c r="C635" s="11" t="s">
        <v>136</v>
      </c>
      <c r="D635" s="15">
        <v>570006015</v>
      </c>
      <c r="E635" s="11" t="s">
        <v>80</v>
      </c>
      <c r="F635" s="20">
        <v>43277</v>
      </c>
      <c r="G635" s="16" t="str">
        <f t="shared" si="18"/>
        <v>June</v>
      </c>
      <c r="H635" s="2">
        <f t="shared" ca="1" si="19"/>
        <v>0</v>
      </c>
      <c r="I635" s="17" t="s">
        <v>87</v>
      </c>
      <c r="J635" s="18">
        <v>66629</v>
      </c>
      <c r="K635" s="19">
        <v>5</v>
      </c>
    </row>
    <row r="636" spans="1:11" x14ac:dyDescent="0.2">
      <c r="A636" s="11" t="s">
        <v>1428</v>
      </c>
      <c r="B636" s="14" t="s">
        <v>51</v>
      </c>
      <c r="C636" s="11" t="s">
        <v>59</v>
      </c>
      <c r="D636" s="15">
        <v>212006062</v>
      </c>
      <c r="E636" s="11" t="s">
        <v>29</v>
      </c>
      <c r="F636" s="20">
        <v>38938</v>
      </c>
      <c r="G636" s="16" t="str">
        <f t="shared" si="18"/>
        <v>August</v>
      </c>
      <c r="H636" s="2">
        <f t="shared" ca="1" si="19"/>
        <v>12</v>
      </c>
      <c r="I636" s="17" t="s">
        <v>30</v>
      </c>
      <c r="J636" s="18">
        <v>111240</v>
      </c>
      <c r="K636" s="19">
        <v>2</v>
      </c>
    </row>
    <row r="637" spans="1:11" x14ac:dyDescent="0.2">
      <c r="A637" s="11" t="s">
        <v>1510</v>
      </c>
      <c r="B637" s="14" t="s">
        <v>19</v>
      </c>
      <c r="C637" s="11" t="s">
        <v>214</v>
      </c>
      <c r="D637" s="15">
        <v>829006164</v>
      </c>
      <c r="E637" s="11" t="s">
        <v>21</v>
      </c>
      <c r="F637" s="20">
        <v>42401</v>
      </c>
      <c r="G637" s="16" t="str">
        <f t="shared" si="18"/>
        <v>February</v>
      </c>
      <c r="H637" s="2">
        <f t="shared" ca="1" si="19"/>
        <v>3</v>
      </c>
      <c r="I637" s="17"/>
      <c r="J637" s="18">
        <v>113630</v>
      </c>
      <c r="K637" s="19">
        <v>2</v>
      </c>
    </row>
    <row r="638" spans="1:11" x14ac:dyDescent="0.2">
      <c r="A638" s="11" t="s">
        <v>1144</v>
      </c>
      <c r="B638" s="14" t="s">
        <v>27</v>
      </c>
      <c r="C638" s="11" t="s">
        <v>136</v>
      </c>
      <c r="D638" s="15">
        <v>963000861</v>
      </c>
      <c r="E638" s="11" t="s">
        <v>21</v>
      </c>
      <c r="F638" s="20">
        <v>38002</v>
      </c>
      <c r="G638" s="16" t="str">
        <f t="shared" si="18"/>
        <v>January</v>
      </c>
      <c r="H638" s="2">
        <f t="shared" ca="1" si="19"/>
        <v>15</v>
      </c>
      <c r="I638" s="17"/>
      <c r="J638" s="18">
        <v>98807</v>
      </c>
      <c r="K638" s="19">
        <v>1</v>
      </c>
    </row>
    <row r="639" spans="1:11" x14ac:dyDescent="0.2">
      <c r="A639" s="11" t="s">
        <v>1114</v>
      </c>
      <c r="B639" s="14" t="s">
        <v>19</v>
      </c>
      <c r="C639" s="11" t="s">
        <v>136</v>
      </c>
      <c r="D639" s="15">
        <v>990003236</v>
      </c>
      <c r="E639" s="11" t="s">
        <v>29</v>
      </c>
      <c r="F639" s="20">
        <v>41903</v>
      </c>
      <c r="G639" s="16" t="str">
        <f t="shared" si="18"/>
        <v>September</v>
      </c>
      <c r="H639" s="2">
        <f t="shared" ca="1" si="19"/>
        <v>4</v>
      </c>
      <c r="I639" s="17" t="s">
        <v>30</v>
      </c>
      <c r="J639" s="18">
        <v>88938</v>
      </c>
      <c r="K639" s="19">
        <v>5</v>
      </c>
    </row>
    <row r="640" spans="1:11" x14ac:dyDescent="0.2">
      <c r="A640" s="11" t="s">
        <v>126</v>
      </c>
      <c r="B640" s="14" t="s">
        <v>27</v>
      </c>
      <c r="C640" s="11" t="s">
        <v>127</v>
      </c>
      <c r="D640" s="15">
        <v>534004571</v>
      </c>
      <c r="E640" s="11" t="s">
        <v>80</v>
      </c>
      <c r="F640" s="20">
        <v>42273</v>
      </c>
      <c r="G640" s="16" t="str">
        <f t="shared" si="18"/>
        <v>September</v>
      </c>
      <c r="H640" s="2">
        <f t="shared" ca="1" si="19"/>
        <v>3</v>
      </c>
      <c r="I640" s="17" t="s">
        <v>38</v>
      </c>
      <c r="J640" s="18">
        <v>62228</v>
      </c>
      <c r="K640" s="19">
        <v>3</v>
      </c>
    </row>
    <row r="641" spans="1:11" x14ac:dyDescent="0.2">
      <c r="A641" s="11" t="s">
        <v>1160</v>
      </c>
      <c r="B641" s="14" t="s">
        <v>51</v>
      </c>
      <c r="C641" s="11" t="s">
        <v>136</v>
      </c>
      <c r="D641" s="15">
        <v>618005364</v>
      </c>
      <c r="E641" s="11" t="s">
        <v>80</v>
      </c>
      <c r="F641" s="20">
        <v>43110</v>
      </c>
      <c r="G641" s="16" t="str">
        <f t="shared" si="18"/>
        <v>January</v>
      </c>
      <c r="H641" s="2">
        <f t="shared" ca="1" si="19"/>
        <v>1</v>
      </c>
      <c r="I641" s="17" t="s">
        <v>30</v>
      </c>
      <c r="J641" s="18">
        <v>65745</v>
      </c>
      <c r="K641" s="19">
        <v>3</v>
      </c>
    </row>
    <row r="642" spans="1:11" x14ac:dyDescent="0.2">
      <c r="A642" s="11" t="s">
        <v>1276</v>
      </c>
      <c r="B642" s="14" t="s">
        <v>83</v>
      </c>
      <c r="C642" s="11" t="s">
        <v>145</v>
      </c>
      <c r="D642" s="15">
        <v>614002070</v>
      </c>
      <c r="E642" s="11" t="s">
        <v>80</v>
      </c>
      <c r="F642" s="20">
        <v>40671</v>
      </c>
      <c r="G642" s="16" t="str">
        <f t="shared" ref="G642:G705" si="20">CHOOSE(MONTH(F642),"January","February","March","April","May","June","July","August","September","October","November","December")</f>
        <v>May</v>
      </c>
      <c r="H642" s="2">
        <f t="shared" ref="H642:H705" ca="1" si="21">DATEDIF(F642,TODAY(),"Y")</f>
        <v>8</v>
      </c>
      <c r="I642" s="17" t="s">
        <v>47</v>
      </c>
      <c r="J642" s="18">
        <v>65799</v>
      </c>
      <c r="K642" s="19">
        <v>1</v>
      </c>
    </row>
    <row r="643" spans="1:11" x14ac:dyDescent="0.2">
      <c r="A643" s="11" t="s">
        <v>1468</v>
      </c>
      <c r="B643" s="14" t="s">
        <v>27</v>
      </c>
      <c r="C643" s="11" t="s">
        <v>205</v>
      </c>
      <c r="D643" s="15">
        <v>771003685</v>
      </c>
      <c r="E643" s="11" t="s">
        <v>56</v>
      </c>
      <c r="F643" s="20">
        <v>40802</v>
      </c>
      <c r="G643" s="16" t="str">
        <f t="shared" si="20"/>
        <v>September</v>
      </c>
      <c r="H643" s="2">
        <f t="shared" ca="1" si="21"/>
        <v>7</v>
      </c>
      <c r="I643" s="17" t="s">
        <v>47</v>
      </c>
      <c r="J643" s="18">
        <v>114926</v>
      </c>
      <c r="K643" s="19">
        <v>5</v>
      </c>
    </row>
    <row r="644" spans="1:11" x14ac:dyDescent="0.2">
      <c r="A644" s="11" t="s">
        <v>61</v>
      </c>
      <c r="B644" s="14" t="s">
        <v>43</v>
      </c>
      <c r="C644" s="4" t="s">
        <v>62</v>
      </c>
      <c r="D644" s="22">
        <v>771007493</v>
      </c>
      <c r="E644" s="4" t="s">
        <v>56</v>
      </c>
      <c r="F644" s="20">
        <v>42982</v>
      </c>
      <c r="G644" s="16" t="str">
        <f t="shared" si="20"/>
        <v>September</v>
      </c>
      <c r="H644" s="2">
        <f t="shared" ca="1" si="21"/>
        <v>1</v>
      </c>
      <c r="I644" s="17"/>
      <c r="J644" s="18">
        <v>14359</v>
      </c>
      <c r="K644" s="19">
        <v>4</v>
      </c>
    </row>
    <row r="645" spans="1:11" x14ac:dyDescent="0.2">
      <c r="A645" s="11" t="s">
        <v>1300</v>
      </c>
      <c r="B645" s="14" t="s">
        <v>36</v>
      </c>
      <c r="C645" s="11" t="s">
        <v>145</v>
      </c>
      <c r="D645" s="15">
        <v>733001041</v>
      </c>
      <c r="E645" s="11" t="s">
        <v>56</v>
      </c>
      <c r="F645" s="20">
        <v>39413</v>
      </c>
      <c r="G645" s="16" t="str">
        <f t="shared" si="20"/>
        <v>November</v>
      </c>
      <c r="H645" s="2">
        <f t="shared" ca="1" si="21"/>
        <v>11</v>
      </c>
      <c r="I645" s="17"/>
      <c r="J645" s="18">
        <v>20995</v>
      </c>
      <c r="K645" s="19">
        <v>4</v>
      </c>
    </row>
    <row r="646" spans="1:11" x14ac:dyDescent="0.2">
      <c r="A646" s="11" t="s">
        <v>1484</v>
      </c>
      <c r="B646" s="14" t="s">
        <v>83</v>
      </c>
      <c r="C646" s="11" t="s">
        <v>145</v>
      </c>
      <c r="D646" s="15">
        <v>666004498</v>
      </c>
      <c r="E646" s="11" t="s">
        <v>29</v>
      </c>
      <c r="F646" s="20">
        <v>41209</v>
      </c>
      <c r="G646" s="16" t="str">
        <f t="shared" si="20"/>
        <v>October</v>
      </c>
      <c r="H646" s="2">
        <f t="shared" ca="1" si="21"/>
        <v>6</v>
      </c>
      <c r="I646" s="17" t="s">
        <v>30</v>
      </c>
      <c r="J646" s="18">
        <v>113009</v>
      </c>
      <c r="K646" s="19">
        <v>3</v>
      </c>
    </row>
    <row r="647" spans="1:11" x14ac:dyDescent="0.2">
      <c r="A647" s="11" t="s">
        <v>667</v>
      </c>
      <c r="B647" s="14" t="s">
        <v>19</v>
      </c>
      <c r="C647" s="11" t="s">
        <v>59</v>
      </c>
      <c r="D647" s="15">
        <v>603001910</v>
      </c>
      <c r="E647" s="11" t="s">
        <v>29</v>
      </c>
      <c r="F647" s="20">
        <v>37069</v>
      </c>
      <c r="G647" s="16" t="str">
        <f t="shared" si="20"/>
        <v>June</v>
      </c>
      <c r="H647" s="2">
        <f t="shared" ca="1" si="21"/>
        <v>17</v>
      </c>
      <c r="I647" s="17" t="s">
        <v>47</v>
      </c>
      <c r="J647" s="18">
        <v>98415</v>
      </c>
      <c r="K647" s="19">
        <v>3</v>
      </c>
    </row>
    <row r="648" spans="1:11" x14ac:dyDescent="0.2">
      <c r="A648" s="11" t="s">
        <v>333</v>
      </c>
      <c r="B648" s="14" t="s">
        <v>19</v>
      </c>
      <c r="C648" s="11" t="s">
        <v>52</v>
      </c>
      <c r="D648" s="15">
        <v>469001073</v>
      </c>
      <c r="E648" s="11" t="s">
        <v>29</v>
      </c>
      <c r="F648" s="20">
        <v>39969</v>
      </c>
      <c r="G648" s="16" t="str">
        <f t="shared" si="20"/>
        <v>June</v>
      </c>
      <c r="H648" s="2">
        <f t="shared" ca="1" si="21"/>
        <v>10</v>
      </c>
      <c r="I648" s="17" t="s">
        <v>38</v>
      </c>
      <c r="J648" s="18">
        <v>82553</v>
      </c>
      <c r="K648" s="19">
        <v>4</v>
      </c>
    </row>
    <row r="649" spans="1:11" x14ac:dyDescent="0.2">
      <c r="A649" s="11" t="s">
        <v>773</v>
      </c>
      <c r="B649" s="14" t="s">
        <v>19</v>
      </c>
      <c r="C649" s="11" t="s">
        <v>145</v>
      </c>
      <c r="D649" s="15">
        <v>705006668</v>
      </c>
      <c r="E649" s="11" t="s">
        <v>56</v>
      </c>
      <c r="F649" s="20">
        <v>37036</v>
      </c>
      <c r="G649" s="16" t="str">
        <f t="shared" si="20"/>
        <v>May</v>
      </c>
      <c r="H649" s="2">
        <f t="shared" ca="1" si="21"/>
        <v>18</v>
      </c>
      <c r="I649" s="17"/>
      <c r="J649" s="18">
        <v>35753</v>
      </c>
      <c r="K649" s="19">
        <v>5</v>
      </c>
    </row>
    <row r="650" spans="1:11" x14ac:dyDescent="0.2">
      <c r="A650" s="11" t="s">
        <v>1272</v>
      </c>
      <c r="B650" s="14" t="s">
        <v>27</v>
      </c>
      <c r="C650" s="11" t="s">
        <v>145</v>
      </c>
      <c r="D650" s="15">
        <v>932003359</v>
      </c>
      <c r="E650" s="11" t="s">
        <v>21</v>
      </c>
      <c r="F650" s="20">
        <v>42576</v>
      </c>
      <c r="G650" s="16" t="str">
        <f t="shared" si="20"/>
        <v>July</v>
      </c>
      <c r="H650" s="2">
        <f t="shared" ca="1" si="21"/>
        <v>2</v>
      </c>
      <c r="I650" s="17"/>
      <c r="J650" s="18">
        <v>58482</v>
      </c>
      <c r="K650" s="19">
        <v>5</v>
      </c>
    </row>
    <row r="651" spans="1:11" x14ac:dyDescent="0.2">
      <c r="A651" s="11" t="s">
        <v>1408</v>
      </c>
      <c r="B651" s="14" t="s">
        <v>27</v>
      </c>
      <c r="C651" s="11" t="s">
        <v>152</v>
      </c>
      <c r="D651" s="15">
        <v>240001467</v>
      </c>
      <c r="E651" s="11" t="s">
        <v>56</v>
      </c>
      <c r="F651" s="20">
        <v>38432</v>
      </c>
      <c r="G651" s="16" t="str">
        <f t="shared" si="20"/>
        <v>March</v>
      </c>
      <c r="H651" s="2">
        <f t="shared" ca="1" si="21"/>
        <v>14</v>
      </c>
      <c r="I651" s="17"/>
      <c r="J651" s="18">
        <v>38837</v>
      </c>
      <c r="K651" s="19">
        <v>3</v>
      </c>
    </row>
    <row r="652" spans="1:11" x14ac:dyDescent="0.2">
      <c r="A652" s="11" t="s">
        <v>498</v>
      </c>
      <c r="B652" s="14" t="s">
        <v>83</v>
      </c>
      <c r="C652" s="11" t="s">
        <v>214</v>
      </c>
      <c r="D652" s="15">
        <v>180005803</v>
      </c>
      <c r="E652" s="11" t="s">
        <v>29</v>
      </c>
      <c r="F652" s="20">
        <v>42828</v>
      </c>
      <c r="G652" s="16" t="str">
        <f t="shared" si="20"/>
        <v>April</v>
      </c>
      <c r="H652" s="2">
        <f t="shared" ca="1" si="21"/>
        <v>2</v>
      </c>
      <c r="I652" s="17" t="s">
        <v>47</v>
      </c>
      <c r="J652" s="18">
        <v>105530</v>
      </c>
      <c r="K652" s="19">
        <v>5</v>
      </c>
    </row>
    <row r="653" spans="1:11" x14ac:dyDescent="0.2">
      <c r="A653" s="11" t="s">
        <v>634</v>
      </c>
      <c r="B653" s="14" t="s">
        <v>19</v>
      </c>
      <c r="C653" s="11" t="s">
        <v>214</v>
      </c>
      <c r="D653" s="15">
        <v>698009555</v>
      </c>
      <c r="E653" s="11" t="s">
        <v>80</v>
      </c>
      <c r="F653" s="20">
        <v>39359</v>
      </c>
      <c r="G653" s="16" t="str">
        <f t="shared" si="20"/>
        <v>October</v>
      </c>
      <c r="H653" s="2">
        <f t="shared" ca="1" si="21"/>
        <v>11</v>
      </c>
      <c r="I653" s="17" t="s">
        <v>38</v>
      </c>
      <c r="J653" s="18">
        <v>56180</v>
      </c>
      <c r="K653" s="19">
        <v>1</v>
      </c>
    </row>
    <row r="654" spans="1:11" x14ac:dyDescent="0.2">
      <c r="A654" s="11" t="s">
        <v>1506</v>
      </c>
      <c r="B654" s="14" t="s">
        <v>51</v>
      </c>
      <c r="C654" s="11" t="s">
        <v>152</v>
      </c>
      <c r="D654" s="15">
        <v>120001975</v>
      </c>
      <c r="E654" s="11" t="s">
        <v>29</v>
      </c>
      <c r="F654" s="20">
        <v>40351</v>
      </c>
      <c r="G654" s="16" t="str">
        <f t="shared" si="20"/>
        <v>June</v>
      </c>
      <c r="H654" s="2">
        <f t="shared" ca="1" si="21"/>
        <v>8</v>
      </c>
      <c r="I654" s="17" t="s">
        <v>71</v>
      </c>
      <c r="J654" s="18">
        <v>81405</v>
      </c>
      <c r="K654" s="19">
        <v>2</v>
      </c>
    </row>
    <row r="655" spans="1:11" x14ac:dyDescent="0.2">
      <c r="A655" s="11" t="s">
        <v>394</v>
      </c>
      <c r="B655" s="14" t="s">
        <v>27</v>
      </c>
      <c r="C655" s="11" t="s">
        <v>152</v>
      </c>
      <c r="D655" s="15">
        <v>144002757</v>
      </c>
      <c r="E655" s="11" t="s">
        <v>21</v>
      </c>
      <c r="F655" s="20">
        <v>36418</v>
      </c>
      <c r="G655" s="16" t="str">
        <f t="shared" si="20"/>
        <v>September</v>
      </c>
      <c r="H655" s="2">
        <f t="shared" ca="1" si="21"/>
        <v>19</v>
      </c>
      <c r="I655" s="17"/>
      <c r="J655" s="18">
        <v>77625</v>
      </c>
      <c r="K655" s="19">
        <v>1</v>
      </c>
    </row>
    <row r="656" spans="1:11" x14ac:dyDescent="0.2">
      <c r="A656" s="11" t="s">
        <v>787</v>
      </c>
      <c r="B656" s="14" t="s">
        <v>27</v>
      </c>
      <c r="C656" s="11" t="s">
        <v>145</v>
      </c>
      <c r="D656" s="15">
        <v>100003382</v>
      </c>
      <c r="E656" s="11" t="s">
        <v>29</v>
      </c>
      <c r="F656" s="20">
        <v>37016</v>
      </c>
      <c r="G656" s="16" t="str">
        <f t="shared" si="20"/>
        <v>May</v>
      </c>
      <c r="H656" s="2">
        <f t="shared" ca="1" si="21"/>
        <v>18</v>
      </c>
      <c r="I656" s="17" t="s">
        <v>47</v>
      </c>
      <c r="J656" s="18">
        <v>73170</v>
      </c>
      <c r="K656" s="19">
        <v>4</v>
      </c>
    </row>
    <row r="657" spans="1:11" x14ac:dyDescent="0.2">
      <c r="A657" s="11" t="s">
        <v>1436</v>
      </c>
      <c r="B657" s="14" t="s">
        <v>27</v>
      </c>
      <c r="C657" s="11" t="s">
        <v>152</v>
      </c>
      <c r="D657" s="15">
        <v>862008919</v>
      </c>
      <c r="E657" s="11" t="s">
        <v>29</v>
      </c>
      <c r="F657" s="20">
        <v>41184</v>
      </c>
      <c r="G657" s="16" t="str">
        <f t="shared" si="20"/>
        <v>October</v>
      </c>
      <c r="H657" s="2">
        <f t="shared" ca="1" si="21"/>
        <v>6</v>
      </c>
      <c r="I657" s="17" t="s">
        <v>87</v>
      </c>
      <c r="J657" s="18">
        <v>65178</v>
      </c>
      <c r="K657" s="19">
        <v>4</v>
      </c>
    </row>
    <row r="658" spans="1:11" x14ac:dyDescent="0.2">
      <c r="A658" s="11" t="s">
        <v>769</v>
      </c>
      <c r="B658" s="14" t="s">
        <v>19</v>
      </c>
      <c r="C658" s="11" t="s">
        <v>145</v>
      </c>
      <c r="D658" s="15">
        <v>404009373</v>
      </c>
      <c r="E658" s="11" t="s">
        <v>29</v>
      </c>
      <c r="F658" s="20">
        <v>36884</v>
      </c>
      <c r="G658" s="16" t="str">
        <f t="shared" si="20"/>
        <v>December</v>
      </c>
      <c r="H658" s="2">
        <f t="shared" ca="1" si="21"/>
        <v>18</v>
      </c>
      <c r="I658" s="17" t="s">
        <v>30</v>
      </c>
      <c r="J658" s="18">
        <v>90212</v>
      </c>
      <c r="K658" s="19">
        <v>2</v>
      </c>
    </row>
    <row r="659" spans="1:11" x14ac:dyDescent="0.2">
      <c r="A659" s="4" t="s">
        <v>942</v>
      </c>
      <c r="B659" s="14" t="s">
        <v>27</v>
      </c>
      <c r="C659" s="11" t="s">
        <v>254</v>
      </c>
      <c r="D659" s="15">
        <v>619005100</v>
      </c>
      <c r="E659" s="11" t="s">
        <v>29</v>
      </c>
      <c r="F659" s="20">
        <v>41772</v>
      </c>
      <c r="G659" s="16" t="str">
        <f t="shared" si="20"/>
        <v>May</v>
      </c>
      <c r="H659" s="2">
        <f t="shared" ca="1" si="21"/>
        <v>5</v>
      </c>
      <c r="I659" s="17" t="s">
        <v>87</v>
      </c>
      <c r="J659" s="18">
        <v>37206</v>
      </c>
      <c r="K659" s="19">
        <v>2</v>
      </c>
    </row>
    <row r="660" spans="1:11" x14ac:dyDescent="0.2">
      <c r="A660" s="11" t="s">
        <v>1380</v>
      </c>
      <c r="B660" s="14" t="s">
        <v>27</v>
      </c>
      <c r="C660" s="11" t="s">
        <v>136</v>
      </c>
      <c r="D660" s="15">
        <v>965006299</v>
      </c>
      <c r="E660" s="11" t="s">
        <v>29</v>
      </c>
      <c r="F660" s="20">
        <v>38549</v>
      </c>
      <c r="G660" s="16" t="str">
        <f t="shared" si="20"/>
        <v>July</v>
      </c>
      <c r="H660" s="2">
        <f t="shared" ca="1" si="21"/>
        <v>13</v>
      </c>
      <c r="I660" s="17" t="s">
        <v>87</v>
      </c>
      <c r="J660" s="18">
        <v>32859</v>
      </c>
      <c r="K660" s="19">
        <v>4</v>
      </c>
    </row>
    <row r="661" spans="1:11" x14ac:dyDescent="0.2">
      <c r="A661" s="11" t="s">
        <v>1298</v>
      </c>
      <c r="B661" s="14" t="s">
        <v>43</v>
      </c>
      <c r="C661" s="11" t="s">
        <v>145</v>
      </c>
      <c r="D661" s="15">
        <v>288001910</v>
      </c>
      <c r="E661" s="11" t="s">
        <v>29</v>
      </c>
      <c r="F661" s="20">
        <v>39216</v>
      </c>
      <c r="G661" s="16" t="str">
        <f t="shared" si="20"/>
        <v>May</v>
      </c>
      <c r="H661" s="2">
        <f t="shared" ca="1" si="21"/>
        <v>12</v>
      </c>
      <c r="I661" s="17" t="s">
        <v>30</v>
      </c>
      <c r="J661" s="18">
        <v>90477</v>
      </c>
      <c r="K661" s="19">
        <v>1</v>
      </c>
    </row>
    <row r="662" spans="1:11" x14ac:dyDescent="0.2">
      <c r="A662" s="11" t="s">
        <v>1124</v>
      </c>
      <c r="B662" s="14" t="s">
        <v>19</v>
      </c>
      <c r="C662" s="11" t="s">
        <v>136</v>
      </c>
      <c r="D662" s="15">
        <v>278009861</v>
      </c>
      <c r="E662" s="11" t="s">
        <v>21</v>
      </c>
      <c r="F662" s="20">
        <v>43260</v>
      </c>
      <c r="G662" s="16" t="str">
        <f t="shared" si="20"/>
        <v>June</v>
      </c>
      <c r="H662" s="2">
        <f t="shared" ca="1" si="21"/>
        <v>0</v>
      </c>
      <c r="I662" s="17"/>
      <c r="J662" s="18">
        <v>53393</v>
      </c>
      <c r="K662" s="19">
        <v>5</v>
      </c>
    </row>
    <row r="663" spans="1:11" x14ac:dyDescent="0.2">
      <c r="A663" s="11" t="s">
        <v>1056</v>
      </c>
      <c r="B663" s="14" t="s">
        <v>51</v>
      </c>
      <c r="C663" s="11" t="s">
        <v>214</v>
      </c>
      <c r="D663" s="15">
        <v>682007379</v>
      </c>
      <c r="E663" s="11" t="s">
        <v>29</v>
      </c>
      <c r="F663" s="20">
        <v>38167</v>
      </c>
      <c r="G663" s="16" t="str">
        <f t="shared" si="20"/>
        <v>June</v>
      </c>
      <c r="H663" s="2">
        <f t="shared" ca="1" si="21"/>
        <v>14</v>
      </c>
      <c r="I663" s="17" t="s">
        <v>38</v>
      </c>
      <c r="J663" s="18">
        <v>53352</v>
      </c>
      <c r="K663" s="19">
        <v>5</v>
      </c>
    </row>
    <row r="664" spans="1:11" x14ac:dyDescent="0.2">
      <c r="A664" s="11" t="s">
        <v>1022</v>
      </c>
      <c r="B664" s="14" t="s">
        <v>83</v>
      </c>
      <c r="C664" s="11" t="s">
        <v>20</v>
      </c>
      <c r="D664" s="15">
        <v>247006092</v>
      </c>
      <c r="E664" s="11" t="s">
        <v>21</v>
      </c>
      <c r="F664" s="20">
        <v>37975</v>
      </c>
      <c r="G664" s="16" t="str">
        <f t="shared" si="20"/>
        <v>December</v>
      </c>
      <c r="H664" s="2">
        <f t="shared" ca="1" si="21"/>
        <v>15</v>
      </c>
      <c r="I664" s="17"/>
      <c r="J664" s="18">
        <v>86927</v>
      </c>
      <c r="K664" s="19">
        <v>2</v>
      </c>
    </row>
    <row r="665" spans="1:11" x14ac:dyDescent="0.2">
      <c r="A665" s="11" t="s">
        <v>753</v>
      </c>
      <c r="B665" s="14" t="s">
        <v>27</v>
      </c>
      <c r="C665" s="11" t="s">
        <v>478</v>
      </c>
      <c r="D665" s="15">
        <v>214004804</v>
      </c>
      <c r="E665" s="11" t="s">
        <v>29</v>
      </c>
      <c r="F665" s="20">
        <v>40792</v>
      </c>
      <c r="G665" s="16" t="str">
        <f t="shared" si="20"/>
        <v>September</v>
      </c>
      <c r="H665" s="2">
        <f t="shared" ca="1" si="21"/>
        <v>7</v>
      </c>
      <c r="I665" s="17" t="s">
        <v>30</v>
      </c>
      <c r="J665" s="18">
        <v>72725</v>
      </c>
      <c r="K665" s="19">
        <v>2</v>
      </c>
    </row>
    <row r="666" spans="1:11" x14ac:dyDescent="0.2">
      <c r="A666" s="11" t="s">
        <v>1068</v>
      </c>
      <c r="B666" s="14" t="s">
        <v>19</v>
      </c>
      <c r="C666" s="11" t="s">
        <v>136</v>
      </c>
      <c r="D666" s="15">
        <v>924002231</v>
      </c>
      <c r="E666" s="11" t="s">
        <v>80</v>
      </c>
      <c r="F666" s="20">
        <v>43022</v>
      </c>
      <c r="G666" s="16" t="str">
        <f t="shared" si="20"/>
        <v>October</v>
      </c>
      <c r="H666" s="2">
        <f t="shared" ca="1" si="21"/>
        <v>1</v>
      </c>
      <c r="I666" s="17" t="s">
        <v>71</v>
      </c>
      <c r="J666" s="18">
        <v>34081</v>
      </c>
      <c r="K666" s="19">
        <v>5</v>
      </c>
    </row>
    <row r="667" spans="1:11" x14ac:dyDescent="0.2">
      <c r="A667" s="11" t="s">
        <v>1412</v>
      </c>
      <c r="B667" s="14" t="s">
        <v>36</v>
      </c>
      <c r="C667" s="11" t="s">
        <v>152</v>
      </c>
      <c r="D667" s="15">
        <v>592009648</v>
      </c>
      <c r="E667" s="11" t="s">
        <v>21</v>
      </c>
      <c r="F667" s="20">
        <v>39921</v>
      </c>
      <c r="G667" s="16" t="str">
        <f t="shared" si="20"/>
        <v>April</v>
      </c>
      <c r="H667" s="2">
        <f t="shared" ca="1" si="21"/>
        <v>10</v>
      </c>
      <c r="I667" s="17"/>
      <c r="J667" s="18">
        <v>104134</v>
      </c>
      <c r="K667" s="19">
        <v>5</v>
      </c>
    </row>
    <row r="668" spans="1:11" x14ac:dyDescent="0.2">
      <c r="A668" s="11" t="s">
        <v>1350</v>
      </c>
      <c r="B668" s="14" t="s">
        <v>36</v>
      </c>
      <c r="C668" s="11" t="s">
        <v>86</v>
      </c>
      <c r="D668" s="15">
        <v>650004238</v>
      </c>
      <c r="E668" s="11" t="s">
        <v>21</v>
      </c>
      <c r="F668" s="20">
        <v>38374</v>
      </c>
      <c r="G668" s="16" t="str">
        <f t="shared" si="20"/>
        <v>January</v>
      </c>
      <c r="H668" s="2">
        <f t="shared" ca="1" si="21"/>
        <v>14</v>
      </c>
      <c r="I668" s="17"/>
      <c r="J668" s="18">
        <v>72725</v>
      </c>
      <c r="K668" s="19">
        <v>2</v>
      </c>
    </row>
    <row r="669" spans="1:11" x14ac:dyDescent="0.2">
      <c r="A669" s="11" t="s">
        <v>508</v>
      </c>
      <c r="B669" s="14" t="s">
        <v>27</v>
      </c>
      <c r="C669" s="11" t="s">
        <v>254</v>
      </c>
      <c r="D669" s="15">
        <v>210003249</v>
      </c>
      <c r="E669" s="11" t="s">
        <v>21</v>
      </c>
      <c r="F669" s="20">
        <v>36667</v>
      </c>
      <c r="G669" s="16" t="str">
        <f t="shared" si="20"/>
        <v>May</v>
      </c>
      <c r="H669" s="2">
        <f t="shared" ca="1" si="21"/>
        <v>19</v>
      </c>
      <c r="I669" s="17"/>
      <c r="J669" s="18">
        <v>44078</v>
      </c>
      <c r="K669" s="19">
        <v>1</v>
      </c>
    </row>
    <row r="670" spans="1:11" x14ac:dyDescent="0.2">
      <c r="A670" s="11" t="s">
        <v>1546</v>
      </c>
      <c r="B670" s="14" t="s">
        <v>19</v>
      </c>
      <c r="C670" s="11" t="s">
        <v>405</v>
      </c>
      <c r="D670" s="15">
        <v>106009892</v>
      </c>
      <c r="E670" s="11" t="s">
        <v>21</v>
      </c>
      <c r="F670" s="20">
        <v>43575</v>
      </c>
      <c r="G670" s="16" t="str">
        <f t="shared" si="20"/>
        <v>April</v>
      </c>
      <c r="H670" s="2">
        <f t="shared" ca="1" si="21"/>
        <v>0</v>
      </c>
      <c r="I670" s="17"/>
      <c r="J670" s="18">
        <v>89278</v>
      </c>
      <c r="K670" s="19">
        <v>4</v>
      </c>
    </row>
    <row r="671" spans="1:11" x14ac:dyDescent="0.2">
      <c r="A671" s="11" t="s">
        <v>1006</v>
      </c>
      <c r="B671" s="14" t="s">
        <v>27</v>
      </c>
      <c r="C671" s="11" t="s">
        <v>152</v>
      </c>
      <c r="D671" s="15">
        <v>992004973</v>
      </c>
      <c r="E671" s="11" t="s">
        <v>29</v>
      </c>
      <c r="F671" s="20">
        <v>37908</v>
      </c>
      <c r="G671" s="16" t="str">
        <f t="shared" si="20"/>
        <v>October</v>
      </c>
      <c r="H671" s="2">
        <f t="shared" ca="1" si="21"/>
        <v>15</v>
      </c>
      <c r="I671" s="17" t="s">
        <v>38</v>
      </c>
      <c r="J671" s="18">
        <v>87453</v>
      </c>
      <c r="K671" s="19">
        <v>5</v>
      </c>
    </row>
    <row r="672" spans="1:11" x14ac:dyDescent="0.2">
      <c r="A672" s="11" t="s">
        <v>488</v>
      </c>
      <c r="B672" s="14" t="s">
        <v>27</v>
      </c>
      <c r="C672" s="11" t="s">
        <v>249</v>
      </c>
      <c r="D672" s="15">
        <v>802000229</v>
      </c>
      <c r="E672" s="11" t="s">
        <v>29</v>
      </c>
      <c r="F672" s="20">
        <v>36760</v>
      </c>
      <c r="G672" s="16" t="str">
        <f t="shared" si="20"/>
        <v>August</v>
      </c>
      <c r="H672" s="2">
        <f t="shared" ca="1" si="21"/>
        <v>18</v>
      </c>
      <c r="I672" s="17" t="s">
        <v>87</v>
      </c>
      <c r="J672" s="18">
        <v>118773</v>
      </c>
      <c r="K672" s="19">
        <v>1</v>
      </c>
    </row>
    <row r="673" spans="1:11" x14ac:dyDescent="0.2">
      <c r="A673" s="11" t="s">
        <v>1240</v>
      </c>
      <c r="B673" s="14" t="s">
        <v>83</v>
      </c>
      <c r="C673" s="11" t="s">
        <v>145</v>
      </c>
      <c r="D673" s="15">
        <v>491000893</v>
      </c>
      <c r="E673" s="11" t="s">
        <v>29</v>
      </c>
      <c r="F673" s="20">
        <v>42934</v>
      </c>
      <c r="G673" s="16" t="str">
        <f t="shared" si="20"/>
        <v>July</v>
      </c>
      <c r="H673" s="2">
        <f t="shared" ca="1" si="21"/>
        <v>1</v>
      </c>
      <c r="I673" s="17" t="s">
        <v>30</v>
      </c>
      <c r="J673" s="18">
        <v>31307</v>
      </c>
      <c r="K673" s="19">
        <v>5</v>
      </c>
    </row>
    <row r="674" spans="1:11" x14ac:dyDescent="0.2">
      <c r="A674" s="11" t="s">
        <v>697</v>
      </c>
      <c r="B674" s="14" t="s">
        <v>83</v>
      </c>
      <c r="C674" s="11" t="s">
        <v>214</v>
      </c>
      <c r="D674" s="15">
        <v>312009803</v>
      </c>
      <c r="E674" s="11" t="s">
        <v>29</v>
      </c>
      <c r="F674" s="20">
        <v>40085</v>
      </c>
      <c r="G674" s="16" t="str">
        <f t="shared" si="20"/>
        <v>September</v>
      </c>
      <c r="H674" s="2">
        <f t="shared" ca="1" si="21"/>
        <v>9</v>
      </c>
      <c r="I674" s="17" t="s">
        <v>30</v>
      </c>
      <c r="J674" s="18">
        <v>34169</v>
      </c>
      <c r="K674" s="19">
        <v>4</v>
      </c>
    </row>
    <row r="675" spans="1:11" x14ac:dyDescent="0.2">
      <c r="A675" s="11" t="s">
        <v>82</v>
      </c>
      <c r="B675" s="14" t="s">
        <v>83</v>
      </c>
      <c r="C675" s="11" t="s">
        <v>59</v>
      </c>
      <c r="D675" s="15">
        <v>171008795</v>
      </c>
      <c r="E675" s="11" t="s">
        <v>29</v>
      </c>
      <c r="F675" s="20">
        <v>35935</v>
      </c>
      <c r="G675" s="16" t="str">
        <f t="shared" si="20"/>
        <v>May</v>
      </c>
      <c r="H675" s="2">
        <f t="shared" ca="1" si="21"/>
        <v>21</v>
      </c>
      <c r="I675" s="17" t="s">
        <v>71</v>
      </c>
      <c r="J675" s="18">
        <v>43686</v>
      </c>
      <c r="K675" s="19">
        <v>4</v>
      </c>
    </row>
    <row r="676" spans="1:11" x14ac:dyDescent="0.2">
      <c r="A676" s="11" t="s">
        <v>777</v>
      </c>
      <c r="B676" s="14" t="s">
        <v>27</v>
      </c>
      <c r="C676" s="11" t="s">
        <v>86</v>
      </c>
      <c r="D676" s="15">
        <v>567006382</v>
      </c>
      <c r="E676" s="11" t="s">
        <v>29</v>
      </c>
      <c r="F676" s="20">
        <v>38972</v>
      </c>
      <c r="G676" s="16" t="str">
        <f t="shared" si="20"/>
        <v>September</v>
      </c>
      <c r="H676" s="2">
        <f t="shared" ca="1" si="21"/>
        <v>12</v>
      </c>
      <c r="I676" s="17" t="s">
        <v>71</v>
      </c>
      <c r="J676" s="18">
        <v>67190</v>
      </c>
      <c r="K676" s="19">
        <v>1</v>
      </c>
    </row>
    <row r="677" spans="1:11" x14ac:dyDescent="0.2">
      <c r="A677" s="11" t="s">
        <v>1228</v>
      </c>
      <c r="B677" s="14" t="s">
        <v>43</v>
      </c>
      <c r="C677" s="11" t="s">
        <v>104</v>
      </c>
      <c r="D677" s="15">
        <v>796009833</v>
      </c>
      <c r="E677" s="11" t="s">
        <v>80</v>
      </c>
      <c r="F677" s="20">
        <v>38420</v>
      </c>
      <c r="G677" s="16" t="str">
        <f t="shared" si="20"/>
        <v>March</v>
      </c>
      <c r="H677" s="2">
        <f t="shared" ca="1" si="21"/>
        <v>14</v>
      </c>
      <c r="I677" s="17" t="s">
        <v>47</v>
      </c>
      <c r="J677" s="18">
        <v>14884</v>
      </c>
      <c r="K677" s="19">
        <v>1</v>
      </c>
    </row>
    <row r="678" spans="1:11" x14ac:dyDescent="0.2">
      <c r="A678" s="11" t="s">
        <v>433</v>
      </c>
      <c r="B678" s="14" t="s">
        <v>83</v>
      </c>
      <c r="C678" s="11" t="s">
        <v>205</v>
      </c>
      <c r="D678" s="15">
        <v>746007232</v>
      </c>
      <c r="E678" s="11" t="s">
        <v>21</v>
      </c>
      <c r="F678" s="20">
        <v>39529</v>
      </c>
      <c r="G678" s="16" t="str">
        <f t="shared" si="20"/>
        <v>March</v>
      </c>
      <c r="H678" s="2">
        <f t="shared" ca="1" si="21"/>
        <v>11</v>
      </c>
      <c r="I678" s="17" t="s">
        <v>30</v>
      </c>
      <c r="J678" s="18">
        <v>93704</v>
      </c>
      <c r="K678" s="19">
        <v>4</v>
      </c>
    </row>
    <row r="679" spans="1:11" x14ac:dyDescent="0.2">
      <c r="A679" s="11" t="s">
        <v>1060</v>
      </c>
      <c r="B679" s="14" t="s">
        <v>51</v>
      </c>
      <c r="C679" s="11" t="s">
        <v>214</v>
      </c>
      <c r="D679" s="15">
        <v>624004626</v>
      </c>
      <c r="E679" s="11" t="s">
        <v>80</v>
      </c>
      <c r="F679" s="20">
        <v>38199</v>
      </c>
      <c r="G679" s="16" t="str">
        <f t="shared" si="20"/>
        <v>July</v>
      </c>
      <c r="H679" s="2">
        <f t="shared" ca="1" si="21"/>
        <v>14</v>
      </c>
      <c r="I679" s="17" t="s">
        <v>47</v>
      </c>
      <c r="J679" s="18">
        <v>62971</v>
      </c>
      <c r="K679" s="19">
        <v>5</v>
      </c>
    </row>
    <row r="680" spans="1:11" x14ac:dyDescent="0.2">
      <c r="A680" s="11" t="s">
        <v>665</v>
      </c>
      <c r="B680" s="14" t="s">
        <v>27</v>
      </c>
      <c r="C680" s="11" t="s">
        <v>59</v>
      </c>
      <c r="D680" s="15">
        <v>302008687</v>
      </c>
      <c r="E680" s="11" t="s">
        <v>29</v>
      </c>
      <c r="F680" s="20">
        <v>36942</v>
      </c>
      <c r="G680" s="16" t="str">
        <f t="shared" si="20"/>
        <v>February</v>
      </c>
      <c r="H680" s="2">
        <f t="shared" ca="1" si="21"/>
        <v>18</v>
      </c>
      <c r="I680" s="17" t="s">
        <v>47</v>
      </c>
      <c r="J680" s="18">
        <v>42984</v>
      </c>
      <c r="K680" s="19">
        <v>1</v>
      </c>
    </row>
    <row r="681" spans="1:11" x14ac:dyDescent="0.2">
      <c r="A681" s="11" t="s">
        <v>1136</v>
      </c>
      <c r="B681" s="14" t="s">
        <v>19</v>
      </c>
      <c r="C681" s="11" t="s">
        <v>136</v>
      </c>
      <c r="D681" s="15">
        <v>209006975</v>
      </c>
      <c r="E681" s="11" t="s">
        <v>80</v>
      </c>
      <c r="F681" s="20">
        <v>40105</v>
      </c>
      <c r="G681" s="16" t="str">
        <f t="shared" si="20"/>
        <v>October</v>
      </c>
      <c r="H681" s="2">
        <f t="shared" ca="1" si="21"/>
        <v>9</v>
      </c>
      <c r="I681" s="17" t="s">
        <v>71</v>
      </c>
      <c r="J681" s="18">
        <v>16936</v>
      </c>
      <c r="K681" s="19">
        <v>4</v>
      </c>
    </row>
    <row r="682" spans="1:11" x14ac:dyDescent="0.2">
      <c r="A682" s="11" t="s">
        <v>1248</v>
      </c>
      <c r="B682" s="14" t="s">
        <v>36</v>
      </c>
      <c r="C682" s="11" t="s">
        <v>28</v>
      </c>
      <c r="D682" s="15">
        <v>452002136</v>
      </c>
      <c r="E682" s="11" t="s">
        <v>29</v>
      </c>
      <c r="F682" s="20">
        <v>38370</v>
      </c>
      <c r="G682" s="16" t="str">
        <f t="shared" si="20"/>
        <v>January</v>
      </c>
      <c r="H682" s="2">
        <f t="shared" ca="1" si="21"/>
        <v>14</v>
      </c>
      <c r="I682" s="17" t="s">
        <v>38</v>
      </c>
      <c r="J682" s="18">
        <v>35789</v>
      </c>
      <c r="K682" s="19">
        <v>1</v>
      </c>
    </row>
    <row r="683" spans="1:11" x14ac:dyDescent="0.2">
      <c r="A683" s="11" t="s">
        <v>1464</v>
      </c>
      <c r="B683" s="14" t="s">
        <v>27</v>
      </c>
      <c r="C683" s="11" t="s">
        <v>20</v>
      </c>
      <c r="D683" s="15">
        <v>252006921</v>
      </c>
      <c r="E683" s="11" t="s">
        <v>29</v>
      </c>
      <c r="F683" s="20">
        <v>40641</v>
      </c>
      <c r="G683" s="16" t="str">
        <f t="shared" si="20"/>
        <v>April</v>
      </c>
      <c r="H683" s="2">
        <f t="shared" ca="1" si="21"/>
        <v>8</v>
      </c>
      <c r="I683" s="17" t="s">
        <v>30</v>
      </c>
      <c r="J683" s="18">
        <v>117828</v>
      </c>
      <c r="K683" s="19">
        <v>4</v>
      </c>
    </row>
    <row r="684" spans="1:11" x14ac:dyDescent="0.2">
      <c r="A684" s="11" t="s">
        <v>624</v>
      </c>
      <c r="B684" s="14" t="s">
        <v>19</v>
      </c>
      <c r="C684" s="11" t="s">
        <v>214</v>
      </c>
      <c r="D684" s="15">
        <v>512005919</v>
      </c>
      <c r="E684" s="11" t="s">
        <v>29</v>
      </c>
      <c r="F684" s="20">
        <v>40292</v>
      </c>
      <c r="G684" s="16" t="str">
        <f t="shared" si="20"/>
        <v>April</v>
      </c>
      <c r="H684" s="2">
        <f t="shared" ca="1" si="21"/>
        <v>9</v>
      </c>
      <c r="I684" s="17" t="s">
        <v>38</v>
      </c>
      <c r="J684" s="18">
        <v>86576</v>
      </c>
      <c r="K684" s="19">
        <v>1</v>
      </c>
    </row>
    <row r="685" spans="1:11" x14ac:dyDescent="0.2">
      <c r="A685" s="11" t="s">
        <v>1170</v>
      </c>
      <c r="B685" s="14" t="s">
        <v>27</v>
      </c>
      <c r="C685" s="11" t="s">
        <v>145</v>
      </c>
      <c r="D685" s="15">
        <v>984001714</v>
      </c>
      <c r="E685" s="11" t="s">
        <v>29</v>
      </c>
      <c r="F685" s="20">
        <v>38264</v>
      </c>
      <c r="G685" s="16" t="str">
        <f t="shared" si="20"/>
        <v>October</v>
      </c>
      <c r="H685" s="2">
        <f t="shared" ca="1" si="21"/>
        <v>14</v>
      </c>
      <c r="I685" s="17" t="s">
        <v>30</v>
      </c>
      <c r="J685" s="18">
        <v>46346</v>
      </c>
      <c r="K685" s="19">
        <v>3</v>
      </c>
    </row>
    <row r="686" spans="1:11" x14ac:dyDescent="0.2">
      <c r="A686" s="11" t="s">
        <v>1512</v>
      </c>
      <c r="B686" s="14" t="s">
        <v>27</v>
      </c>
      <c r="C686" s="11" t="s">
        <v>254</v>
      </c>
      <c r="D686" s="15">
        <v>555008765</v>
      </c>
      <c r="E686" s="11" t="s">
        <v>29</v>
      </c>
      <c r="F686" s="20">
        <v>42341</v>
      </c>
      <c r="G686" s="16" t="str">
        <f t="shared" si="20"/>
        <v>December</v>
      </c>
      <c r="H686" s="2">
        <f t="shared" ca="1" si="21"/>
        <v>3</v>
      </c>
      <c r="I686" s="17" t="s">
        <v>47</v>
      </c>
      <c r="J686" s="18">
        <v>119948</v>
      </c>
      <c r="K686" s="19">
        <v>3</v>
      </c>
    </row>
    <row r="687" spans="1:11" x14ac:dyDescent="0.2">
      <c r="A687" s="11" t="s">
        <v>327</v>
      </c>
      <c r="B687" s="14" t="s">
        <v>43</v>
      </c>
      <c r="C687" s="11" t="s">
        <v>136</v>
      </c>
      <c r="D687" s="15">
        <v>452005054</v>
      </c>
      <c r="E687" s="11" t="s">
        <v>21</v>
      </c>
      <c r="F687" s="20">
        <v>36434</v>
      </c>
      <c r="G687" s="16" t="str">
        <f t="shared" si="20"/>
        <v>October</v>
      </c>
      <c r="H687" s="2">
        <f t="shared" ca="1" si="21"/>
        <v>19</v>
      </c>
      <c r="I687" s="17"/>
      <c r="J687" s="18">
        <v>68634</v>
      </c>
      <c r="K687" s="19">
        <v>4</v>
      </c>
    </row>
    <row r="688" spans="1:11" x14ac:dyDescent="0.2">
      <c r="A688" s="11" t="s">
        <v>922</v>
      </c>
      <c r="B688" s="14" t="s">
        <v>19</v>
      </c>
      <c r="C688" s="11" t="s">
        <v>20</v>
      </c>
      <c r="D688" s="15">
        <v>923005952</v>
      </c>
      <c r="E688" s="11" t="s">
        <v>29</v>
      </c>
      <c r="F688" s="20">
        <v>37942</v>
      </c>
      <c r="G688" s="16" t="str">
        <f t="shared" si="20"/>
        <v>November</v>
      </c>
      <c r="H688" s="2">
        <f t="shared" ca="1" si="21"/>
        <v>15</v>
      </c>
      <c r="I688" s="17" t="s">
        <v>38</v>
      </c>
      <c r="J688" s="18">
        <v>104423</v>
      </c>
      <c r="K688" s="19">
        <v>5</v>
      </c>
    </row>
    <row r="689" spans="1:11" x14ac:dyDescent="0.2">
      <c r="A689" s="11" t="s">
        <v>1040</v>
      </c>
      <c r="B689" s="14" t="s">
        <v>19</v>
      </c>
      <c r="C689" s="11" t="s">
        <v>136</v>
      </c>
      <c r="D689" s="15">
        <v>505000981</v>
      </c>
      <c r="E689" s="11" t="s">
        <v>29</v>
      </c>
      <c r="F689" s="20">
        <v>39994</v>
      </c>
      <c r="G689" s="16" t="str">
        <f t="shared" si="20"/>
        <v>June</v>
      </c>
      <c r="H689" s="2">
        <f t="shared" ca="1" si="21"/>
        <v>9</v>
      </c>
      <c r="I689" s="17" t="s">
        <v>47</v>
      </c>
      <c r="J689" s="18">
        <v>39326</v>
      </c>
      <c r="K689" s="19">
        <v>1</v>
      </c>
    </row>
    <row r="690" spans="1:11" x14ac:dyDescent="0.2">
      <c r="A690" s="11" t="s">
        <v>645</v>
      </c>
      <c r="B690" s="14" t="s">
        <v>83</v>
      </c>
      <c r="C690" s="11" t="s">
        <v>214</v>
      </c>
      <c r="D690" s="15">
        <v>596008829</v>
      </c>
      <c r="E690" s="11" t="s">
        <v>21</v>
      </c>
      <c r="F690" s="20">
        <v>38867</v>
      </c>
      <c r="G690" s="16" t="str">
        <f t="shared" si="20"/>
        <v>May</v>
      </c>
      <c r="H690" s="2">
        <f t="shared" ca="1" si="21"/>
        <v>13</v>
      </c>
      <c r="I690" s="17"/>
      <c r="J690" s="18">
        <v>60818</v>
      </c>
      <c r="K690" s="19">
        <v>1</v>
      </c>
    </row>
    <row r="691" spans="1:11" x14ac:dyDescent="0.2">
      <c r="A691" s="11" t="s">
        <v>1414</v>
      </c>
      <c r="B691" s="14" t="s">
        <v>36</v>
      </c>
      <c r="C691" s="11" t="s">
        <v>152</v>
      </c>
      <c r="D691" s="15">
        <v>147003641</v>
      </c>
      <c r="E691" s="11" t="s">
        <v>21</v>
      </c>
      <c r="F691" s="20">
        <v>43190</v>
      </c>
      <c r="G691" s="16" t="str">
        <f t="shared" si="20"/>
        <v>March</v>
      </c>
      <c r="H691" s="2">
        <f t="shared" ca="1" si="21"/>
        <v>1</v>
      </c>
      <c r="I691" s="17"/>
      <c r="J691" s="18">
        <v>63828</v>
      </c>
      <c r="K691" s="19">
        <v>1</v>
      </c>
    </row>
    <row r="692" spans="1:11" x14ac:dyDescent="0.2">
      <c r="A692" s="11" t="s">
        <v>413</v>
      </c>
      <c r="B692" s="14" t="s">
        <v>27</v>
      </c>
      <c r="C692" s="11" t="s">
        <v>127</v>
      </c>
      <c r="D692" s="15">
        <v>682001418</v>
      </c>
      <c r="E692" s="11" t="s">
        <v>29</v>
      </c>
      <c r="F692" s="20">
        <v>36569</v>
      </c>
      <c r="G692" s="16" t="str">
        <f t="shared" si="20"/>
        <v>February</v>
      </c>
      <c r="H692" s="2">
        <f t="shared" ca="1" si="21"/>
        <v>19</v>
      </c>
      <c r="I692" s="17" t="s">
        <v>47</v>
      </c>
      <c r="J692" s="18">
        <v>62397</v>
      </c>
      <c r="K692" s="19">
        <v>3</v>
      </c>
    </row>
    <row r="693" spans="1:11" x14ac:dyDescent="0.2">
      <c r="A693" s="11" t="s">
        <v>978</v>
      </c>
      <c r="B693" s="14" t="s">
        <v>36</v>
      </c>
      <c r="C693" s="11" t="s">
        <v>254</v>
      </c>
      <c r="D693" s="15">
        <v>851000058</v>
      </c>
      <c r="E693" s="11" t="s">
        <v>80</v>
      </c>
      <c r="F693" s="20">
        <v>43249</v>
      </c>
      <c r="G693" s="16" t="str">
        <f t="shared" si="20"/>
        <v>May</v>
      </c>
      <c r="H693" s="2">
        <f t="shared" ca="1" si="21"/>
        <v>1</v>
      </c>
      <c r="I693" s="17" t="s">
        <v>47</v>
      </c>
      <c r="J693" s="18">
        <v>22849</v>
      </c>
      <c r="K693" s="19">
        <v>1</v>
      </c>
    </row>
    <row r="694" spans="1:11" x14ac:dyDescent="0.2">
      <c r="A694" s="11" t="s">
        <v>677</v>
      </c>
      <c r="B694" s="14" t="s">
        <v>83</v>
      </c>
      <c r="C694" s="11" t="s">
        <v>214</v>
      </c>
      <c r="D694" s="15">
        <v>366000174</v>
      </c>
      <c r="E694" s="11" t="s">
        <v>56</v>
      </c>
      <c r="F694" s="20">
        <v>37021</v>
      </c>
      <c r="G694" s="16" t="str">
        <f t="shared" si="20"/>
        <v>May</v>
      </c>
      <c r="H694" s="2">
        <f t="shared" ca="1" si="21"/>
        <v>18</v>
      </c>
      <c r="I694" s="17"/>
      <c r="J694" s="18">
        <v>41062</v>
      </c>
      <c r="K694" s="19">
        <v>1</v>
      </c>
    </row>
    <row r="695" spans="1:11" x14ac:dyDescent="0.2">
      <c r="A695" s="11" t="s">
        <v>1332</v>
      </c>
      <c r="B695" s="14" t="s">
        <v>51</v>
      </c>
      <c r="C695" s="11" t="s">
        <v>145</v>
      </c>
      <c r="D695" s="15">
        <v>368005341</v>
      </c>
      <c r="E695" s="11" t="s">
        <v>21</v>
      </c>
      <c r="F695" s="20">
        <v>39938</v>
      </c>
      <c r="G695" s="16" t="str">
        <f t="shared" si="20"/>
        <v>May</v>
      </c>
      <c r="H695" s="2">
        <f t="shared" ca="1" si="21"/>
        <v>10</v>
      </c>
      <c r="I695" s="17"/>
      <c r="J695" s="18">
        <v>63153</v>
      </c>
      <c r="K695" s="19">
        <v>2</v>
      </c>
    </row>
    <row r="696" spans="1:11" x14ac:dyDescent="0.2">
      <c r="A696" s="11" t="s">
        <v>626</v>
      </c>
      <c r="B696" s="14" t="s">
        <v>27</v>
      </c>
      <c r="C696" s="11" t="s">
        <v>214</v>
      </c>
      <c r="D696" s="15">
        <v>114005397</v>
      </c>
      <c r="E696" s="11" t="s">
        <v>21</v>
      </c>
      <c r="F696" s="20">
        <v>42045</v>
      </c>
      <c r="G696" s="16" t="str">
        <f t="shared" si="20"/>
        <v>February</v>
      </c>
      <c r="H696" s="2">
        <f t="shared" ca="1" si="21"/>
        <v>4</v>
      </c>
      <c r="I696" s="17"/>
      <c r="J696" s="18">
        <v>86198</v>
      </c>
      <c r="K696" s="19">
        <v>2</v>
      </c>
    </row>
    <row r="697" spans="1:11" x14ac:dyDescent="0.2">
      <c r="A697" s="11" t="s">
        <v>486</v>
      </c>
      <c r="B697" s="14" t="s">
        <v>27</v>
      </c>
      <c r="C697" s="11" t="s">
        <v>86</v>
      </c>
      <c r="D697" s="15">
        <v>275002740</v>
      </c>
      <c r="E697" s="11" t="s">
        <v>29</v>
      </c>
      <c r="F697" s="20">
        <v>36551</v>
      </c>
      <c r="G697" s="16" t="str">
        <f t="shared" si="20"/>
        <v>January</v>
      </c>
      <c r="H697" s="2">
        <f t="shared" ca="1" si="21"/>
        <v>19</v>
      </c>
      <c r="I697" s="17" t="s">
        <v>87</v>
      </c>
      <c r="J697" s="18">
        <v>81756</v>
      </c>
      <c r="K697" s="19">
        <v>4</v>
      </c>
    </row>
    <row r="698" spans="1:11" x14ac:dyDescent="0.2">
      <c r="A698" s="11" t="s">
        <v>504</v>
      </c>
      <c r="B698" s="14" t="s">
        <v>19</v>
      </c>
      <c r="C698" s="11" t="s">
        <v>254</v>
      </c>
      <c r="D698" s="15">
        <v>150002247</v>
      </c>
      <c r="E698" s="11" t="s">
        <v>29</v>
      </c>
      <c r="F698" s="20">
        <v>36737</v>
      </c>
      <c r="G698" s="16" t="str">
        <f t="shared" si="20"/>
        <v>July</v>
      </c>
      <c r="H698" s="2">
        <f t="shared" ca="1" si="21"/>
        <v>18</v>
      </c>
      <c r="I698" s="17" t="s">
        <v>71</v>
      </c>
      <c r="J698" s="18">
        <v>63329</v>
      </c>
      <c r="K698" s="19">
        <v>3</v>
      </c>
    </row>
    <row r="699" spans="1:11" x14ac:dyDescent="0.2">
      <c r="A699" s="11" t="s">
        <v>1416</v>
      </c>
      <c r="B699" s="14" t="s">
        <v>27</v>
      </c>
      <c r="C699" s="11" t="s">
        <v>152</v>
      </c>
      <c r="D699" s="15">
        <v>695008896</v>
      </c>
      <c r="E699" s="11" t="s">
        <v>21</v>
      </c>
      <c r="F699" s="20">
        <v>38682</v>
      </c>
      <c r="G699" s="16" t="str">
        <f t="shared" si="20"/>
        <v>November</v>
      </c>
      <c r="H699" s="2">
        <f t="shared" ca="1" si="21"/>
        <v>13</v>
      </c>
      <c r="I699" s="17"/>
      <c r="J699" s="18">
        <v>60791</v>
      </c>
      <c r="K699" s="19">
        <v>3</v>
      </c>
    </row>
    <row r="700" spans="1:11" x14ac:dyDescent="0.2">
      <c r="A700" s="11" t="s">
        <v>757</v>
      </c>
      <c r="B700" s="14" t="s">
        <v>43</v>
      </c>
      <c r="C700" s="11" t="s">
        <v>86</v>
      </c>
      <c r="D700" s="15">
        <v>662007915</v>
      </c>
      <c r="E700" s="11" t="s">
        <v>29</v>
      </c>
      <c r="F700" s="20">
        <v>39796</v>
      </c>
      <c r="G700" s="16" t="str">
        <f t="shared" si="20"/>
        <v>December</v>
      </c>
      <c r="H700" s="2">
        <f t="shared" ca="1" si="21"/>
        <v>10</v>
      </c>
      <c r="I700" s="17" t="s">
        <v>47</v>
      </c>
      <c r="J700" s="18">
        <v>66137</v>
      </c>
      <c r="K700" s="19">
        <v>5</v>
      </c>
    </row>
    <row r="701" spans="1:11" x14ac:dyDescent="0.2">
      <c r="A701" s="11" t="s">
        <v>1246</v>
      </c>
      <c r="B701" s="14" t="s">
        <v>19</v>
      </c>
      <c r="C701" s="11" t="s">
        <v>145</v>
      </c>
      <c r="D701" s="15">
        <v>644009557</v>
      </c>
      <c r="E701" s="11" t="s">
        <v>29</v>
      </c>
      <c r="F701" s="20">
        <v>38868</v>
      </c>
      <c r="G701" s="16" t="str">
        <f t="shared" si="20"/>
        <v>May</v>
      </c>
      <c r="H701" s="2">
        <f t="shared" ca="1" si="21"/>
        <v>13</v>
      </c>
      <c r="I701" s="17" t="s">
        <v>87</v>
      </c>
      <c r="J701" s="18">
        <v>106583</v>
      </c>
      <c r="K701" s="19">
        <v>1</v>
      </c>
    </row>
    <row r="702" spans="1:11" x14ac:dyDescent="0.2">
      <c r="A702" s="11" t="s">
        <v>240</v>
      </c>
      <c r="B702" s="14" t="s">
        <v>19</v>
      </c>
      <c r="C702" s="11" t="s">
        <v>20</v>
      </c>
      <c r="D702" s="15">
        <v>721009660</v>
      </c>
      <c r="E702" s="11" t="s">
        <v>29</v>
      </c>
      <c r="F702" s="20">
        <v>43130</v>
      </c>
      <c r="G702" s="16" t="str">
        <f t="shared" si="20"/>
        <v>January</v>
      </c>
      <c r="H702" s="2">
        <f t="shared" ca="1" si="21"/>
        <v>1</v>
      </c>
      <c r="I702" s="17" t="s">
        <v>87</v>
      </c>
      <c r="J702" s="18">
        <v>52286</v>
      </c>
      <c r="K702" s="19">
        <v>1</v>
      </c>
    </row>
    <row r="703" spans="1:11" x14ac:dyDescent="0.2">
      <c r="A703" s="11" t="s">
        <v>1152</v>
      </c>
      <c r="B703" s="14" t="s">
        <v>27</v>
      </c>
      <c r="C703" s="11" t="s">
        <v>136</v>
      </c>
      <c r="D703" s="15">
        <v>475001127</v>
      </c>
      <c r="E703" s="11" t="s">
        <v>29</v>
      </c>
      <c r="F703" s="20">
        <v>38814</v>
      </c>
      <c r="G703" s="16" t="str">
        <f t="shared" si="20"/>
        <v>April</v>
      </c>
      <c r="H703" s="2">
        <f t="shared" ca="1" si="21"/>
        <v>13</v>
      </c>
      <c r="I703" s="17" t="s">
        <v>30</v>
      </c>
      <c r="J703" s="18">
        <v>82917</v>
      </c>
      <c r="K703" s="19">
        <v>4</v>
      </c>
    </row>
    <row r="704" spans="1:11" x14ac:dyDescent="0.2">
      <c r="A704" s="11" t="s">
        <v>745</v>
      </c>
      <c r="B704" s="14" t="s">
        <v>43</v>
      </c>
      <c r="C704" s="11" t="s">
        <v>478</v>
      </c>
      <c r="D704" s="15">
        <v>620002502</v>
      </c>
      <c r="E704" s="11" t="s">
        <v>29</v>
      </c>
      <c r="F704" s="20">
        <v>41894</v>
      </c>
      <c r="G704" s="16" t="str">
        <f t="shared" si="20"/>
        <v>September</v>
      </c>
      <c r="H704" s="2">
        <f t="shared" ca="1" si="21"/>
        <v>4</v>
      </c>
      <c r="I704" s="17" t="s">
        <v>71</v>
      </c>
      <c r="J704" s="18">
        <v>96390</v>
      </c>
      <c r="K704" s="19">
        <v>4</v>
      </c>
    </row>
    <row r="705" spans="1:11" x14ac:dyDescent="0.2">
      <c r="A705" s="11" t="s">
        <v>717</v>
      </c>
      <c r="B705" s="14" t="s">
        <v>36</v>
      </c>
      <c r="C705" s="11" t="s">
        <v>86</v>
      </c>
      <c r="D705" s="15">
        <v>466000098</v>
      </c>
      <c r="E705" s="11" t="s">
        <v>21</v>
      </c>
      <c r="F705" s="20">
        <v>36910</v>
      </c>
      <c r="G705" s="16" t="str">
        <f t="shared" si="20"/>
        <v>January</v>
      </c>
      <c r="H705" s="2">
        <f t="shared" ca="1" si="21"/>
        <v>18</v>
      </c>
      <c r="I705" s="17"/>
      <c r="J705" s="18">
        <v>39150</v>
      </c>
      <c r="K705" s="19">
        <v>5</v>
      </c>
    </row>
    <row r="706" spans="1:11" x14ac:dyDescent="0.2">
      <c r="A706" s="4" t="s">
        <v>940</v>
      </c>
      <c r="B706" s="14" t="s">
        <v>19</v>
      </c>
      <c r="C706" s="11" t="s">
        <v>59</v>
      </c>
      <c r="D706" s="15">
        <v>622004162</v>
      </c>
      <c r="E706" s="11" t="s">
        <v>21</v>
      </c>
      <c r="F706" s="20">
        <v>37627</v>
      </c>
      <c r="G706" s="16" t="str">
        <f t="shared" ref="G706:G742" si="22">CHOOSE(MONTH(F706),"January","February","March","April","May","June","July","August","September","October","November","December")</f>
        <v>January</v>
      </c>
      <c r="H706" s="2">
        <f t="shared" ref="H706:H742" ca="1" si="23">DATEDIF(F706,TODAY(),"Y")</f>
        <v>16</v>
      </c>
      <c r="I706" s="17"/>
      <c r="J706" s="18">
        <v>35586</v>
      </c>
      <c r="K706" s="19">
        <v>4</v>
      </c>
    </row>
    <row r="707" spans="1:11" x14ac:dyDescent="0.2">
      <c r="A707" s="11" t="s">
        <v>1500</v>
      </c>
      <c r="B707" s="14" t="s">
        <v>51</v>
      </c>
      <c r="C707" s="11" t="s">
        <v>214</v>
      </c>
      <c r="D707" s="15">
        <v>240002873</v>
      </c>
      <c r="E707" s="11" t="s">
        <v>21</v>
      </c>
      <c r="F707" s="20">
        <v>41768</v>
      </c>
      <c r="G707" s="16" t="str">
        <f t="shared" si="22"/>
        <v>May</v>
      </c>
      <c r="H707" s="2">
        <f t="shared" ca="1" si="23"/>
        <v>5</v>
      </c>
      <c r="I707" s="17"/>
      <c r="J707" s="18">
        <v>108446</v>
      </c>
      <c r="K707" s="19">
        <v>4</v>
      </c>
    </row>
    <row r="708" spans="1:11" x14ac:dyDescent="0.2">
      <c r="A708" s="11" t="s">
        <v>630</v>
      </c>
      <c r="B708" s="14" t="s">
        <v>43</v>
      </c>
      <c r="C708" s="11" t="s">
        <v>152</v>
      </c>
      <c r="D708" s="15">
        <v>741008203</v>
      </c>
      <c r="E708" s="11" t="s">
        <v>21</v>
      </c>
      <c r="F708" s="20">
        <v>36645</v>
      </c>
      <c r="G708" s="16" t="str">
        <f t="shared" si="22"/>
        <v>April</v>
      </c>
      <c r="H708" s="2">
        <f t="shared" ca="1" si="23"/>
        <v>19</v>
      </c>
      <c r="I708" s="17"/>
      <c r="J708" s="18">
        <v>79823</v>
      </c>
      <c r="K708" s="19">
        <v>4</v>
      </c>
    </row>
    <row r="709" spans="1:11" x14ac:dyDescent="0.2">
      <c r="A709" s="11" t="s">
        <v>1410</v>
      </c>
      <c r="B709" s="14" t="s">
        <v>83</v>
      </c>
      <c r="C709" s="11" t="s">
        <v>152</v>
      </c>
      <c r="D709" s="15">
        <v>311009049</v>
      </c>
      <c r="E709" s="11" t="s">
        <v>29</v>
      </c>
      <c r="F709" s="20">
        <v>39099</v>
      </c>
      <c r="G709" s="16" t="str">
        <f t="shared" si="22"/>
        <v>January</v>
      </c>
      <c r="H709" s="2">
        <f t="shared" ca="1" si="23"/>
        <v>12</v>
      </c>
      <c r="I709" s="17" t="s">
        <v>71</v>
      </c>
      <c r="J709" s="18">
        <v>104868</v>
      </c>
      <c r="K709" s="19">
        <v>3</v>
      </c>
    </row>
    <row r="710" spans="1:11" x14ac:dyDescent="0.2">
      <c r="A710" s="11" t="s">
        <v>1274</v>
      </c>
      <c r="B710" s="14" t="s">
        <v>19</v>
      </c>
      <c r="C710" s="11" t="s">
        <v>145</v>
      </c>
      <c r="D710" s="15">
        <v>836003739</v>
      </c>
      <c r="E710" s="11" t="s">
        <v>80</v>
      </c>
      <c r="F710" s="20">
        <v>39387</v>
      </c>
      <c r="G710" s="16" t="str">
        <f t="shared" si="22"/>
        <v>November</v>
      </c>
      <c r="H710" s="2">
        <f t="shared" ca="1" si="23"/>
        <v>11</v>
      </c>
      <c r="I710" s="17" t="s">
        <v>38</v>
      </c>
      <c r="J710" s="18">
        <v>28337</v>
      </c>
      <c r="K710" s="19">
        <v>4</v>
      </c>
    </row>
    <row r="711" spans="1:11" x14ac:dyDescent="0.2">
      <c r="A711" s="11" t="s">
        <v>492</v>
      </c>
      <c r="B711" s="14" t="s">
        <v>27</v>
      </c>
      <c r="C711" s="11" t="s">
        <v>254</v>
      </c>
      <c r="D711" s="15">
        <v>474007484</v>
      </c>
      <c r="E711" s="11" t="s">
        <v>29</v>
      </c>
      <c r="F711" s="20">
        <v>36498</v>
      </c>
      <c r="G711" s="16" t="str">
        <f t="shared" si="22"/>
        <v>December</v>
      </c>
      <c r="H711" s="2">
        <f t="shared" ca="1" si="23"/>
        <v>19</v>
      </c>
      <c r="I711" s="17" t="s">
        <v>47</v>
      </c>
      <c r="J711" s="18">
        <v>107690</v>
      </c>
      <c r="K711" s="19">
        <v>4</v>
      </c>
    </row>
    <row r="712" spans="1:11" x14ac:dyDescent="0.2">
      <c r="A712" s="11" t="s">
        <v>1016</v>
      </c>
      <c r="B712" s="14" t="s">
        <v>83</v>
      </c>
      <c r="C712" s="11" t="s">
        <v>127</v>
      </c>
      <c r="D712" s="15">
        <v>529009767</v>
      </c>
      <c r="E712" s="11" t="s">
        <v>21</v>
      </c>
      <c r="F712" s="20">
        <v>38251</v>
      </c>
      <c r="G712" s="16" t="str">
        <f t="shared" si="22"/>
        <v>September</v>
      </c>
      <c r="H712" s="2">
        <f t="shared" ca="1" si="23"/>
        <v>14</v>
      </c>
      <c r="I712" s="17"/>
      <c r="J712" s="18">
        <v>78476</v>
      </c>
      <c r="K712" s="19">
        <v>2</v>
      </c>
    </row>
    <row r="713" spans="1:11" x14ac:dyDescent="0.2">
      <c r="A713" s="11" t="s">
        <v>1168</v>
      </c>
      <c r="B713" s="14" t="s">
        <v>43</v>
      </c>
      <c r="C713" s="11" t="s">
        <v>136</v>
      </c>
      <c r="D713" s="15">
        <v>991001095</v>
      </c>
      <c r="E713" s="11" t="s">
        <v>29</v>
      </c>
      <c r="F713" s="20">
        <v>38007</v>
      </c>
      <c r="G713" s="16" t="str">
        <f t="shared" si="22"/>
        <v>January</v>
      </c>
      <c r="H713" s="2">
        <f t="shared" ca="1" si="23"/>
        <v>15</v>
      </c>
      <c r="I713" s="17" t="s">
        <v>71</v>
      </c>
      <c r="J713" s="18">
        <v>40176</v>
      </c>
      <c r="K713" s="19">
        <v>2</v>
      </c>
    </row>
    <row r="714" spans="1:11" x14ac:dyDescent="0.2">
      <c r="A714" s="11" t="s">
        <v>222</v>
      </c>
      <c r="B714" s="14" t="s">
        <v>43</v>
      </c>
      <c r="C714" s="11" t="s">
        <v>20</v>
      </c>
      <c r="D714" s="15">
        <v>365007800</v>
      </c>
      <c r="E714" s="11" t="s">
        <v>29</v>
      </c>
      <c r="F714" s="20">
        <v>40816</v>
      </c>
      <c r="G714" s="16" t="str">
        <f t="shared" si="22"/>
        <v>September</v>
      </c>
      <c r="H714" s="2">
        <f t="shared" ca="1" si="23"/>
        <v>7</v>
      </c>
      <c r="I714" s="17" t="s">
        <v>47</v>
      </c>
      <c r="J714" s="18">
        <v>90302</v>
      </c>
      <c r="K714" s="19">
        <v>5</v>
      </c>
    </row>
    <row r="715" spans="1:11" x14ac:dyDescent="0.2">
      <c r="A715" s="11" t="s">
        <v>974</v>
      </c>
      <c r="B715" s="14" t="s">
        <v>27</v>
      </c>
      <c r="C715" s="11" t="s">
        <v>864</v>
      </c>
      <c r="D715" s="15">
        <v>974002089</v>
      </c>
      <c r="E715" s="11" t="s">
        <v>29</v>
      </c>
      <c r="F715" s="20">
        <v>37670</v>
      </c>
      <c r="G715" s="16" t="str">
        <f t="shared" si="22"/>
        <v>February</v>
      </c>
      <c r="H715" s="2">
        <f t="shared" ca="1" si="23"/>
        <v>16</v>
      </c>
      <c r="I715" s="17" t="s">
        <v>47</v>
      </c>
      <c r="J715" s="18">
        <v>85307</v>
      </c>
      <c r="K715" s="19">
        <v>1</v>
      </c>
    </row>
    <row r="716" spans="1:11" x14ac:dyDescent="0.2">
      <c r="A716" s="11" t="s">
        <v>749</v>
      </c>
      <c r="B716" s="14" t="s">
        <v>36</v>
      </c>
      <c r="C716" s="11" t="s">
        <v>478</v>
      </c>
      <c r="D716" s="15">
        <v>380003690</v>
      </c>
      <c r="E716" s="11" t="s">
        <v>21</v>
      </c>
      <c r="F716" s="20">
        <v>43148</v>
      </c>
      <c r="G716" s="16" t="str">
        <f t="shared" si="22"/>
        <v>February</v>
      </c>
      <c r="H716" s="2">
        <f t="shared" ca="1" si="23"/>
        <v>1</v>
      </c>
      <c r="I716" s="17"/>
      <c r="J716" s="18">
        <v>83552</v>
      </c>
      <c r="K716" s="19">
        <v>2</v>
      </c>
    </row>
    <row r="717" spans="1:11" x14ac:dyDescent="0.2">
      <c r="A717" s="11" t="s">
        <v>340</v>
      </c>
      <c r="B717" s="14" t="s">
        <v>43</v>
      </c>
      <c r="C717" s="11" t="s">
        <v>336</v>
      </c>
      <c r="D717" s="15">
        <v>885003638</v>
      </c>
      <c r="E717" s="11" t="s">
        <v>29</v>
      </c>
      <c r="F717" s="20">
        <v>39425</v>
      </c>
      <c r="G717" s="16" t="str">
        <f t="shared" si="22"/>
        <v>December</v>
      </c>
      <c r="H717" s="2">
        <f t="shared" ca="1" si="23"/>
        <v>11</v>
      </c>
      <c r="I717" s="17" t="s">
        <v>30</v>
      </c>
      <c r="J717" s="18">
        <v>101331</v>
      </c>
      <c r="K717" s="19">
        <v>5</v>
      </c>
    </row>
    <row r="718" spans="1:11" x14ac:dyDescent="0.2">
      <c r="A718" s="11" t="s">
        <v>295</v>
      </c>
      <c r="B718" s="14" t="s">
        <v>27</v>
      </c>
      <c r="C718" s="11" t="s">
        <v>28</v>
      </c>
      <c r="D718" s="15">
        <v>124003063</v>
      </c>
      <c r="E718" s="11" t="s">
        <v>80</v>
      </c>
      <c r="F718" s="20">
        <v>43428</v>
      </c>
      <c r="G718" s="16" t="str">
        <f t="shared" si="22"/>
        <v>November</v>
      </c>
      <c r="H718" s="2">
        <f t="shared" ca="1" si="23"/>
        <v>0</v>
      </c>
      <c r="I718" s="17" t="s">
        <v>30</v>
      </c>
      <c r="J718" s="18">
        <v>14202</v>
      </c>
      <c r="K718" s="19">
        <v>4</v>
      </c>
    </row>
    <row r="719" spans="1:11" x14ac:dyDescent="0.2">
      <c r="A719" s="11" t="s">
        <v>362</v>
      </c>
      <c r="B719" s="14" t="s">
        <v>51</v>
      </c>
      <c r="C719" s="11" t="s">
        <v>145</v>
      </c>
      <c r="D719" s="15">
        <v>265003407</v>
      </c>
      <c r="E719" s="11" t="s">
        <v>21</v>
      </c>
      <c r="F719" s="20">
        <v>36138</v>
      </c>
      <c r="G719" s="16" t="str">
        <f t="shared" si="22"/>
        <v>December</v>
      </c>
      <c r="H719" s="2">
        <f t="shared" ca="1" si="23"/>
        <v>20</v>
      </c>
      <c r="I719" s="17"/>
      <c r="J719" s="18">
        <v>120758</v>
      </c>
      <c r="K719" s="19">
        <v>2</v>
      </c>
    </row>
    <row r="720" spans="1:11" x14ac:dyDescent="0.2">
      <c r="A720" s="11" t="s">
        <v>1104</v>
      </c>
      <c r="B720" s="14" t="s">
        <v>43</v>
      </c>
      <c r="C720" s="11" t="s">
        <v>136</v>
      </c>
      <c r="D720" s="15">
        <v>525009951</v>
      </c>
      <c r="E720" s="11" t="s">
        <v>56</v>
      </c>
      <c r="F720" s="20">
        <v>38802</v>
      </c>
      <c r="G720" s="16" t="str">
        <f t="shared" si="22"/>
        <v>March</v>
      </c>
      <c r="H720" s="2">
        <f t="shared" ca="1" si="23"/>
        <v>13</v>
      </c>
      <c r="I720" s="17"/>
      <c r="J720" s="18">
        <v>19348</v>
      </c>
      <c r="K720" s="19">
        <v>5</v>
      </c>
    </row>
    <row r="721" spans="1:11" x14ac:dyDescent="0.2">
      <c r="A721" s="11" t="s">
        <v>530</v>
      </c>
      <c r="B721" s="14" t="s">
        <v>19</v>
      </c>
      <c r="C721" s="11" t="s">
        <v>214</v>
      </c>
      <c r="D721" s="15">
        <v>708008747</v>
      </c>
      <c r="E721" s="11" t="s">
        <v>29</v>
      </c>
      <c r="F721" s="20">
        <v>40799</v>
      </c>
      <c r="G721" s="16" t="str">
        <f t="shared" si="22"/>
        <v>September</v>
      </c>
      <c r="H721" s="2">
        <f t="shared" ca="1" si="23"/>
        <v>7</v>
      </c>
      <c r="I721" s="17" t="s">
        <v>47</v>
      </c>
      <c r="J721" s="18">
        <v>101488</v>
      </c>
      <c r="K721" s="19">
        <v>3</v>
      </c>
    </row>
    <row r="722" spans="1:11" x14ac:dyDescent="0.2">
      <c r="A722" s="11" t="s">
        <v>1290</v>
      </c>
      <c r="B722" s="14" t="s">
        <v>19</v>
      </c>
      <c r="C722" s="11" t="s">
        <v>214</v>
      </c>
      <c r="D722" s="15">
        <v>501003688</v>
      </c>
      <c r="E722" s="11" t="s">
        <v>29</v>
      </c>
      <c r="F722" s="20">
        <v>38376</v>
      </c>
      <c r="G722" s="16" t="str">
        <f t="shared" si="22"/>
        <v>January</v>
      </c>
      <c r="H722" s="2">
        <f t="shared" ca="1" si="23"/>
        <v>14</v>
      </c>
      <c r="I722" s="17" t="s">
        <v>47</v>
      </c>
      <c r="J722" s="18">
        <v>107636</v>
      </c>
      <c r="K722" s="19">
        <v>2</v>
      </c>
    </row>
    <row r="723" spans="1:11" x14ac:dyDescent="0.2">
      <c r="A723" s="11" t="s">
        <v>1118</v>
      </c>
      <c r="B723" s="14" t="s">
        <v>27</v>
      </c>
      <c r="C723" s="11" t="s">
        <v>249</v>
      </c>
      <c r="D723" s="15">
        <v>557008959</v>
      </c>
      <c r="E723" s="11" t="s">
        <v>21</v>
      </c>
      <c r="F723" s="20">
        <v>38303</v>
      </c>
      <c r="G723" s="16" t="str">
        <f t="shared" si="22"/>
        <v>November</v>
      </c>
      <c r="H723" s="2">
        <f t="shared" ca="1" si="23"/>
        <v>14</v>
      </c>
      <c r="I723" s="17"/>
      <c r="J723" s="18">
        <v>73157</v>
      </c>
      <c r="K723" s="19">
        <v>4</v>
      </c>
    </row>
    <row r="724" spans="1:11" x14ac:dyDescent="0.2">
      <c r="A724" s="11" t="s">
        <v>110</v>
      </c>
      <c r="B724" s="14" t="s">
        <v>27</v>
      </c>
      <c r="C724" s="11" t="s">
        <v>101</v>
      </c>
      <c r="D724" s="15">
        <v>198004686</v>
      </c>
      <c r="E724" s="11" t="s">
        <v>29</v>
      </c>
      <c r="F724" s="20">
        <v>36102</v>
      </c>
      <c r="G724" s="16" t="str">
        <f t="shared" si="22"/>
        <v>November</v>
      </c>
      <c r="H724" s="2">
        <f t="shared" ca="1" si="23"/>
        <v>20</v>
      </c>
      <c r="I724" s="17" t="s">
        <v>47</v>
      </c>
      <c r="J724" s="18">
        <v>96836</v>
      </c>
      <c r="K724" s="19">
        <v>1</v>
      </c>
    </row>
    <row r="725" spans="1:11" x14ac:dyDescent="0.2">
      <c r="A725" s="11" t="s">
        <v>224</v>
      </c>
      <c r="B725" s="14" t="s">
        <v>19</v>
      </c>
      <c r="C725" s="11" t="s">
        <v>214</v>
      </c>
      <c r="D725" s="15">
        <v>806008287</v>
      </c>
      <c r="E725" s="11" t="s">
        <v>29</v>
      </c>
      <c r="F725" s="20">
        <v>36487</v>
      </c>
      <c r="G725" s="16" t="str">
        <f t="shared" si="22"/>
        <v>November</v>
      </c>
      <c r="H725" s="2">
        <f t="shared" ca="1" si="23"/>
        <v>19</v>
      </c>
      <c r="I725" s="17" t="s">
        <v>47</v>
      </c>
      <c r="J725" s="18">
        <v>71469</v>
      </c>
      <c r="K725" s="19">
        <v>4</v>
      </c>
    </row>
    <row r="726" spans="1:11" x14ac:dyDescent="0.2">
      <c r="A726" s="11" t="s">
        <v>404</v>
      </c>
      <c r="B726" s="14" t="s">
        <v>43</v>
      </c>
      <c r="C726" s="11" t="s">
        <v>405</v>
      </c>
      <c r="D726" s="15">
        <v>776003797</v>
      </c>
      <c r="E726" s="11" t="s">
        <v>21</v>
      </c>
      <c r="F726" s="20">
        <v>36243</v>
      </c>
      <c r="G726" s="16" t="str">
        <f t="shared" si="22"/>
        <v>March</v>
      </c>
      <c r="H726" s="2">
        <f t="shared" ca="1" si="23"/>
        <v>20</v>
      </c>
      <c r="I726" s="17"/>
      <c r="J726" s="18">
        <v>115439</v>
      </c>
      <c r="K726" s="19">
        <v>4</v>
      </c>
    </row>
    <row r="727" spans="1:11" x14ac:dyDescent="0.2">
      <c r="A727" s="11" t="s">
        <v>1268</v>
      </c>
      <c r="B727" s="14" t="s">
        <v>43</v>
      </c>
      <c r="C727" s="11" t="s">
        <v>145</v>
      </c>
      <c r="D727" s="15">
        <v>855005948</v>
      </c>
      <c r="E727" s="11" t="s">
        <v>29</v>
      </c>
      <c r="F727" s="20">
        <v>42671</v>
      </c>
      <c r="G727" s="16" t="str">
        <f t="shared" si="22"/>
        <v>October</v>
      </c>
      <c r="H727" s="2">
        <f t="shared" ca="1" si="23"/>
        <v>2</v>
      </c>
      <c r="I727" s="17" t="s">
        <v>30</v>
      </c>
      <c r="J727" s="18">
        <v>97281</v>
      </c>
      <c r="K727" s="19">
        <v>2</v>
      </c>
    </row>
    <row r="728" spans="1:11" x14ac:dyDescent="0.2">
      <c r="A728" s="11" t="s">
        <v>880</v>
      </c>
      <c r="B728" s="14" t="s">
        <v>83</v>
      </c>
      <c r="C728" s="11" t="s">
        <v>249</v>
      </c>
      <c r="D728" s="15">
        <v>665006199</v>
      </c>
      <c r="E728" s="11" t="s">
        <v>29</v>
      </c>
      <c r="F728" s="20">
        <v>39423</v>
      </c>
      <c r="G728" s="16" t="str">
        <f t="shared" si="22"/>
        <v>December</v>
      </c>
      <c r="H728" s="2">
        <f t="shared" ca="1" si="23"/>
        <v>11</v>
      </c>
      <c r="I728" s="17" t="s">
        <v>71</v>
      </c>
      <c r="J728" s="18">
        <v>61358</v>
      </c>
      <c r="K728" s="19">
        <v>5</v>
      </c>
    </row>
    <row r="729" spans="1:11" x14ac:dyDescent="0.2">
      <c r="A729" s="11" t="s">
        <v>803</v>
      </c>
      <c r="B729" s="14" t="s">
        <v>27</v>
      </c>
      <c r="C729" s="11" t="s">
        <v>152</v>
      </c>
      <c r="D729" s="15">
        <v>763002349</v>
      </c>
      <c r="E729" s="11" t="s">
        <v>21</v>
      </c>
      <c r="F729" s="20">
        <v>36982</v>
      </c>
      <c r="G729" s="16" t="str">
        <f t="shared" si="22"/>
        <v>April</v>
      </c>
      <c r="H729" s="2">
        <f t="shared" ca="1" si="23"/>
        <v>18</v>
      </c>
      <c r="I729" s="17"/>
      <c r="J729" s="18">
        <v>101993</v>
      </c>
      <c r="K729" s="19">
        <v>3</v>
      </c>
    </row>
    <row r="730" spans="1:11" x14ac:dyDescent="0.2">
      <c r="A730" s="11" t="s">
        <v>657</v>
      </c>
      <c r="B730" s="14" t="s">
        <v>43</v>
      </c>
      <c r="C730" s="11" t="s">
        <v>214</v>
      </c>
      <c r="D730" s="15">
        <v>684004281</v>
      </c>
      <c r="E730" s="11" t="s">
        <v>29</v>
      </c>
      <c r="F730" s="20">
        <v>41002</v>
      </c>
      <c r="G730" s="16" t="str">
        <f t="shared" si="22"/>
        <v>April</v>
      </c>
      <c r="H730" s="2">
        <f t="shared" ca="1" si="23"/>
        <v>7</v>
      </c>
      <c r="I730" s="17" t="s">
        <v>47</v>
      </c>
      <c r="J730" s="18">
        <v>63909</v>
      </c>
      <c r="K730" s="19">
        <v>2</v>
      </c>
    </row>
    <row r="731" spans="1:11" x14ac:dyDescent="0.2">
      <c r="A731" s="11" t="s">
        <v>1146</v>
      </c>
      <c r="B731" s="14" t="s">
        <v>19</v>
      </c>
      <c r="C731" s="11" t="s">
        <v>136</v>
      </c>
      <c r="D731" s="15">
        <v>113002240</v>
      </c>
      <c r="E731" s="11" t="s">
        <v>29</v>
      </c>
      <c r="F731" s="20">
        <v>39392</v>
      </c>
      <c r="G731" s="16" t="str">
        <f t="shared" si="22"/>
        <v>November</v>
      </c>
      <c r="H731" s="2">
        <f t="shared" ca="1" si="23"/>
        <v>11</v>
      </c>
      <c r="I731" s="17" t="s">
        <v>47</v>
      </c>
      <c r="J731" s="18">
        <v>84240</v>
      </c>
      <c r="K731" s="19">
        <v>4</v>
      </c>
    </row>
    <row r="732" spans="1:11" x14ac:dyDescent="0.2">
      <c r="A732" s="11" t="s">
        <v>160</v>
      </c>
      <c r="B732" s="14" t="s">
        <v>83</v>
      </c>
      <c r="C732" s="4" t="s">
        <v>62</v>
      </c>
      <c r="D732" s="22">
        <v>415006748</v>
      </c>
      <c r="E732" s="4" t="s">
        <v>56</v>
      </c>
      <c r="F732" s="20">
        <v>36338</v>
      </c>
      <c r="G732" s="16" t="str">
        <f t="shared" si="22"/>
        <v>June</v>
      </c>
      <c r="H732" s="2">
        <f t="shared" ca="1" si="23"/>
        <v>19</v>
      </c>
      <c r="I732" s="17" t="s">
        <v>47</v>
      </c>
      <c r="J732" s="18">
        <v>39245</v>
      </c>
      <c r="K732" s="19">
        <v>3</v>
      </c>
    </row>
    <row r="733" spans="1:11" x14ac:dyDescent="0.2">
      <c r="A733" s="11" t="s">
        <v>417</v>
      </c>
      <c r="B733" s="14" t="s">
        <v>43</v>
      </c>
      <c r="C733" s="11" t="s">
        <v>20</v>
      </c>
      <c r="D733" s="15">
        <v>648001225</v>
      </c>
      <c r="E733" s="11" t="s">
        <v>21</v>
      </c>
      <c r="F733" s="20">
        <v>36837</v>
      </c>
      <c r="G733" s="16" t="str">
        <f t="shared" si="22"/>
        <v>November</v>
      </c>
      <c r="H733" s="2">
        <f t="shared" ca="1" si="23"/>
        <v>18</v>
      </c>
      <c r="I733" s="17"/>
      <c r="J733" s="18">
        <v>112077</v>
      </c>
      <c r="K733" s="19">
        <v>4</v>
      </c>
    </row>
    <row r="734" spans="1:11" x14ac:dyDescent="0.2">
      <c r="A734" s="11" t="s">
        <v>502</v>
      </c>
      <c r="B734" s="14" t="s">
        <v>27</v>
      </c>
      <c r="C734" s="11" t="s">
        <v>214</v>
      </c>
      <c r="D734" s="15">
        <v>167008119</v>
      </c>
      <c r="E734" s="11" t="s">
        <v>56</v>
      </c>
      <c r="F734" s="20">
        <v>40586</v>
      </c>
      <c r="G734" s="16" t="str">
        <f t="shared" si="22"/>
        <v>February</v>
      </c>
      <c r="H734" s="2">
        <f t="shared" ca="1" si="23"/>
        <v>8</v>
      </c>
      <c r="I734" s="17"/>
      <c r="J734" s="18">
        <v>12004</v>
      </c>
      <c r="K734" s="19">
        <v>1</v>
      </c>
    </row>
    <row r="735" spans="1:11" x14ac:dyDescent="0.2">
      <c r="A735" s="11" t="s">
        <v>918</v>
      </c>
      <c r="B735" s="14" t="s">
        <v>19</v>
      </c>
      <c r="C735" s="11" t="s">
        <v>254</v>
      </c>
      <c r="D735" s="15">
        <v>948002103</v>
      </c>
      <c r="E735" s="11" t="s">
        <v>56</v>
      </c>
      <c r="F735" s="20">
        <v>39185</v>
      </c>
      <c r="G735" s="16" t="str">
        <f t="shared" si="22"/>
        <v>April</v>
      </c>
      <c r="H735" s="2">
        <f t="shared" ca="1" si="23"/>
        <v>12</v>
      </c>
      <c r="I735" s="17"/>
      <c r="J735" s="18">
        <v>53681</v>
      </c>
      <c r="K735" s="19">
        <v>1</v>
      </c>
    </row>
    <row r="736" spans="1:11" x14ac:dyDescent="0.2">
      <c r="A736" s="11" t="s">
        <v>733</v>
      </c>
      <c r="B736" s="14" t="s">
        <v>19</v>
      </c>
      <c r="C736" s="11" t="s">
        <v>254</v>
      </c>
      <c r="D736" s="15">
        <v>934007306</v>
      </c>
      <c r="E736" s="11" t="s">
        <v>29</v>
      </c>
      <c r="F736" s="20">
        <v>36967</v>
      </c>
      <c r="G736" s="16" t="str">
        <f t="shared" si="22"/>
        <v>March</v>
      </c>
      <c r="H736" s="2">
        <f t="shared" ca="1" si="23"/>
        <v>18</v>
      </c>
      <c r="I736" s="17" t="s">
        <v>30</v>
      </c>
      <c r="J736" s="18">
        <v>98591</v>
      </c>
      <c r="K736" s="19">
        <v>5</v>
      </c>
    </row>
    <row r="737" spans="1:11" x14ac:dyDescent="0.2">
      <c r="A737" s="11" t="s">
        <v>679</v>
      </c>
      <c r="B737" s="14" t="s">
        <v>43</v>
      </c>
      <c r="C737" s="11" t="s">
        <v>214</v>
      </c>
      <c r="D737" s="15">
        <v>436008229</v>
      </c>
      <c r="E737" s="11" t="s">
        <v>21</v>
      </c>
      <c r="F737" s="20">
        <v>42678</v>
      </c>
      <c r="G737" s="16" t="str">
        <f t="shared" si="22"/>
        <v>November</v>
      </c>
      <c r="H737" s="2">
        <f t="shared" ca="1" si="23"/>
        <v>2</v>
      </c>
      <c r="I737" s="17"/>
      <c r="J737" s="18">
        <v>81054</v>
      </c>
      <c r="K737" s="19">
        <v>5</v>
      </c>
    </row>
    <row r="738" spans="1:11" x14ac:dyDescent="0.2">
      <c r="A738" s="11" t="s">
        <v>761</v>
      </c>
      <c r="B738" s="14" t="s">
        <v>19</v>
      </c>
      <c r="C738" s="11" t="s">
        <v>136</v>
      </c>
      <c r="D738" s="15">
        <v>313008310</v>
      </c>
      <c r="E738" s="11" t="s">
        <v>29</v>
      </c>
      <c r="F738" s="20">
        <v>37078</v>
      </c>
      <c r="G738" s="16" t="str">
        <f t="shared" si="22"/>
        <v>July</v>
      </c>
      <c r="H738" s="2">
        <f t="shared" ca="1" si="23"/>
        <v>17</v>
      </c>
      <c r="I738" s="17" t="s">
        <v>47</v>
      </c>
      <c r="J738" s="18">
        <v>84629</v>
      </c>
      <c r="K738" s="19">
        <v>2</v>
      </c>
    </row>
    <row r="739" spans="1:11" x14ac:dyDescent="0.2">
      <c r="A739" s="11" t="s">
        <v>590</v>
      </c>
      <c r="B739" s="14" t="s">
        <v>43</v>
      </c>
      <c r="C739" s="11" t="s">
        <v>214</v>
      </c>
      <c r="D739" s="15">
        <v>405006173</v>
      </c>
      <c r="E739" s="11" t="s">
        <v>29</v>
      </c>
      <c r="F739" s="20">
        <v>41589</v>
      </c>
      <c r="G739" s="16" t="str">
        <f t="shared" si="22"/>
        <v>November</v>
      </c>
      <c r="H739" s="2">
        <f t="shared" ca="1" si="23"/>
        <v>5</v>
      </c>
      <c r="I739" s="17" t="s">
        <v>71</v>
      </c>
      <c r="J739" s="18">
        <v>92759</v>
      </c>
      <c r="K739" s="19">
        <v>4</v>
      </c>
    </row>
    <row r="740" spans="1:11" x14ac:dyDescent="0.2">
      <c r="A740" s="11" t="s">
        <v>293</v>
      </c>
      <c r="B740" s="14" t="s">
        <v>19</v>
      </c>
      <c r="C740" s="11" t="s">
        <v>28</v>
      </c>
      <c r="D740" s="15">
        <v>651005963</v>
      </c>
      <c r="E740" s="11" t="s">
        <v>56</v>
      </c>
      <c r="F740" s="20">
        <v>43169</v>
      </c>
      <c r="G740" s="16" t="str">
        <f t="shared" si="22"/>
        <v>March</v>
      </c>
      <c r="H740" s="2">
        <f t="shared" ca="1" si="23"/>
        <v>1</v>
      </c>
      <c r="I740" s="17"/>
      <c r="J740" s="18">
        <v>37103</v>
      </c>
      <c r="K740" s="19">
        <v>4</v>
      </c>
    </row>
    <row r="741" spans="1:11" x14ac:dyDescent="0.2">
      <c r="A741" s="11" t="s">
        <v>771</v>
      </c>
      <c r="B741" s="14" t="s">
        <v>19</v>
      </c>
      <c r="C741" s="11" t="s">
        <v>145</v>
      </c>
      <c r="D741" s="15">
        <v>272009955</v>
      </c>
      <c r="E741" s="11" t="s">
        <v>29</v>
      </c>
      <c r="F741" s="20">
        <v>37141</v>
      </c>
      <c r="G741" s="16" t="str">
        <f t="shared" si="22"/>
        <v>September</v>
      </c>
      <c r="H741" s="2">
        <f t="shared" ca="1" si="23"/>
        <v>17</v>
      </c>
      <c r="I741" s="17" t="s">
        <v>38</v>
      </c>
      <c r="J741" s="18">
        <v>65462</v>
      </c>
      <c r="K741" s="19">
        <v>2</v>
      </c>
    </row>
    <row r="742" spans="1:11" x14ac:dyDescent="0.2">
      <c r="A742" s="11" t="s">
        <v>230</v>
      </c>
      <c r="B742" s="14" t="s">
        <v>43</v>
      </c>
      <c r="C742" s="11" t="s">
        <v>20</v>
      </c>
      <c r="D742" s="15">
        <v>822004734</v>
      </c>
      <c r="E742" s="11" t="s">
        <v>56</v>
      </c>
      <c r="F742" s="20">
        <v>39343</v>
      </c>
      <c r="G742" s="16" t="str">
        <f t="shared" si="22"/>
        <v>September</v>
      </c>
      <c r="H742" s="2">
        <f t="shared" ca="1" si="23"/>
        <v>11</v>
      </c>
      <c r="I742" s="17"/>
      <c r="J742" s="18">
        <v>44626</v>
      </c>
      <c r="K742" s="19">
        <v>5</v>
      </c>
    </row>
  </sheetData>
  <sortState xmlns:xlrd2="http://schemas.microsoft.com/office/spreadsheetml/2017/richdata2" ref="A2:K742">
    <sortCondition ref="A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Complex OR</vt:lpstr>
      <vt:lpstr>Specialized</vt:lpstr>
      <vt:lpstr>DuplicateData</vt:lpstr>
      <vt:lpstr>AutoFilter</vt:lpstr>
      <vt:lpstr>Specialized!Criteria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Microsoft Office User</cp:lastModifiedBy>
  <dcterms:created xsi:type="dcterms:W3CDTF">2019-04-17T04:03:06Z</dcterms:created>
  <dcterms:modified xsi:type="dcterms:W3CDTF">2019-06-05T17:03:26Z</dcterms:modified>
</cp:coreProperties>
</file>