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HEAT LOAD SERVICE BLOCK\"/>
    </mc:Choice>
  </mc:AlternateContent>
  <xr:revisionPtr revIDLastSave="0" documentId="13_ncr:1_{83FA72B8-6A7C-437E-B72F-44D1B05358F6}" xr6:coauthVersionLast="45" xr6:coauthVersionMax="45" xr10:uidLastSave="{00000000-0000-0000-0000-000000000000}"/>
  <bookViews>
    <workbookView xWindow="-108" yWindow="-108" windowWidth="23256" windowHeight="12576" tabRatio="974" xr2:uid="{00000000-000D-0000-FFFF-FFFF00000000}"/>
  </bookViews>
  <sheets>
    <sheet name="SUMMARY" sheetId="59" r:id="rId1"/>
    <sheet name="CSSD" sheetId="359" r:id="rId2"/>
    <sheet name="CSSD MANAGER" sheetId="66" r:id="rId3"/>
    <sheet name="WAITING  " sheetId="170" r:id="rId4"/>
    <sheet name="LOBBY" sheetId="67" r:id="rId5"/>
    <sheet name="MEDICAL STORE" sheetId="347" r:id="rId6"/>
    <sheet name="AIRLOCK" sheetId="68" r:id="rId7"/>
    <sheet name="CENTRAL RESEARCH LAB" sheetId="348" r:id="rId8"/>
    <sheet name="CENTRAL RESEARCH LAB FACULTY" sheetId="69" r:id="rId9"/>
    <sheet name="CENTRAL RESEARCH LAB E.LIBRARY" sheetId="349" r:id="rId10"/>
    <sheet name="CENTRAL RESEARCH LAB PREP.STORE" sheetId="70" r:id="rId11"/>
    <sheet name="PRIVATE ROOM 1" sheetId="71" r:id="rId12"/>
    <sheet name="PRIVATE ROOM 2" sheetId="72" r:id="rId13"/>
    <sheet name="PRIVATE ROOM 3" sheetId="73" r:id="rId14"/>
    <sheet name="PRIVATE ROOM 4" sheetId="74" r:id="rId15"/>
    <sheet name="PRIVATE ROOM 5" sheetId="76" r:id="rId16"/>
    <sheet name="PRIVATE ROOM 6" sheetId="78" r:id="rId17"/>
    <sheet name="PRIVATE ROOM 7" sheetId="77" r:id="rId18"/>
    <sheet name="PRIVATE ROOM 8" sheetId="361" r:id="rId19"/>
    <sheet name="PRIVATE ROOM 9" sheetId="362" r:id="rId20"/>
    <sheet name="PRIVATE ROOM 10" sheetId="363" r:id="rId21"/>
    <sheet name="PRIVATE ROOM 11" sheetId="364" r:id="rId22"/>
    <sheet name="PRIVATE ROOM 12" sheetId="365" r:id="rId23"/>
    <sheet name="PRIVATE ROOM 13" sheetId="366" r:id="rId24"/>
    <sheet name="PRIVATE ROOM 14" sheetId="367" r:id="rId25"/>
    <sheet name="COLD STORAGE" sheetId="79" r:id="rId26"/>
    <sheet name="PREPARATION ROOM" sheetId="80" r:id="rId27"/>
    <sheet name="DISINFECTION AIRLOCK" sheetId="81" r:id="rId28"/>
    <sheet name="PRE PCR" sheetId="171" r:id="rId29"/>
    <sheet name="PCR ASSAY ROOM" sheetId="82" r:id="rId30"/>
    <sheet name="POST PCR" sheetId="83" r:id="rId31"/>
    <sheet name="SKILL DEVELOPMENT LAB" sheetId="84" r:id="rId32"/>
    <sheet name="ROOM 1" sheetId="85" r:id="rId33"/>
    <sheet name="ROOM 2" sheetId="86" r:id="rId34"/>
    <sheet name="ROOM 3" sheetId="87" r:id="rId35"/>
    <sheet name="ROOM 4" sheetId="88" r:id="rId36"/>
    <sheet name="ROOM 5" sheetId="89" r:id="rId37"/>
    <sheet name="ROOM 6" sheetId="90" r:id="rId38"/>
    <sheet name="ROOM 7" sheetId="92" r:id="rId39"/>
    <sheet name="ROOM 8" sheetId="93" r:id="rId40"/>
    <sheet name="ROOM 9" sheetId="94" r:id="rId41"/>
    <sheet name="ROOM 10" sheetId="95" r:id="rId42"/>
    <sheet name="DEMONSTRATION OF SKILL" sheetId="96" r:id="rId43"/>
  </sheets>
  <definedNames>
    <definedName name="_xlnm.Print_Area" localSheetId="6">AIRLOCK!$A$1:$R$63</definedName>
    <definedName name="_xlnm.Print_Area" localSheetId="7">'CENTRAL RESEARCH LAB'!$A$1:$R$63</definedName>
    <definedName name="_xlnm.Print_Area" localSheetId="9">'CENTRAL RESEARCH LAB E.LIBRARY'!$A$1:$R$63</definedName>
    <definedName name="_xlnm.Print_Area" localSheetId="8">'CENTRAL RESEARCH LAB FACULTY'!$A$1:$R$63</definedName>
    <definedName name="_xlnm.Print_Area" localSheetId="10">'CENTRAL RESEARCH LAB PREP.STORE'!$A$1:$R$63</definedName>
    <definedName name="_xlnm.Print_Area" localSheetId="25">'COLD STORAGE'!$A$1:$R$63</definedName>
    <definedName name="_xlnm.Print_Area" localSheetId="1">CSSD!$A$1:$R$63</definedName>
    <definedName name="_xlnm.Print_Area" localSheetId="2">'CSSD MANAGER'!$A$1:$R$63</definedName>
    <definedName name="_xlnm.Print_Area" localSheetId="42">'DEMONSTRATION OF SKILL'!$A$1:$R$63</definedName>
    <definedName name="_xlnm.Print_Area" localSheetId="27">'DISINFECTION AIRLOCK'!$A$1:$R$63</definedName>
    <definedName name="_xlnm.Print_Area" localSheetId="4">LOBBY!$A$1:$R$63</definedName>
    <definedName name="_xlnm.Print_Area" localSheetId="5">'MEDICAL STORE'!$A$1:$R$63</definedName>
    <definedName name="_xlnm.Print_Area" localSheetId="29">'PCR ASSAY ROOM'!$A$1:$R$63</definedName>
    <definedName name="_xlnm.Print_Area" localSheetId="30">'POST PCR'!$A$1:$R$63</definedName>
    <definedName name="_xlnm.Print_Area" localSheetId="28">'PRE PCR'!$A$1:$R$63</definedName>
    <definedName name="_xlnm.Print_Area" localSheetId="26">'PREPARATION ROOM'!$A$1:$R$63</definedName>
    <definedName name="_xlnm.Print_Area" localSheetId="11">'PRIVATE ROOM 1'!$A$1:$R$63</definedName>
    <definedName name="_xlnm.Print_Area" localSheetId="20">'PRIVATE ROOM 10'!$A$1:$R$63</definedName>
    <definedName name="_xlnm.Print_Area" localSheetId="21">'PRIVATE ROOM 11'!$A$1:$R$63</definedName>
    <definedName name="_xlnm.Print_Area" localSheetId="22">'PRIVATE ROOM 12'!$A$1:$R$63</definedName>
    <definedName name="_xlnm.Print_Area" localSheetId="23">'PRIVATE ROOM 13'!$A$1:$R$63</definedName>
    <definedName name="_xlnm.Print_Area" localSheetId="24">'PRIVATE ROOM 14'!$A$1:$R$63</definedName>
    <definedName name="_xlnm.Print_Area" localSheetId="12">'PRIVATE ROOM 2'!$A$1:$R$63</definedName>
    <definedName name="_xlnm.Print_Area" localSheetId="13">'PRIVATE ROOM 3'!$A$1:$R$63</definedName>
    <definedName name="_xlnm.Print_Area" localSheetId="14">'PRIVATE ROOM 4'!$A$1:$R$63</definedName>
    <definedName name="_xlnm.Print_Area" localSheetId="15">'PRIVATE ROOM 5'!$A$1:$R$63</definedName>
    <definedName name="_xlnm.Print_Area" localSheetId="16">'PRIVATE ROOM 6'!$A$1:$R$63</definedName>
    <definedName name="_xlnm.Print_Area" localSheetId="17">'PRIVATE ROOM 7'!$A$1:$R$63</definedName>
    <definedName name="_xlnm.Print_Area" localSheetId="18">'PRIVATE ROOM 8'!$A$1:$R$63</definedName>
    <definedName name="_xlnm.Print_Area" localSheetId="19">'PRIVATE ROOM 9'!$A$1:$R$63</definedName>
    <definedName name="_xlnm.Print_Area" localSheetId="32">'ROOM 1'!$A$1:$R$63</definedName>
    <definedName name="_xlnm.Print_Area" localSheetId="41">'ROOM 10'!$A$1:$R$63</definedName>
    <definedName name="_xlnm.Print_Area" localSheetId="33">'ROOM 2'!$A$1:$R$63</definedName>
    <definedName name="_xlnm.Print_Area" localSheetId="34">'ROOM 3'!$A$1:$R$63</definedName>
    <definedName name="_xlnm.Print_Area" localSheetId="35">'ROOM 4'!$A$1:$R$63</definedName>
    <definedName name="_xlnm.Print_Area" localSheetId="36">'ROOM 5'!$A$1:$R$63</definedName>
    <definedName name="_xlnm.Print_Area" localSheetId="37">'ROOM 6'!$A$1:$R$63</definedName>
    <definedName name="_xlnm.Print_Area" localSheetId="38">'ROOM 7'!$A$1:$R$63</definedName>
    <definedName name="_xlnm.Print_Area" localSheetId="39">'ROOM 8'!$A$1:$R$63</definedName>
    <definedName name="_xlnm.Print_Area" localSheetId="40">'ROOM 9'!$A$1:$R$63</definedName>
    <definedName name="_xlnm.Print_Area" localSheetId="31">'SKILL DEVELOPMENT LAB'!$A$1:$R$63</definedName>
    <definedName name="_xlnm.Print_Area" localSheetId="0">SUMMARY!$A$1:$O$63</definedName>
    <definedName name="_xlnm.Print_Area" localSheetId="3">'WAITING  '!$A$1:$R$63</definedName>
  </definedNames>
  <calcPr calcId="181029"/>
</workbook>
</file>

<file path=xl/calcChain.xml><?xml version="1.0" encoding="utf-8"?>
<calcChain xmlns="http://schemas.openxmlformats.org/spreadsheetml/2006/main">
  <c r="J26" i="59" l="1"/>
  <c r="H33" i="59" l="1"/>
  <c r="I33" i="59"/>
  <c r="H53" i="59"/>
  <c r="I53" i="59"/>
  <c r="H17" i="59"/>
  <c r="I17" i="59"/>
  <c r="H7" i="59"/>
  <c r="I7" i="59"/>
  <c r="J19" i="59"/>
  <c r="I55" i="59" l="1"/>
  <c r="H55" i="59"/>
  <c r="N27" i="367" l="1"/>
  <c r="C36" i="367" s="1"/>
  <c r="G36" i="367" s="1"/>
  <c r="N26" i="367"/>
  <c r="N27" i="366"/>
  <c r="C36" i="366" s="1"/>
  <c r="G36" i="366" s="1"/>
  <c r="N26" i="366"/>
  <c r="I13" i="366" s="1"/>
  <c r="N27" i="365"/>
  <c r="C36" i="365" s="1"/>
  <c r="G36" i="365" s="1"/>
  <c r="N26" i="365"/>
  <c r="I13" i="365" s="1"/>
  <c r="C35" i="365" s="1"/>
  <c r="N27" i="364"/>
  <c r="C36" i="364" s="1"/>
  <c r="G36" i="364" s="1"/>
  <c r="N26" i="364"/>
  <c r="I13" i="364" s="1"/>
  <c r="N27" i="363"/>
  <c r="C36" i="363" s="1"/>
  <c r="G36" i="363" s="1"/>
  <c r="N26" i="363"/>
  <c r="I13" i="363" s="1"/>
  <c r="N27" i="362"/>
  <c r="C36" i="362" s="1"/>
  <c r="G36" i="362" s="1"/>
  <c r="N26" i="362"/>
  <c r="I13" i="362" s="1"/>
  <c r="C35" i="362" s="1"/>
  <c r="N27" i="361"/>
  <c r="C36" i="361" s="1"/>
  <c r="G36" i="361" s="1"/>
  <c r="N26" i="361"/>
  <c r="I13" i="361" s="1"/>
  <c r="C35" i="361" s="1"/>
  <c r="Q23" i="96"/>
  <c r="N14" i="96"/>
  <c r="N18" i="96"/>
  <c r="N19" i="96"/>
  <c r="N12" i="96"/>
  <c r="N16" i="96" s="1"/>
  <c r="N19" i="95"/>
  <c r="N12" i="95"/>
  <c r="N16" i="95"/>
  <c r="Q24" i="94"/>
  <c r="Q23" i="94"/>
  <c r="N20" i="94"/>
  <c r="N18" i="94"/>
  <c r="Q23" i="93"/>
  <c r="Q23" i="92"/>
  <c r="Q23" i="90"/>
  <c r="Q23" i="89"/>
  <c r="N18" i="93"/>
  <c r="N18" i="92"/>
  <c r="N18" i="90"/>
  <c r="N18" i="89"/>
  <c r="N19" i="88"/>
  <c r="Q23" i="88"/>
  <c r="N21" i="87"/>
  <c r="N20" i="87"/>
  <c r="N18" i="87"/>
  <c r="N19" i="85"/>
  <c r="N19" i="86"/>
  <c r="Q22" i="85"/>
  <c r="N12" i="84"/>
  <c r="N16" i="84"/>
  <c r="Q21" i="84"/>
  <c r="Q23" i="84"/>
  <c r="N12" i="83"/>
  <c r="N16" i="83"/>
  <c r="Q21" i="83"/>
  <c r="N19" i="171"/>
  <c r="N19" i="81"/>
  <c r="N19" i="80"/>
  <c r="N19" i="82"/>
  <c r="Q21" i="82"/>
  <c r="Q21" i="171"/>
  <c r="Q23" i="171"/>
  <c r="Q23" i="81"/>
  <c r="Q22" i="81"/>
  <c r="Q21" i="81"/>
  <c r="Q23" i="80"/>
  <c r="Q22" i="80"/>
  <c r="Q21" i="80"/>
  <c r="Q23" i="79"/>
  <c r="Q22" i="79"/>
  <c r="Q21" i="79"/>
  <c r="N14" i="367"/>
  <c r="N18" i="367"/>
  <c r="C20" i="367" s="1"/>
  <c r="N16" i="367"/>
  <c r="Q24" i="366"/>
  <c r="Q24" i="364"/>
  <c r="Q24" i="362"/>
  <c r="N12" i="362"/>
  <c r="B55" i="367"/>
  <c r="B54" i="367"/>
  <c r="L49" i="367"/>
  <c r="G46" i="367"/>
  <c r="L44" i="367"/>
  <c r="B44" i="367"/>
  <c r="E32" i="367"/>
  <c r="B32" i="367"/>
  <c r="C28" i="367"/>
  <c r="C27" i="367"/>
  <c r="I13" i="367"/>
  <c r="R25" i="367"/>
  <c r="N22" i="367" s="1"/>
  <c r="C26" i="367" s="1"/>
  <c r="E25" i="367"/>
  <c r="C21" i="367"/>
  <c r="C19" i="367"/>
  <c r="C17" i="367"/>
  <c r="C14" i="367"/>
  <c r="G14" i="367" s="1"/>
  <c r="G13" i="367"/>
  <c r="C13" i="367"/>
  <c r="N12" i="367"/>
  <c r="N20" i="367" s="1"/>
  <c r="C24" i="367" s="1"/>
  <c r="C12" i="367"/>
  <c r="G12" i="367" s="1"/>
  <c r="C11" i="367"/>
  <c r="G11" i="367" s="1"/>
  <c r="N8" i="367"/>
  <c r="Q23" i="367" s="1"/>
  <c r="L7" i="367"/>
  <c r="E44" i="367" s="1"/>
  <c r="I7" i="367"/>
  <c r="E24" i="367" s="1"/>
  <c r="O5" i="367"/>
  <c r="N10" i="367" s="1"/>
  <c r="O4" i="367"/>
  <c r="O3" i="367"/>
  <c r="N9" i="367" s="1"/>
  <c r="B55" i="366"/>
  <c r="B54" i="366"/>
  <c r="L49" i="366"/>
  <c r="G46" i="366"/>
  <c r="L44" i="366"/>
  <c r="B44" i="366"/>
  <c r="B32" i="366"/>
  <c r="C28" i="366"/>
  <c r="C27" i="366"/>
  <c r="E26" i="366"/>
  <c r="G26" i="366" s="1"/>
  <c r="R25" i="366"/>
  <c r="E25" i="366"/>
  <c r="N22" i="366"/>
  <c r="C26" i="366" s="1"/>
  <c r="C21" i="366"/>
  <c r="C20" i="366"/>
  <c r="E19" i="366"/>
  <c r="G19" i="366" s="1"/>
  <c r="C19" i="366"/>
  <c r="C17" i="366"/>
  <c r="C14" i="366"/>
  <c r="G14" i="366" s="1"/>
  <c r="G13" i="366"/>
  <c r="C13" i="366"/>
  <c r="N12" i="366"/>
  <c r="N20" i="366" s="1"/>
  <c r="C24" i="366" s="1"/>
  <c r="C12" i="366"/>
  <c r="G12" i="366" s="1"/>
  <c r="C11" i="366"/>
  <c r="G11" i="366" s="1"/>
  <c r="L7" i="366"/>
  <c r="E44" i="366" s="1"/>
  <c r="I7" i="366"/>
  <c r="E24" i="366" s="1"/>
  <c r="O5" i="366"/>
  <c r="N10" i="366" s="1"/>
  <c r="O4" i="366"/>
  <c r="N8" i="366" s="1"/>
  <c r="O3" i="366"/>
  <c r="N9" i="366" s="1"/>
  <c r="B55" i="365"/>
  <c r="B54" i="365"/>
  <c r="L49" i="365"/>
  <c r="G46" i="365"/>
  <c r="L44" i="365"/>
  <c r="B44" i="365"/>
  <c r="B32" i="365"/>
  <c r="C28" i="365"/>
  <c r="C27" i="365"/>
  <c r="R25" i="365"/>
  <c r="E25" i="365"/>
  <c r="E26" i="365" s="1"/>
  <c r="G26" i="365" s="1"/>
  <c r="N22" i="365"/>
  <c r="C26" i="365" s="1"/>
  <c r="C21" i="365"/>
  <c r="C20" i="365"/>
  <c r="C19" i="365"/>
  <c r="C17" i="365"/>
  <c r="C14" i="365"/>
  <c r="G14" i="365" s="1"/>
  <c r="G13" i="365"/>
  <c r="C13" i="365"/>
  <c r="N12" i="365"/>
  <c r="N20" i="365" s="1"/>
  <c r="C24" i="365" s="1"/>
  <c r="C12" i="365"/>
  <c r="G12" i="365" s="1"/>
  <c r="G11" i="365"/>
  <c r="C11" i="365"/>
  <c r="L7" i="365"/>
  <c r="E44" i="365" s="1"/>
  <c r="I7" i="365"/>
  <c r="E24" i="365" s="1"/>
  <c r="O5" i="365"/>
  <c r="N10" i="365" s="1"/>
  <c r="O4" i="365"/>
  <c r="N8" i="365" s="1"/>
  <c r="O3" i="365"/>
  <c r="N9" i="365" s="1"/>
  <c r="B55" i="364"/>
  <c r="B54" i="364"/>
  <c r="L49" i="364"/>
  <c r="G46" i="364"/>
  <c r="L44" i="364"/>
  <c r="B44" i="364"/>
  <c r="B32" i="364"/>
  <c r="C28" i="364"/>
  <c r="C27" i="364"/>
  <c r="R25" i="364"/>
  <c r="N22" i="364" s="1"/>
  <c r="C26" i="364" s="1"/>
  <c r="E25" i="364"/>
  <c r="C21" i="364"/>
  <c r="N20" i="364"/>
  <c r="C24" i="364" s="1"/>
  <c r="C20" i="364"/>
  <c r="C19" i="364"/>
  <c r="C17" i="364"/>
  <c r="C14" i="364"/>
  <c r="G14" i="364" s="1"/>
  <c r="C13" i="364"/>
  <c r="G13" i="364" s="1"/>
  <c r="N12" i="364"/>
  <c r="C12" i="364" s="1"/>
  <c r="G12" i="364" s="1"/>
  <c r="C11" i="364"/>
  <c r="G11" i="364" s="1"/>
  <c r="N10" i="364"/>
  <c r="Q22" i="364" s="1"/>
  <c r="N7" i="364"/>
  <c r="C7" i="364" s="1"/>
  <c r="L7" i="364"/>
  <c r="E55" i="364" s="1"/>
  <c r="I7" i="364"/>
  <c r="E21" i="364" s="1"/>
  <c r="G21" i="364" s="1"/>
  <c r="O5" i="364"/>
  <c r="O4" i="364"/>
  <c r="N8" i="364" s="1"/>
  <c r="O3" i="364"/>
  <c r="N9" i="364" s="1"/>
  <c r="B55" i="363"/>
  <c r="B54" i="363"/>
  <c r="L49" i="363"/>
  <c r="G46" i="363"/>
  <c r="L44" i="363"/>
  <c r="B44" i="363"/>
  <c r="B32" i="363"/>
  <c r="C28" i="363"/>
  <c r="C27" i="363"/>
  <c r="E26" i="363"/>
  <c r="G26" i="363" s="1"/>
  <c r="R25" i="363"/>
  <c r="E25" i="363"/>
  <c r="N22" i="363"/>
  <c r="C26" i="363" s="1"/>
  <c r="C21" i="363"/>
  <c r="C20" i="363"/>
  <c r="C19" i="363"/>
  <c r="C17" i="363"/>
  <c r="C14" i="363"/>
  <c r="G14" i="363" s="1"/>
  <c r="C13" i="363"/>
  <c r="G13" i="363" s="1"/>
  <c r="N12" i="363"/>
  <c r="N20" i="363" s="1"/>
  <c r="C24" i="363" s="1"/>
  <c r="C12" i="363"/>
  <c r="G12" i="363" s="1"/>
  <c r="C11" i="363"/>
  <c r="G11" i="363" s="1"/>
  <c r="L7" i="363"/>
  <c r="E44" i="363" s="1"/>
  <c r="I7" i="363"/>
  <c r="E24" i="363" s="1"/>
  <c r="G24" i="363" s="1"/>
  <c r="O5" i="363"/>
  <c r="N10" i="363" s="1"/>
  <c r="O4" i="363"/>
  <c r="N8" i="363" s="1"/>
  <c r="O3" i="363"/>
  <c r="B55" i="362"/>
  <c r="B54" i="362"/>
  <c r="L49" i="362"/>
  <c r="G46" i="362"/>
  <c r="L44" i="362"/>
  <c r="B44" i="362"/>
  <c r="B32" i="362"/>
  <c r="C28" i="362"/>
  <c r="C27" i="362"/>
  <c r="R25" i="362"/>
  <c r="N22" i="362" s="1"/>
  <c r="C26" i="362" s="1"/>
  <c r="E25" i="362"/>
  <c r="C21" i="362"/>
  <c r="N20" i="362"/>
  <c r="C24" i="362" s="1"/>
  <c r="C20" i="362"/>
  <c r="C19" i="362"/>
  <c r="E17" i="362"/>
  <c r="G17" i="362" s="1"/>
  <c r="C17" i="362"/>
  <c r="C14" i="362"/>
  <c r="G14" i="362" s="1"/>
  <c r="G13" i="362"/>
  <c r="C13" i="362"/>
  <c r="C12" i="362"/>
  <c r="G12" i="362" s="1"/>
  <c r="C11" i="362"/>
  <c r="G11" i="362" s="1"/>
  <c r="N7" i="362"/>
  <c r="C7" i="362" s="1"/>
  <c r="L7" i="362"/>
  <c r="E55" i="362" s="1"/>
  <c r="I7" i="362"/>
  <c r="E21" i="362" s="1"/>
  <c r="G21" i="362" s="1"/>
  <c r="O5" i="362"/>
  <c r="N10" i="362" s="1"/>
  <c r="O4" i="362"/>
  <c r="N8" i="362" s="1"/>
  <c r="O3" i="362"/>
  <c r="N9" i="362" s="1"/>
  <c r="Q21" i="361"/>
  <c r="Q22" i="361"/>
  <c r="N12" i="361"/>
  <c r="N20" i="361" s="1"/>
  <c r="C24" i="361" s="1"/>
  <c r="B55" i="361"/>
  <c r="B54" i="361"/>
  <c r="L49" i="361"/>
  <c r="G46" i="361"/>
  <c r="L44" i="361"/>
  <c r="B44" i="361"/>
  <c r="B32" i="361"/>
  <c r="C28" i="361"/>
  <c r="C27" i="361"/>
  <c r="E26" i="361"/>
  <c r="G26" i="361" s="1"/>
  <c r="C26" i="361"/>
  <c r="R25" i="361"/>
  <c r="E25" i="361"/>
  <c r="N22" i="361"/>
  <c r="C21" i="361"/>
  <c r="C20" i="361"/>
  <c r="C19" i="361"/>
  <c r="C17" i="361"/>
  <c r="G14" i="361"/>
  <c r="C14" i="361"/>
  <c r="G13" i="361"/>
  <c r="C13" i="361"/>
  <c r="C11" i="361"/>
  <c r="G11" i="361" s="1"/>
  <c r="N9" i="361"/>
  <c r="E7" i="361" s="1"/>
  <c r="N8" i="361"/>
  <c r="Q23" i="361" s="1"/>
  <c r="L7" i="361"/>
  <c r="E44" i="361" s="1"/>
  <c r="I7" i="361"/>
  <c r="E32" i="361" s="1"/>
  <c r="O5" i="361"/>
  <c r="N10" i="361" s="1"/>
  <c r="O4" i="361"/>
  <c r="O3" i="361"/>
  <c r="N7" i="361" s="1"/>
  <c r="Q23" i="77"/>
  <c r="N12" i="77"/>
  <c r="N16" i="77" s="1"/>
  <c r="Q21" i="77"/>
  <c r="Q24" i="78"/>
  <c r="Q21" i="78"/>
  <c r="N13" i="78"/>
  <c r="N17" i="78" s="1"/>
  <c r="Q22" i="78"/>
  <c r="Q24" i="76"/>
  <c r="N13" i="76"/>
  <c r="N17" i="76" s="1"/>
  <c r="Q22" i="76"/>
  <c r="Q23" i="74"/>
  <c r="Q24" i="74"/>
  <c r="N17" i="74"/>
  <c r="Q22" i="74"/>
  <c r="N13" i="73"/>
  <c r="N17" i="73" s="1"/>
  <c r="Q22" i="73"/>
  <c r="N17" i="72"/>
  <c r="Q22" i="72"/>
  <c r="Q23" i="71"/>
  <c r="Q24" i="71"/>
  <c r="N17" i="71"/>
  <c r="Q22" i="71"/>
  <c r="Q21" i="71"/>
  <c r="N12" i="70"/>
  <c r="N16" i="70" s="1"/>
  <c r="N14" i="70"/>
  <c r="N18" i="70"/>
  <c r="N14" i="349"/>
  <c r="N18" i="349" s="1"/>
  <c r="Q23" i="69"/>
  <c r="N18" i="69"/>
  <c r="Q23" i="348"/>
  <c r="N12" i="348"/>
  <c r="N16" i="348"/>
  <c r="Q24" i="68"/>
  <c r="Q23" i="68"/>
  <c r="Q21" i="68"/>
  <c r="Q24" i="347"/>
  <c r="Q23" i="347"/>
  <c r="N12" i="347"/>
  <c r="N16" i="347"/>
  <c r="Q21" i="347"/>
  <c r="Q22" i="67"/>
  <c r="Q21" i="67"/>
  <c r="Q23" i="170"/>
  <c r="Q21" i="170"/>
  <c r="Q24" i="66"/>
  <c r="Q22" i="66"/>
  <c r="Q21" i="66"/>
  <c r="Q24" i="359"/>
  <c r="Q23" i="359"/>
  <c r="Q21" i="359"/>
  <c r="N27" i="359"/>
  <c r="C36" i="359" s="1"/>
  <c r="G36" i="359" s="1"/>
  <c r="N26" i="359"/>
  <c r="I13" i="359" s="1"/>
  <c r="B55" i="359"/>
  <c r="E54" i="359"/>
  <c r="B54" i="359"/>
  <c r="L49" i="359"/>
  <c r="G46" i="359"/>
  <c r="L44" i="359"/>
  <c r="B44" i="359"/>
  <c r="B32" i="359"/>
  <c r="E28" i="359"/>
  <c r="G28" i="359" s="1"/>
  <c r="C28" i="359"/>
  <c r="C27" i="359"/>
  <c r="R25" i="359"/>
  <c r="N22" i="359" s="1"/>
  <c r="C26" i="359" s="1"/>
  <c r="E25" i="359"/>
  <c r="E26" i="359" s="1"/>
  <c r="G26" i="359" s="1"/>
  <c r="C21" i="359"/>
  <c r="N20" i="359"/>
  <c r="C24" i="359" s="1"/>
  <c r="E20" i="359"/>
  <c r="C19" i="359"/>
  <c r="N18" i="359"/>
  <c r="C20" i="359" s="1"/>
  <c r="C18" i="359"/>
  <c r="C14" i="359"/>
  <c r="G14" i="359" s="1"/>
  <c r="G13" i="359"/>
  <c r="C13" i="359"/>
  <c r="C12" i="359"/>
  <c r="G12" i="359" s="1"/>
  <c r="C11" i="359"/>
  <c r="G11" i="359" s="1"/>
  <c r="N10" i="359"/>
  <c r="F7" i="359" s="1"/>
  <c r="L7" i="359"/>
  <c r="E44" i="359" s="1"/>
  <c r="I7" i="359"/>
  <c r="E24" i="359" s="1"/>
  <c r="G24" i="359" s="1"/>
  <c r="O5" i="359"/>
  <c r="O4" i="359"/>
  <c r="N8" i="359" s="1"/>
  <c r="D7" i="359" s="1"/>
  <c r="O3" i="359"/>
  <c r="N7" i="359" s="1"/>
  <c r="D30" i="59"/>
  <c r="J14" i="59"/>
  <c r="J20" i="59"/>
  <c r="M27" i="59"/>
  <c r="F29" i="59"/>
  <c r="J32" i="59"/>
  <c r="J31" i="59"/>
  <c r="J37" i="59"/>
  <c r="J23" i="59"/>
  <c r="J11" i="59"/>
  <c r="F27" i="59"/>
  <c r="J9" i="59"/>
  <c r="M31" i="59"/>
  <c r="M30" i="59"/>
  <c r="N30" i="59"/>
  <c r="G32" i="59"/>
  <c r="F32" i="59"/>
  <c r="M32" i="59"/>
  <c r="J16" i="59"/>
  <c r="J40" i="59"/>
  <c r="J27" i="59"/>
  <c r="E32" i="59"/>
  <c r="J10" i="59"/>
  <c r="J15" i="59"/>
  <c r="J39" i="59"/>
  <c r="G26" i="59"/>
  <c r="M26" i="59"/>
  <c r="N32" i="59"/>
  <c r="G27" i="59"/>
  <c r="J51" i="59"/>
  <c r="N31" i="59"/>
  <c r="J36" i="59"/>
  <c r="J35" i="59"/>
  <c r="J30" i="59"/>
  <c r="F30" i="59"/>
  <c r="J38" i="59"/>
  <c r="E26" i="59"/>
  <c r="G31" i="59"/>
  <c r="J41" i="59"/>
  <c r="J45" i="59"/>
  <c r="F26" i="59"/>
  <c r="D28" i="59"/>
  <c r="J5" i="59"/>
  <c r="D27" i="59"/>
  <c r="E30" i="59"/>
  <c r="J24" i="59"/>
  <c r="J6" i="59"/>
  <c r="F31" i="59"/>
  <c r="J13" i="59"/>
  <c r="E31" i="59"/>
  <c r="J28" i="59"/>
  <c r="D31" i="59"/>
  <c r="N29" i="59"/>
  <c r="E28" i="59"/>
  <c r="J25" i="59"/>
  <c r="M29" i="59"/>
  <c r="J12" i="59"/>
  <c r="J21" i="59"/>
  <c r="G30" i="59"/>
  <c r="J43" i="59"/>
  <c r="M28" i="59"/>
  <c r="G29" i="59"/>
  <c r="J42" i="59"/>
  <c r="D32" i="59"/>
  <c r="J49" i="59"/>
  <c r="J44" i="59"/>
  <c r="N27" i="59"/>
  <c r="J46" i="59"/>
  <c r="F28" i="59"/>
  <c r="J48" i="59"/>
  <c r="E27" i="59"/>
  <c r="J47" i="59"/>
  <c r="J52" i="59"/>
  <c r="D29" i="59"/>
  <c r="J29" i="59"/>
  <c r="J22" i="59"/>
  <c r="D26" i="59"/>
  <c r="E29" i="59"/>
  <c r="J50" i="59"/>
  <c r="J33" i="59" l="1"/>
  <c r="J53" i="59"/>
  <c r="J17" i="59"/>
  <c r="J7" i="59"/>
  <c r="E17" i="366"/>
  <c r="G17" i="366" s="1"/>
  <c r="E20" i="366"/>
  <c r="G20" i="366" s="1"/>
  <c r="E28" i="366"/>
  <c r="G28" i="366" s="1"/>
  <c r="E54" i="366"/>
  <c r="E19" i="365"/>
  <c r="G19" i="365" s="1"/>
  <c r="E28" i="365"/>
  <c r="E27" i="365" s="1"/>
  <c r="G27" i="365" s="1"/>
  <c r="E54" i="365"/>
  <c r="E18" i="364"/>
  <c r="E17" i="364"/>
  <c r="G17" i="364" s="1"/>
  <c r="E32" i="364"/>
  <c r="E44" i="364"/>
  <c r="E19" i="363"/>
  <c r="G19" i="363" s="1"/>
  <c r="E17" i="363"/>
  <c r="G17" i="363" s="1"/>
  <c r="E20" i="363"/>
  <c r="G20" i="363" s="1"/>
  <c r="E28" i="363"/>
  <c r="E27" i="363" s="1"/>
  <c r="G27" i="363" s="1"/>
  <c r="E54" i="363"/>
  <c r="E44" i="362"/>
  <c r="E55" i="361"/>
  <c r="E24" i="361"/>
  <c r="E18" i="359"/>
  <c r="G18" i="359" s="1"/>
  <c r="L13" i="365"/>
  <c r="L13" i="364"/>
  <c r="C35" i="364"/>
  <c r="Q12" i="364" s="1"/>
  <c r="N9" i="363"/>
  <c r="C18" i="367"/>
  <c r="Q22" i="367"/>
  <c r="Q21" i="367"/>
  <c r="F7" i="367"/>
  <c r="E7" i="367"/>
  <c r="N28" i="367"/>
  <c r="C37" i="367" s="1"/>
  <c r="G37" i="367" s="1"/>
  <c r="G24" i="367"/>
  <c r="C35" i="367"/>
  <c r="L13" i="367"/>
  <c r="E19" i="367"/>
  <c r="G19" i="367" s="1"/>
  <c r="E26" i="367"/>
  <c r="G26" i="367" s="1"/>
  <c r="E28" i="367"/>
  <c r="E54" i="367"/>
  <c r="N7" i="367"/>
  <c r="C7" i="367" s="1"/>
  <c r="E17" i="367"/>
  <c r="G17" i="367" s="1"/>
  <c r="E20" i="367"/>
  <c r="G20" i="367" s="1"/>
  <c r="D7" i="367"/>
  <c r="E55" i="367"/>
  <c r="E18" i="367"/>
  <c r="E21" i="367"/>
  <c r="G21" i="367" s="1"/>
  <c r="C35" i="366"/>
  <c r="L13" i="366"/>
  <c r="N28" i="366"/>
  <c r="C37" i="366" s="1"/>
  <c r="G37" i="366" s="1"/>
  <c r="E7" i="366"/>
  <c r="N16" i="366"/>
  <c r="C18" i="366" s="1"/>
  <c r="Q23" i="366"/>
  <c r="D7" i="366"/>
  <c r="F7" i="366"/>
  <c r="Q22" i="366"/>
  <c r="G24" i="366"/>
  <c r="E27" i="366"/>
  <c r="G27" i="366" s="1"/>
  <c r="E55" i="366"/>
  <c r="E18" i="366"/>
  <c r="E32" i="366"/>
  <c r="N7" i="366"/>
  <c r="C7" i="366" s="1"/>
  <c r="E21" i="366"/>
  <c r="G21" i="366" s="1"/>
  <c r="N16" i="365"/>
  <c r="C18" i="365" s="1"/>
  <c r="Q23" i="365"/>
  <c r="D7" i="365"/>
  <c r="F7" i="365"/>
  <c r="Q22" i="365"/>
  <c r="Q21" i="365"/>
  <c r="Q25" i="365" s="1"/>
  <c r="N21" i="365" s="1"/>
  <c r="C25" i="365" s="1"/>
  <c r="G25" i="365" s="1"/>
  <c r="G24" i="365"/>
  <c r="Q12" i="365"/>
  <c r="C45" i="365"/>
  <c r="G45" i="365" s="1"/>
  <c r="G35" i="365"/>
  <c r="E7" i="365"/>
  <c r="N28" i="365"/>
  <c r="C37" i="365" s="1"/>
  <c r="G37" i="365" s="1"/>
  <c r="N7" i="365"/>
  <c r="C7" i="365" s="1"/>
  <c r="E17" i="365"/>
  <c r="G17" i="365" s="1"/>
  <c r="E20" i="365"/>
  <c r="G20" i="365" s="1"/>
  <c r="E55" i="365"/>
  <c r="E18" i="365"/>
  <c r="G18" i="365" s="1"/>
  <c r="E32" i="365"/>
  <c r="E21" i="365"/>
  <c r="G21" i="365" s="1"/>
  <c r="N16" i="364"/>
  <c r="C18" i="364" s="1"/>
  <c r="Q23" i="364"/>
  <c r="D7" i="364"/>
  <c r="N28" i="364"/>
  <c r="C37" i="364" s="1"/>
  <c r="G37" i="364" s="1"/>
  <c r="E7" i="364"/>
  <c r="F7" i="364"/>
  <c r="E24" i="364"/>
  <c r="G24" i="364" s="1"/>
  <c r="E19" i="364"/>
  <c r="G19" i="364" s="1"/>
  <c r="E26" i="364"/>
  <c r="G26" i="364" s="1"/>
  <c r="E28" i="364"/>
  <c r="E54" i="364"/>
  <c r="Q25" i="364"/>
  <c r="N21" i="364" s="1"/>
  <c r="C25" i="364" s="1"/>
  <c r="G25" i="364" s="1"/>
  <c r="E20" i="364"/>
  <c r="G20" i="364" s="1"/>
  <c r="C35" i="363"/>
  <c r="L13" i="363"/>
  <c r="F7" i="363"/>
  <c r="Q22" i="363"/>
  <c r="Q21" i="363"/>
  <c r="E7" i="363"/>
  <c r="N16" i="363"/>
  <c r="C18" i="363" s="1"/>
  <c r="Q23" i="363"/>
  <c r="D7" i="363"/>
  <c r="N7" i="363"/>
  <c r="C7" i="363" s="1"/>
  <c r="E55" i="363"/>
  <c r="E18" i="363"/>
  <c r="E32" i="363"/>
  <c r="E21" i="363"/>
  <c r="G21" i="363" s="1"/>
  <c r="E7" i="362"/>
  <c r="N28" i="362"/>
  <c r="C37" i="362" s="1"/>
  <c r="G37" i="362" s="1"/>
  <c r="Q12" i="362"/>
  <c r="C45" i="362"/>
  <c r="G45" i="362" s="1"/>
  <c r="G35" i="362"/>
  <c r="N16" i="362"/>
  <c r="C18" i="362" s="1"/>
  <c r="Q23" i="362"/>
  <c r="D7" i="362"/>
  <c r="Q22" i="362"/>
  <c r="F7" i="362"/>
  <c r="E24" i="362"/>
  <c r="G24" i="362" s="1"/>
  <c r="L13" i="362"/>
  <c r="E19" i="362"/>
  <c r="G19" i="362" s="1"/>
  <c r="E26" i="362"/>
  <c r="G26" i="362" s="1"/>
  <c r="E28" i="362"/>
  <c r="E54" i="362"/>
  <c r="E20" i="362"/>
  <c r="G20" i="362" s="1"/>
  <c r="E18" i="362"/>
  <c r="E32" i="362"/>
  <c r="G24" i="361"/>
  <c r="Q14" i="361"/>
  <c r="Q12" i="361"/>
  <c r="Q15" i="361" s="1"/>
  <c r="C45" i="361"/>
  <c r="G45" i="361" s="1"/>
  <c r="G35" i="361"/>
  <c r="C7" i="361"/>
  <c r="Q25" i="361"/>
  <c r="N21" i="361" s="1"/>
  <c r="C25" i="361" s="1"/>
  <c r="G25" i="361" s="1"/>
  <c r="N16" i="361"/>
  <c r="C18" i="361" s="1"/>
  <c r="F7" i="361"/>
  <c r="L10" i="361" s="1"/>
  <c r="L14" i="361" s="1"/>
  <c r="C12" i="361"/>
  <c r="G12" i="361" s="1"/>
  <c r="L13" i="361"/>
  <c r="E19" i="361"/>
  <c r="G19" i="361" s="1"/>
  <c r="E28" i="361"/>
  <c r="E54" i="361"/>
  <c r="E17" i="361"/>
  <c r="G17" i="361" s="1"/>
  <c r="N28" i="361"/>
  <c r="E21" i="361"/>
  <c r="G21" i="361" s="1"/>
  <c r="E20" i="361"/>
  <c r="G20" i="361" s="1"/>
  <c r="D7" i="361"/>
  <c r="E18" i="361"/>
  <c r="Q25" i="359"/>
  <c r="N21" i="359" s="1"/>
  <c r="C25" i="359" s="1"/>
  <c r="G25" i="359" s="1"/>
  <c r="N9" i="359"/>
  <c r="C17" i="359"/>
  <c r="C7" i="359"/>
  <c r="L13" i="359"/>
  <c r="C35" i="359"/>
  <c r="G20" i="359"/>
  <c r="E17" i="359"/>
  <c r="E27" i="359"/>
  <c r="G27" i="359" s="1"/>
  <c r="E55" i="359"/>
  <c r="E21" i="359"/>
  <c r="G21" i="359" s="1"/>
  <c r="E19" i="359"/>
  <c r="G19" i="359" s="1"/>
  <c r="E32" i="359"/>
  <c r="N27" i="96"/>
  <c r="N26" i="96"/>
  <c r="N27" i="95"/>
  <c r="N26" i="95"/>
  <c r="N27" i="94"/>
  <c r="N26" i="94"/>
  <c r="N27" i="93"/>
  <c r="N26" i="93"/>
  <c r="N27" i="92"/>
  <c r="N26" i="92"/>
  <c r="N27" i="90"/>
  <c r="N26" i="90"/>
  <c r="N27" i="89"/>
  <c r="N26" i="89"/>
  <c r="N27" i="88"/>
  <c r="N26" i="88"/>
  <c r="N27" i="87"/>
  <c r="N26" i="87"/>
  <c r="N26" i="86"/>
  <c r="N27" i="86"/>
  <c r="N27" i="85"/>
  <c r="N26" i="85"/>
  <c r="N27" i="84"/>
  <c r="N26" i="84"/>
  <c r="N27" i="83"/>
  <c r="N26" i="83"/>
  <c r="N27" i="82"/>
  <c r="N26" i="82"/>
  <c r="N26" i="59"/>
  <c r="G28" i="59"/>
  <c r="J55" i="59" l="1"/>
  <c r="G35" i="364"/>
  <c r="C45" i="364"/>
  <c r="G45" i="364" s="1"/>
  <c r="G28" i="365"/>
  <c r="G18" i="364"/>
  <c r="G28" i="363"/>
  <c r="N28" i="363"/>
  <c r="Q25" i="363"/>
  <c r="N21" i="363" s="1"/>
  <c r="C25" i="363" s="1"/>
  <c r="G25" i="363" s="1"/>
  <c r="E27" i="367"/>
  <c r="G27" i="367" s="1"/>
  <c r="G28" i="367"/>
  <c r="G18" i="367"/>
  <c r="Q14" i="367"/>
  <c r="L10" i="367"/>
  <c r="L14" i="367" s="1"/>
  <c r="G35" i="367"/>
  <c r="Q12" i="367"/>
  <c r="C45" i="367"/>
  <c r="G45" i="367" s="1"/>
  <c r="Q25" i="367"/>
  <c r="N21" i="367" s="1"/>
  <c r="C25" i="367" s="1"/>
  <c r="G25" i="367" s="1"/>
  <c r="Q14" i="366"/>
  <c r="L10" i="366"/>
  <c r="L14" i="366" s="1"/>
  <c r="Q25" i="366"/>
  <c r="N21" i="366" s="1"/>
  <c r="C25" i="366" s="1"/>
  <c r="G25" i="366" s="1"/>
  <c r="G18" i="366"/>
  <c r="G35" i="366"/>
  <c r="Q12" i="366"/>
  <c r="Q15" i="366" s="1"/>
  <c r="C45" i="366"/>
  <c r="G45" i="366" s="1"/>
  <c r="Q14" i="365"/>
  <c r="L10" i="365"/>
  <c r="L14" i="365" s="1"/>
  <c r="Q15" i="365"/>
  <c r="E27" i="364"/>
  <c r="G27" i="364" s="1"/>
  <c r="G28" i="364"/>
  <c r="Q14" i="364"/>
  <c r="Q15" i="364" s="1"/>
  <c r="L10" i="364"/>
  <c r="L14" i="364" s="1"/>
  <c r="Q12" i="363"/>
  <c r="C45" i="363"/>
  <c r="G45" i="363" s="1"/>
  <c r="G35" i="363"/>
  <c r="G18" i="363"/>
  <c r="L10" i="363"/>
  <c r="L14" i="363" s="1"/>
  <c r="Q14" i="363"/>
  <c r="E27" i="362"/>
  <c r="G27" i="362" s="1"/>
  <c r="G28" i="362"/>
  <c r="G18" i="362"/>
  <c r="Q25" i="362"/>
  <c r="N21" i="362" s="1"/>
  <c r="C25" i="362" s="1"/>
  <c r="G25" i="362" s="1"/>
  <c r="Q14" i="362"/>
  <c r="Q15" i="362" s="1"/>
  <c r="L10" i="362"/>
  <c r="L14" i="362" s="1"/>
  <c r="G18" i="361"/>
  <c r="C37" i="361"/>
  <c r="G37" i="361" s="1"/>
  <c r="Q16" i="361"/>
  <c r="Q17" i="361" s="1"/>
  <c r="L12" i="361" s="1"/>
  <c r="C32" i="361" s="1"/>
  <c r="E27" i="361"/>
  <c r="G27" i="361" s="1"/>
  <c r="G28" i="361"/>
  <c r="G17" i="359"/>
  <c r="N28" i="359"/>
  <c r="C37" i="359" s="1"/>
  <c r="G37" i="359" s="1"/>
  <c r="E7" i="359"/>
  <c r="Q12" i="359"/>
  <c r="C45" i="359"/>
  <c r="G45" i="359" s="1"/>
  <c r="G35" i="359"/>
  <c r="N27" i="79"/>
  <c r="C36" i="79" s="1"/>
  <c r="G36" i="79" s="1"/>
  <c r="N26" i="79"/>
  <c r="I13" i="79" s="1"/>
  <c r="L13" i="79" s="1"/>
  <c r="N27" i="77"/>
  <c r="C36" i="77" s="1"/>
  <c r="G36" i="77" s="1"/>
  <c r="N26" i="77"/>
  <c r="I13" i="77" s="1"/>
  <c r="C35" i="77" s="1"/>
  <c r="N27" i="78"/>
  <c r="C36" i="78" s="1"/>
  <c r="G36" i="78" s="1"/>
  <c r="N26" i="78"/>
  <c r="I13" i="78" s="1"/>
  <c r="L13" i="78" s="1"/>
  <c r="N27" i="76"/>
  <c r="C36" i="76" s="1"/>
  <c r="G36" i="76" s="1"/>
  <c r="N26" i="76"/>
  <c r="I13" i="76" s="1"/>
  <c r="L13" i="76" s="1"/>
  <c r="N27" i="74"/>
  <c r="C36" i="74" s="1"/>
  <c r="G36" i="74" s="1"/>
  <c r="N26" i="74"/>
  <c r="I13" i="74" s="1"/>
  <c r="L13" i="74" s="1"/>
  <c r="N27" i="73"/>
  <c r="C36" i="73" s="1"/>
  <c r="G36" i="73" s="1"/>
  <c r="N26" i="73"/>
  <c r="I13" i="73" s="1"/>
  <c r="C35" i="73" s="1"/>
  <c r="N27" i="72"/>
  <c r="C36" i="72" s="1"/>
  <c r="G36" i="72" s="1"/>
  <c r="N26" i="72"/>
  <c r="I13" i="72" s="1"/>
  <c r="L13" i="72" s="1"/>
  <c r="N27" i="71"/>
  <c r="C36" i="71" s="1"/>
  <c r="G36" i="71" s="1"/>
  <c r="N26" i="71"/>
  <c r="I13" i="71" s="1"/>
  <c r="N27" i="70"/>
  <c r="C36" i="70" s="1"/>
  <c r="G36" i="70" s="1"/>
  <c r="N26" i="70"/>
  <c r="I13" i="70" s="1"/>
  <c r="N27" i="349"/>
  <c r="C36" i="349" s="1"/>
  <c r="G36" i="349" s="1"/>
  <c r="N26" i="349"/>
  <c r="I13" i="349" s="1"/>
  <c r="L13" i="349" s="1"/>
  <c r="N27" i="69"/>
  <c r="C36" i="69" s="1"/>
  <c r="G36" i="69" s="1"/>
  <c r="N26" i="69"/>
  <c r="I13" i="69" s="1"/>
  <c r="L13" i="69" s="1"/>
  <c r="N27" i="348"/>
  <c r="C36" i="348" s="1"/>
  <c r="G36" i="348" s="1"/>
  <c r="N26" i="348"/>
  <c r="I13" i="348" s="1"/>
  <c r="L13" i="348" s="1"/>
  <c r="N27" i="68"/>
  <c r="C36" i="68" s="1"/>
  <c r="G36" i="68" s="1"/>
  <c r="N26" i="68"/>
  <c r="I13" i="68" s="1"/>
  <c r="L13" i="68" s="1"/>
  <c r="N27" i="347"/>
  <c r="C36" i="347" s="1"/>
  <c r="G36" i="347" s="1"/>
  <c r="N26" i="347"/>
  <c r="I13" i="347" s="1"/>
  <c r="N27" i="67"/>
  <c r="C36" i="67" s="1"/>
  <c r="G36" i="67" s="1"/>
  <c r="N26" i="67"/>
  <c r="I13" i="67" s="1"/>
  <c r="N26" i="170"/>
  <c r="I13" i="170" s="1"/>
  <c r="C35" i="170" s="1"/>
  <c r="N27" i="170"/>
  <c r="C36" i="170" s="1"/>
  <c r="G36" i="170" s="1"/>
  <c r="N27" i="66"/>
  <c r="C36" i="66" s="1"/>
  <c r="G36" i="66" s="1"/>
  <c r="N26" i="66"/>
  <c r="I13" i="66" s="1"/>
  <c r="C35" i="66" s="1"/>
  <c r="Q12" i="66" s="1"/>
  <c r="B55" i="349"/>
  <c r="B54" i="349"/>
  <c r="L49" i="349"/>
  <c r="G46" i="349"/>
  <c r="L44" i="349"/>
  <c r="B44" i="349"/>
  <c r="B32" i="349"/>
  <c r="C28" i="349"/>
  <c r="C27" i="349"/>
  <c r="R25" i="349"/>
  <c r="N22" i="349" s="1"/>
  <c r="C26" i="349" s="1"/>
  <c r="E25" i="349"/>
  <c r="E26" i="349" s="1"/>
  <c r="C21" i="349"/>
  <c r="N20" i="349"/>
  <c r="C24" i="349" s="1"/>
  <c r="C19" i="349"/>
  <c r="C20" i="349"/>
  <c r="C18" i="349"/>
  <c r="C17" i="349"/>
  <c r="C14" i="349"/>
  <c r="G14" i="349" s="1"/>
  <c r="C13" i="349"/>
  <c r="G13" i="349" s="1"/>
  <c r="C12" i="349"/>
  <c r="G12" i="349" s="1"/>
  <c r="C11" i="349"/>
  <c r="G11" i="349" s="1"/>
  <c r="L7" i="349"/>
  <c r="E55" i="349" s="1"/>
  <c r="I7" i="349"/>
  <c r="E20" i="349" s="1"/>
  <c r="O5" i="349"/>
  <c r="N10" i="349" s="1"/>
  <c r="O4" i="349"/>
  <c r="N8" i="349" s="1"/>
  <c r="O3" i="349"/>
  <c r="N7" i="349" s="1"/>
  <c r="B55" i="348"/>
  <c r="B54" i="348"/>
  <c r="L49" i="348"/>
  <c r="G46" i="348"/>
  <c r="L44" i="348"/>
  <c r="B44" i="348"/>
  <c r="B32" i="348"/>
  <c r="C28" i="348"/>
  <c r="C27" i="348"/>
  <c r="R25" i="348"/>
  <c r="N22" i="348" s="1"/>
  <c r="C26" i="348" s="1"/>
  <c r="E25" i="348"/>
  <c r="E26" i="348" s="1"/>
  <c r="C21" i="348"/>
  <c r="N20" i="348"/>
  <c r="C24" i="348" s="1"/>
  <c r="C19" i="348"/>
  <c r="N18" i="348"/>
  <c r="C20" i="348" s="1"/>
  <c r="C18" i="348"/>
  <c r="C17" i="348"/>
  <c r="C14" i="348"/>
  <c r="G14" i="348" s="1"/>
  <c r="C13" i="348"/>
  <c r="G13" i="348" s="1"/>
  <c r="C12" i="348"/>
  <c r="G12" i="348" s="1"/>
  <c r="C11" i="348"/>
  <c r="G11" i="348" s="1"/>
  <c r="L7" i="348"/>
  <c r="E55" i="348" s="1"/>
  <c r="I7" i="348"/>
  <c r="E20" i="348" s="1"/>
  <c r="O5" i="348"/>
  <c r="N10" i="348" s="1"/>
  <c r="O4" i="348"/>
  <c r="N8" i="348" s="1"/>
  <c r="O3" i="348"/>
  <c r="N7" i="348" s="1"/>
  <c r="B55" i="347"/>
  <c r="B54" i="347"/>
  <c r="L49" i="347"/>
  <c r="G46" i="347"/>
  <c r="L44" i="347"/>
  <c r="B44" i="347"/>
  <c r="B32" i="347"/>
  <c r="C28" i="347"/>
  <c r="C27" i="347"/>
  <c r="R25" i="347"/>
  <c r="N22" i="347" s="1"/>
  <c r="C26" i="347" s="1"/>
  <c r="E25" i="347"/>
  <c r="C21" i="347"/>
  <c r="N20" i="347"/>
  <c r="C24" i="347" s="1"/>
  <c r="C19" i="347"/>
  <c r="N18" i="347"/>
  <c r="C20" i="347" s="1"/>
  <c r="C18" i="347"/>
  <c r="C14" i="347"/>
  <c r="G14" i="347" s="1"/>
  <c r="C13" i="347"/>
  <c r="G13" i="347" s="1"/>
  <c r="C12" i="347"/>
  <c r="G12" i="347" s="1"/>
  <c r="C11" i="347"/>
  <c r="G11" i="347" s="1"/>
  <c r="L7" i="347"/>
  <c r="E44" i="347" s="1"/>
  <c r="I7" i="347"/>
  <c r="E24" i="347" s="1"/>
  <c r="O5" i="347"/>
  <c r="N10" i="347" s="1"/>
  <c r="O4" i="347"/>
  <c r="N8" i="347" s="1"/>
  <c r="O3" i="347"/>
  <c r="N7" i="347" s="1"/>
  <c r="C36" i="93"/>
  <c r="G36" i="93" s="1"/>
  <c r="I13" i="93"/>
  <c r="B55" i="93"/>
  <c r="B54" i="93"/>
  <c r="L49" i="93"/>
  <c r="G46" i="93"/>
  <c r="L44" i="93"/>
  <c r="B44" i="93"/>
  <c r="B32" i="93"/>
  <c r="C28" i="93"/>
  <c r="C27" i="93"/>
  <c r="E25" i="93"/>
  <c r="E26" i="93" s="1"/>
  <c r="R25" i="93"/>
  <c r="N22" i="93" s="1"/>
  <c r="C26" i="93" s="1"/>
  <c r="C19" i="93"/>
  <c r="C18" i="93"/>
  <c r="C17" i="93"/>
  <c r="C13" i="93"/>
  <c r="G13" i="93" s="1"/>
  <c r="C12" i="93"/>
  <c r="G12" i="93" s="1"/>
  <c r="C11" i="93"/>
  <c r="G11" i="93" s="1"/>
  <c r="L7" i="93"/>
  <c r="E44" i="93" s="1"/>
  <c r="I7" i="93"/>
  <c r="E18" i="93" s="1"/>
  <c r="O5" i="93"/>
  <c r="N10" i="93" s="1"/>
  <c r="O4" i="93"/>
  <c r="N8" i="93" s="1"/>
  <c r="O3" i="93"/>
  <c r="C36" i="96"/>
  <c r="G36" i="96" s="1"/>
  <c r="I13" i="96"/>
  <c r="C36" i="95"/>
  <c r="G36" i="95" s="1"/>
  <c r="I13" i="95"/>
  <c r="L13" i="95" s="1"/>
  <c r="C36" i="94"/>
  <c r="G36" i="94" s="1"/>
  <c r="I13" i="94"/>
  <c r="C35" i="94" s="1"/>
  <c r="Q12" i="94" s="1"/>
  <c r="C36" i="92"/>
  <c r="G36" i="92" s="1"/>
  <c r="I13" i="92"/>
  <c r="L13" i="92" s="1"/>
  <c r="C36" i="90"/>
  <c r="G36" i="90" s="1"/>
  <c r="I13" i="90"/>
  <c r="C35" i="90" s="1"/>
  <c r="C11" i="90"/>
  <c r="G11" i="90" s="1"/>
  <c r="C36" i="89"/>
  <c r="G36" i="89" s="1"/>
  <c r="I13" i="89"/>
  <c r="L13" i="89" s="1"/>
  <c r="C11" i="89"/>
  <c r="G11" i="89" s="1"/>
  <c r="C36" i="88"/>
  <c r="G36" i="88" s="1"/>
  <c r="I13" i="88"/>
  <c r="C35" i="88" s="1"/>
  <c r="Q12" i="88" s="1"/>
  <c r="C36" i="87"/>
  <c r="G36" i="87" s="1"/>
  <c r="C11" i="87"/>
  <c r="G11" i="87" s="1"/>
  <c r="O4" i="87"/>
  <c r="N8" i="87" s="1"/>
  <c r="I13" i="87"/>
  <c r="C36" i="86"/>
  <c r="G36" i="86" s="1"/>
  <c r="I13" i="86"/>
  <c r="L13" i="86" s="1"/>
  <c r="C36" i="85"/>
  <c r="G36" i="85" s="1"/>
  <c r="I13" i="85"/>
  <c r="L13" i="85" s="1"/>
  <c r="R22" i="84"/>
  <c r="C36" i="84"/>
  <c r="G36" i="84" s="1"/>
  <c r="I13" i="84"/>
  <c r="C35" i="84" s="1"/>
  <c r="Q12" i="84" s="1"/>
  <c r="C36" i="83"/>
  <c r="G36" i="83" s="1"/>
  <c r="I13" i="83"/>
  <c r="C36" i="82"/>
  <c r="G36" i="82" s="1"/>
  <c r="I13" i="82"/>
  <c r="L13" i="82" s="1"/>
  <c r="N27" i="81"/>
  <c r="C36" i="81" s="1"/>
  <c r="G36" i="81" s="1"/>
  <c r="N26" i="81"/>
  <c r="I13" i="81" s="1"/>
  <c r="N27" i="171"/>
  <c r="C36" i="171" s="1"/>
  <c r="G36" i="171" s="1"/>
  <c r="N26" i="171"/>
  <c r="I13" i="171" s="1"/>
  <c r="B55" i="171"/>
  <c r="B54" i="171"/>
  <c r="L49" i="171"/>
  <c r="G46" i="171"/>
  <c r="L44" i="171"/>
  <c r="B44" i="171"/>
  <c r="B32" i="171"/>
  <c r="C28" i="171"/>
  <c r="C27" i="171"/>
  <c r="R25" i="171"/>
  <c r="N22" i="171" s="1"/>
  <c r="C26" i="171" s="1"/>
  <c r="E25" i="171"/>
  <c r="E26" i="171" s="1"/>
  <c r="C21" i="171"/>
  <c r="N20" i="171"/>
  <c r="C24" i="171" s="1"/>
  <c r="C19" i="171"/>
  <c r="N18" i="171"/>
  <c r="C20" i="171" s="1"/>
  <c r="C18" i="171"/>
  <c r="C17" i="171"/>
  <c r="C14" i="171"/>
  <c r="G14" i="171" s="1"/>
  <c r="C13" i="171"/>
  <c r="G13" i="171" s="1"/>
  <c r="C12" i="171"/>
  <c r="G12" i="171" s="1"/>
  <c r="C11" i="171"/>
  <c r="G11" i="171" s="1"/>
  <c r="L7" i="171"/>
  <c r="I7" i="171"/>
  <c r="E28" i="171" s="1"/>
  <c r="O5" i="171"/>
  <c r="N10" i="171" s="1"/>
  <c r="O4" i="171"/>
  <c r="N8" i="171" s="1"/>
  <c r="O3" i="171"/>
  <c r="N7" i="171" s="1"/>
  <c r="N18" i="81"/>
  <c r="C20" i="81" s="1"/>
  <c r="N27" i="80"/>
  <c r="C36" i="80" s="1"/>
  <c r="G36" i="80" s="1"/>
  <c r="N26" i="80"/>
  <c r="I13" i="80" s="1"/>
  <c r="C35" i="80" s="1"/>
  <c r="G35" i="80" s="1"/>
  <c r="N20" i="79"/>
  <c r="C24" i="79" s="1"/>
  <c r="C14" i="76"/>
  <c r="G14" i="76" s="1"/>
  <c r="N20" i="72"/>
  <c r="C24" i="72" s="1"/>
  <c r="B55" i="170"/>
  <c r="B54" i="170"/>
  <c r="L49" i="170"/>
  <c r="G46" i="170"/>
  <c r="L44" i="170"/>
  <c r="B44" i="170"/>
  <c r="B32" i="170"/>
  <c r="C28" i="170"/>
  <c r="C27" i="170"/>
  <c r="R25" i="170"/>
  <c r="N22" i="170" s="1"/>
  <c r="C26" i="170" s="1"/>
  <c r="E25" i="170"/>
  <c r="E26" i="170" s="1"/>
  <c r="C21" i="170"/>
  <c r="N20" i="170"/>
  <c r="C24" i="170" s="1"/>
  <c r="C19" i="170"/>
  <c r="N18" i="170"/>
  <c r="C20" i="170" s="1"/>
  <c r="C18" i="170"/>
  <c r="C14" i="170"/>
  <c r="G14" i="170" s="1"/>
  <c r="C13" i="170"/>
  <c r="G13" i="170" s="1"/>
  <c r="C12" i="170"/>
  <c r="G12" i="170" s="1"/>
  <c r="C11" i="170"/>
  <c r="G11" i="170" s="1"/>
  <c r="L7" i="170"/>
  <c r="E44" i="170" s="1"/>
  <c r="I7" i="170"/>
  <c r="E28" i="170" s="1"/>
  <c r="E27" i="170" s="1"/>
  <c r="O5" i="170"/>
  <c r="N10" i="170" s="1"/>
  <c r="O4" i="170"/>
  <c r="N8" i="170" s="1"/>
  <c r="O3" i="170"/>
  <c r="N7" i="170" s="1"/>
  <c r="B55" i="96"/>
  <c r="B54" i="96"/>
  <c r="L49" i="96"/>
  <c r="G46" i="96"/>
  <c r="L44" i="96"/>
  <c r="B44" i="96"/>
  <c r="B32" i="96"/>
  <c r="C28" i="96"/>
  <c r="C27" i="96"/>
  <c r="R25" i="96"/>
  <c r="N22" i="96" s="1"/>
  <c r="C26" i="96" s="1"/>
  <c r="Q25" i="96"/>
  <c r="N21" i="96" s="1"/>
  <c r="C25" i="96" s="1"/>
  <c r="E25" i="96"/>
  <c r="E26" i="96" s="1"/>
  <c r="C21" i="96"/>
  <c r="N20" i="96"/>
  <c r="C24" i="96" s="1"/>
  <c r="C19" i="96"/>
  <c r="C18" i="96"/>
  <c r="C17" i="96"/>
  <c r="C14" i="96"/>
  <c r="G14" i="96" s="1"/>
  <c r="C13" i="96"/>
  <c r="G13" i="96" s="1"/>
  <c r="C12" i="96"/>
  <c r="G12" i="96" s="1"/>
  <c r="C11" i="96"/>
  <c r="G11" i="96" s="1"/>
  <c r="L7" i="96"/>
  <c r="E44" i="96" s="1"/>
  <c r="I7" i="96"/>
  <c r="O5" i="96"/>
  <c r="N10" i="96" s="1"/>
  <c r="O4" i="96"/>
  <c r="N8" i="96" s="1"/>
  <c r="O3" i="96"/>
  <c r="B55" i="95"/>
  <c r="B54" i="95"/>
  <c r="L49" i="95"/>
  <c r="G46" i="95"/>
  <c r="L44" i="95"/>
  <c r="B44" i="95"/>
  <c r="B32" i="95"/>
  <c r="C28" i="95"/>
  <c r="C27" i="95"/>
  <c r="R25" i="95"/>
  <c r="N22" i="95" s="1"/>
  <c r="C26" i="95" s="1"/>
  <c r="Q25" i="95"/>
  <c r="N21" i="95" s="1"/>
  <c r="C25" i="95" s="1"/>
  <c r="E25" i="95"/>
  <c r="E26" i="95" s="1"/>
  <c r="C21" i="95"/>
  <c r="N20" i="95"/>
  <c r="C24" i="95" s="1"/>
  <c r="C19" i="95"/>
  <c r="N18" i="95"/>
  <c r="C20" i="95" s="1"/>
  <c r="C18" i="95"/>
  <c r="C17" i="95"/>
  <c r="C14" i="95"/>
  <c r="G14" i="95" s="1"/>
  <c r="C13" i="95"/>
  <c r="G13" i="95" s="1"/>
  <c r="C12" i="95"/>
  <c r="G12" i="95" s="1"/>
  <c r="C11" i="95"/>
  <c r="G11" i="95" s="1"/>
  <c r="L7" i="95"/>
  <c r="I7" i="95"/>
  <c r="E54" i="95" s="1"/>
  <c r="O5" i="95"/>
  <c r="N10" i="95" s="1"/>
  <c r="O4" i="95"/>
  <c r="N8" i="95" s="1"/>
  <c r="O3" i="95"/>
  <c r="N7" i="95" s="1"/>
  <c r="B55" i="94"/>
  <c r="B54" i="94"/>
  <c r="L49" i="94"/>
  <c r="G46" i="94"/>
  <c r="L44" i="94"/>
  <c r="B44" i="94"/>
  <c r="B32" i="94"/>
  <c r="C28" i="94"/>
  <c r="C27" i="94"/>
  <c r="R25" i="94"/>
  <c r="N22" i="94" s="1"/>
  <c r="C26" i="94" s="1"/>
  <c r="Q25" i="94"/>
  <c r="N21" i="94" s="1"/>
  <c r="C25" i="94" s="1"/>
  <c r="E25" i="94"/>
  <c r="E26" i="94" s="1"/>
  <c r="C19" i="94"/>
  <c r="C18" i="94"/>
  <c r="C17" i="94"/>
  <c r="C13" i="94"/>
  <c r="G13" i="94" s="1"/>
  <c r="C12" i="94"/>
  <c r="G12" i="94" s="1"/>
  <c r="C11" i="94"/>
  <c r="G11" i="94" s="1"/>
  <c r="L7" i="94"/>
  <c r="I7" i="94"/>
  <c r="E21" i="94" s="1"/>
  <c r="O5" i="94"/>
  <c r="N10" i="94" s="1"/>
  <c r="O4" i="94"/>
  <c r="N8" i="94" s="1"/>
  <c r="O3" i="94"/>
  <c r="B55" i="92"/>
  <c r="B54" i="92"/>
  <c r="L49" i="92"/>
  <c r="G46" i="92"/>
  <c r="L44" i="92"/>
  <c r="B44" i="92"/>
  <c r="B32" i="92"/>
  <c r="C28" i="92"/>
  <c r="C27" i="92"/>
  <c r="R25" i="92"/>
  <c r="N22" i="92" s="1"/>
  <c r="C26" i="92" s="1"/>
  <c r="E25" i="92"/>
  <c r="E26" i="92" s="1"/>
  <c r="C19" i="92"/>
  <c r="C20" i="92"/>
  <c r="C18" i="92"/>
  <c r="C14" i="92"/>
  <c r="G14" i="92" s="1"/>
  <c r="C13" i="92"/>
  <c r="G13" i="92" s="1"/>
  <c r="C12" i="92"/>
  <c r="G12" i="92" s="1"/>
  <c r="L7" i="92"/>
  <c r="I7" i="92"/>
  <c r="E20" i="92" s="1"/>
  <c r="O5" i="92"/>
  <c r="N10" i="92" s="1"/>
  <c r="O4" i="92"/>
  <c r="N8" i="92" s="1"/>
  <c r="O3" i="92"/>
  <c r="B55" i="90"/>
  <c r="B54" i="90"/>
  <c r="L49" i="90"/>
  <c r="G46" i="90"/>
  <c r="L44" i="90"/>
  <c r="B44" i="90"/>
  <c r="B32" i="90"/>
  <c r="C28" i="90"/>
  <c r="C27" i="90"/>
  <c r="R25" i="90"/>
  <c r="N22" i="90" s="1"/>
  <c r="C26" i="90" s="1"/>
  <c r="Q25" i="90"/>
  <c r="N21" i="90" s="1"/>
  <c r="C25" i="90" s="1"/>
  <c r="E25" i="90"/>
  <c r="C19" i="90"/>
  <c r="C20" i="90"/>
  <c r="C18" i="90"/>
  <c r="C14" i="90"/>
  <c r="G14" i="90" s="1"/>
  <c r="C13" i="90"/>
  <c r="G13" i="90" s="1"/>
  <c r="C12" i="90"/>
  <c r="G12" i="90" s="1"/>
  <c r="L7" i="90"/>
  <c r="I7" i="90"/>
  <c r="E54" i="90" s="1"/>
  <c r="O5" i="90"/>
  <c r="N10" i="90" s="1"/>
  <c r="O4" i="90"/>
  <c r="N8" i="90" s="1"/>
  <c r="O3" i="90"/>
  <c r="B55" i="89"/>
  <c r="B54" i="89"/>
  <c r="L49" i="89"/>
  <c r="G46" i="89"/>
  <c r="L44" i="89"/>
  <c r="B44" i="89"/>
  <c r="B32" i="89"/>
  <c r="C28" i="89"/>
  <c r="C27" i="89"/>
  <c r="R25" i="89"/>
  <c r="N22" i="89" s="1"/>
  <c r="C26" i="89" s="1"/>
  <c r="Q25" i="89"/>
  <c r="N21" i="89" s="1"/>
  <c r="C25" i="89" s="1"/>
  <c r="E25" i="89"/>
  <c r="C19" i="89"/>
  <c r="C20" i="89"/>
  <c r="C18" i="89"/>
  <c r="C14" i="89"/>
  <c r="G14" i="89" s="1"/>
  <c r="C13" i="89"/>
  <c r="G13" i="89" s="1"/>
  <c r="C12" i="89"/>
  <c r="G12" i="89" s="1"/>
  <c r="L7" i="89"/>
  <c r="I7" i="89"/>
  <c r="O5" i="89"/>
  <c r="N10" i="89" s="1"/>
  <c r="O4" i="89"/>
  <c r="N8" i="89" s="1"/>
  <c r="O3" i="89"/>
  <c r="B55" i="88"/>
  <c r="B54" i="88"/>
  <c r="L49" i="88"/>
  <c r="G46" i="88"/>
  <c r="L44" i="88"/>
  <c r="B44" i="88"/>
  <c r="B32" i="88"/>
  <c r="C28" i="88"/>
  <c r="C27" i="88"/>
  <c r="R25" i="88"/>
  <c r="N22" i="88" s="1"/>
  <c r="C26" i="88" s="1"/>
  <c r="Q25" i="88"/>
  <c r="N21" i="88" s="1"/>
  <c r="C25" i="88" s="1"/>
  <c r="E25" i="88"/>
  <c r="C21" i="88"/>
  <c r="C19" i="88"/>
  <c r="N18" i="88"/>
  <c r="C20" i="88" s="1"/>
  <c r="C18" i="88"/>
  <c r="C14" i="88"/>
  <c r="G14" i="88" s="1"/>
  <c r="C13" i="88"/>
  <c r="G13" i="88" s="1"/>
  <c r="C12" i="88"/>
  <c r="G12" i="88" s="1"/>
  <c r="L7" i="88"/>
  <c r="E44" i="88" s="1"/>
  <c r="I7" i="88"/>
  <c r="E24" i="88" s="1"/>
  <c r="O5" i="88"/>
  <c r="N10" i="88" s="1"/>
  <c r="O4" i="88"/>
  <c r="N8" i="88" s="1"/>
  <c r="O3" i="88"/>
  <c r="N7" i="88" s="1"/>
  <c r="B55" i="87"/>
  <c r="B54" i="87"/>
  <c r="L49" i="87"/>
  <c r="G46" i="87"/>
  <c r="L44" i="87"/>
  <c r="B44" i="87"/>
  <c r="B32" i="87"/>
  <c r="C28" i="87"/>
  <c r="C27" i="87"/>
  <c r="R25" i="87"/>
  <c r="N22" i="87" s="1"/>
  <c r="C26" i="87" s="1"/>
  <c r="Q25" i="87"/>
  <c r="C25" i="87" s="1"/>
  <c r="E25" i="87"/>
  <c r="E26" i="87" s="1"/>
  <c r="C19" i="87"/>
  <c r="C20" i="87"/>
  <c r="C18" i="87"/>
  <c r="C14" i="87"/>
  <c r="G14" i="87" s="1"/>
  <c r="C13" i="87"/>
  <c r="G13" i="87" s="1"/>
  <c r="C12" i="87"/>
  <c r="G12" i="87" s="1"/>
  <c r="L7" i="87"/>
  <c r="E44" i="87" s="1"/>
  <c r="I7" i="87"/>
  <c r="E17" i="87" s="1"/>
  <c r="O5" i="87"/>
  <c r="N10" i="87" s="1"/>
  <c r="O3" i="87"/>
  <c r="B55" i="86"/>
  <c r="B54" i="86"/>
  <c r="L49" i="86"/>
  <c r="G46" i="86"/>
  <c r="L44" i="86"/>
  <c r="B44" i="86"/>
  <c r="B32" i="86"/>
  <c r="C28" i="86"/>
  <c r="C27" i="86"/>
  <c r="R25" i="86"/>
  <c r="N22" i="86" s="1"/>
  <c r="C26" i="86" s="1"/>
  <c r="Q25" i="86"/>
  <c r="N21" i="86" s="1"/>
  <c r="C25" i="86" s="1"/>
  <c r="E25" i="86"/>
  <c r="E26" i="86" s="1"/>
  <c r="C21" i="86"/>
  <c r="C19" i="86"/>
  <c r="N18" i="86"/>
  <c r="C20" i="86" s="1"/>
  <c r="C18" i="86"/>
  <c r="C14" i="86"/>
  <c r="G14" i="86" s="1"/>
  <c r="C13" i="86"/>
  <c r="G13" i="86" s="1"/>
  <c r="C12" i="86"/>
  <c r="G12" i="86" s="1"/>
  <c r="L7" i="86"/>
  <c r="E44" i="86" s="1"/>
  <c r="I7" i="86"/>
  <c r="O5" i="86"/>
  <c r="N10" i="86" s="1"/>
  <c r="O4" i="86"/>
  <c r="N8" i="86" s="1"/>
  <c r="O3" i="86"/>
  <c r="N7" i="86" s="1"/>
  <c r="B55" i="85"/>
  <c r="B54" i="85"/>
  <c r="L49" i="85"/>
  <c r="G46" i="85"/>
  <c r="L44" i="85"/>
  <c r="B44" i="85"/>
  <c r="B32" i="85"/>
  <c r="C28" i="85"/>
  <c r="C27" i="85"/>
  <c r="R25" i="85"/>
  <c r="N22" i="85" s="1"/>
  <c r="C26" i="85" s="1"/>
  <c r="Q25" i="85"/>
  <c r="N21" i="85" s="1"/>
  <c r="C25" i="85" s="1"/>
  <c r="E25" i="85"/>
  <c r="E26" i="85" s="1"/>
  <c r="C21" i="85"/>
  <c r="C19" i="85"/>
  <c r="N18" i="85"/>
  <c r="C20" i="85" s="1"/>
  <c r="C18" i="85"/>
  <c r="C14" i="85"/>
  <c r="G14" i="85" s="1"/>
  <c r="C13" i="85"/>
  <c r="G13" i="85" s="1"/>
  <c r="C12" i="85"/>
  <c r="G12" i="85" s="1"/>
  <c r="L7" i="85"/>
  <c r="I7" i="85"/>
  <c r="E24" i="85" s="1"/>
  <c r="O5" i="85"/>
  <c r="N10" i="85" s="1"/>
  <c r="O4" i="85"/>
  <c r="N8" i="85" s="1"/>
  <c r="O3" i="85"/>
  <c r="B55" i="84"/>
  <c r="B54" i="84"/>
  <c r="L49" i="84"/>
  <c r="G46" i="84"/>
  <c r="L44" i="84"/>
  <c r="B44" i="84"/>
  <c r="B32" i="84"/>
  <c r="C28" i="84"/>
  <c r="C27" i="84"/>
  <c r="E25" i="84"/>
  <c r="E26" i="84" s="1"/>
  <c r="C21" i="84"/>
  <c r="N20" i="84"/>
  <c r="C24" i="84" s="1"/>
  <c r="C19" i="84"/>
  <c r="N18" i="84"/>
  <c r="C20" i="84" s="1"/>
  <c r="C18" i="84"/>
  <c r="C17" i="84"/>
  <c r="C14" i="84"/>
  <c r="G14" i="84" s="1"/>
  <c r="C13" i="84"/>
  <c r="G13" i="84" s="1"/>
  <c r="C12" i="84"/>
  <c r="G12" i="84" s="1"/>
  <c r="C11" i="84"/>
  <c r="G11" i="84" s="1"/>
  <c r="L7" i="84"/>
  <c r="E44" i="84" s="1"/>
  <c r="I7" i="84"/>
  <c r="E28" i="84" s="1"/>
  <c r="E27" i="84" s="1"/>
  <c r="O5" i="84"/>
  <c r="N10" i="84" s="1"/>
  <c r="O4" i="84"/>
  <c r="N8" i="84" s="1"/>
  <c r="O3" i="84"/>
  <c r="N7" i="84" s="1"/>
  <c r="B55" i="83"/>
  <c r="B54" i="83"/>
  <c r="L49" i="83"/>
  <c r="G46" i="83"/>
  <c r="L44" i="83"/>
  <c r="B44" i="83"/>
  <c r="B32" i="83"/>
  <c r="C28" i="83"/>
  <c r="C27" i="83"/>
  <c r="R25" i="83"/>
  <c r="N22" i="83" s="1"/>
  <c r="C26" i="83" s="1"/>
  <c r="Q25" i="83"/>
  <c r="N21" i="83" s="1"/>
  <c r="C25" i="83" s="1"/>
  <c r="E25" i="83"/>
  <c r="E26" i="83" s="1"/>
  <c r="C19" i="83"/>
  <c r="N18" i="83"/>
  <c r="C20" i="83" s="1"/>
  <c r="C18" i="83"/>
  <c r="C14" i="83"/>
  <c r="G14" i="83" s="1"/>
  <c r="C13" i="83"/>
  <c r="G13" i="83" s="1"/>
  <c r="C12" i="83"/>
  <c r="G12" i="83" s="1"/>
  <c r="L7" i="83"/>
  <c r="I7" i="83"/>
  <c r="E32" i="83" s="1"/>
  <c r="O5" i="83"/>
  <c r="N10" i="83" s="1"/>
  <c r="O4" i="83"/>
  <c r="N8" i="83" s="1"/>
  <c r="O3" i="83"/>
  <c r="B55" i="82"/>
  <c r="B54" i="82"/>
  <c r="L49" i="82"/>
  <c r="G46" i="82"/>
  <c r="L44" i="82"/>
  <c r="B44" i="82"/>
  <c r="B32" i="82"/>
  <c r="C28" i="82"/>
  <c r="C27" i="82"/>
  <c r="R25" i="82"/>
  <c r="N22" i="82" s="1"/>
  <c r="C26" i="82" s="1"/>
  <c r="E25" i="82"/>
  <c r="E26" i="82" s="1"/>
  <c r="C21" i="82"/>
  <c r="C19" i="82"/>
  <c r="N18" i="82"/>
  <c r="C20" i="82" s="1"/>
  <c r="C18" i="82"/>
  <c r="C14" i="82"/>
  <c r="G14" i="82" s="1"/>
  <c r="C13" i="82"/>
  <c r="G13" i="82" s="1"/>
  <c r="C12" i="82"/>
  <c r="G12" i="82" s="1"/>
  <c r="L7" i="82"/>
  <c r="I7" i="82"/>
  <c r="O5" i="82"/>
  <c r="N10" i="82" s="1"/>
  <c r="O4" i="82"/>
  <c r="N8" i="82" s="1"/>
  <c r="O3" i="82"/>
  <c r="B55" i="81"/>
  <c r="B54" i="81"/>
  <c r="L49" i="81"/>
  <c r="G46" i="81"/>
  <c r="L44" i="81"/>
  <c r="B44" i="81"/>
  <c r="B32" i="81"/>
  <c r="C28" i="81"/>
  <c r="C27" i="81"/>
  <c r="R25" i="81"/>
  <c r="N22" i="81" s="1"/>
  <c r="C26" i="81" s="1"/>
  <c r="E25" i="81"/>
  <c r="E26" i="81" s="1"/>
  <c r="C21" i="81"/>
  <c r="C19" i="81"/>
  <c r="C18" i="81"/>
  <c r="C17" i="81"/>
  <c r="C13" i="81"/>
  <c r="G13" i="81" s="1"/>
  <c r="C12" i="81"/>
  <c r="G12" i="81" s="1"/>
  <c r="C11" i="81"/>
  <c r="G11" i="81" s="1"/>
  <c r="L7" i="81"/>
  <c r="I7" i="81"/>
  <c r="E32" i="81" s="1"/>
  <c r="O5" i="81"/>
  <c r="N10" i="81" s="1"/>
  <c r="O4" i="81"/>
  <c r="N8" i="81" s="1"/>
  <c r="O3" i="81"/>
  <c r="B55" i="80"/>
  <c r="B54" i="80"/>
  <c r="L49" i="80"/>
  <c r="G46" i="80"/>
  <c r="L44" i="80"/>
  <c r="B44" i="80"/>
  <c r="B32" i="80"/>
  <c r="C28" i="80"/>
  <c r="C27" i="80"/>
  <c r="R25" i="80"/>
  <c r="N22" i="80" s="1"/>
  <c r="C26" i="80" s="1"/>
  <c r="Q25" i="80"/>
  <c r="N21" i="80" s="1"/>
  <c r="C25" i="80" s="1"/>
  <c r="E25" i="80"/>
  <c r="E26" i="80" s="1"/>
  <c r="C21" i="80"/>
  <c r="C19" i="80"/>
  <c r="C18" i="80"/>
  <c r="C17" i="80"/>
  <c r="C13" i="80"/>
  <c r="G13" i="80" s="1"/>
  <c r="C12" i="80"/>
  <c r="G12" i="80" s="1"/>
  <c r="C11" i="80"/>
  <c r="G11" i="80" s="1"/>
  <c r="L7" i="80"/>
  <c r="E55" i="80" s="1"/>
  <c r="I7" i="80"/>
  <c r="E19" i="80" s="1"/>
  <c r="O5" i="80"/>
  <c r="N10" i="80" s="1"/>
  <c r="O4" i="80"/>
  <c r="O3" i="80"/>
  <c r="N7" i="80" s="1"/>
  <c r="B55" i="79"/>
  <c r="B54" i="79"/>
  <c r="L49" i="79"/>
  <c r="G46" i="79"/>
  <c r="L44" i="79"/>
  <c r="B44" i="79"/>
  <c r="B32" i="79"/>
  <c r="C28" i="79"/>
  <c r="C27" i="79"/>
  <c r="R25" i="79"/>
  <c r="N22" i="79" s="1"/>
  <c r="C26" i="79" s="1"/>
  <c r="Q25" i="79"/>
  <c r="N21" i="79" s="1"/>
  <c r="C25" i="79" s="1"/>
  <c r="E25" i="79"/>
  <c r="E26" i="79" s="1"/>
  <c r="C19" i="79"/>
  <c r="C18" i="79"/>
  <c r="C17" i="79"/>
  <c r="C13" i="79"/>
  <c r="G13" i="79" s="1"/>
  <c r="C12" i="79"/>
  <c r="G12" i="79" s="1"/>
  <c r="C11" i="79"/>
  <c r="G11" i="79" s="1"/>
  <c r="L7" i="79"/>
  <c r="I7" i="79"/>
  <c r="O5" i="79"/>
  <c r="N10" i="79" s="1"/>
  <c r="O4" i="79"/>
  <c r="N8" i="79" s="1"/>
  <c r="O3" i="79"/>
  <c r="B55" i="78"/>
  <c r="B54" i="78"/>
  <c r="L49" i="78"/>
  <c r="G46" i="78"/>
  <c r="L44" i="78"/>
  <c r="B44" i="78"/>
  <c r="B32" i="78"/>
  <c r="C28" i="78"/>
  <c r="C27" i="78"/>
  <c r="R25" i="78"/>
  <c r="N22" i="78" s="1"/>
  <c r="C26" i="78" s="1"/>
  <c r="Q25" i="78"/>
  <c r="N21" i="78" s="1"/>
  <c r="C25" i="78" s="1"/>
  <c r="E25" i="78"/>
  <c r="C21" i="78"/>
  <c r="C19" i="78"/>
  <c r="C18" i="78"/>
  <c r="C17" i="78"/>
  <c r="C13" i="78"/>
  <c r="G13" i="78" s="1"/>
  <c r="C12" i="78"/>
  <c r="G12" i="78" s="1"/>
  <c r="C11" i="78"/>
  <c r="G11" i="78" s="1"/>
  <c r="L7" i="78"/>
  <c r="E55" i="78" s="1"/>
  <c r="I7" i="78"/>
  <c r="O5" i="78"/>
  <c r="N10" i="78" s="1"/>
  <c r="O4" i="78"/>
  <c r="O3" i="78"/>
  <c r="N7" i="78" s="1"/>
  <c r="B55" i="77"/>
  <c r="B54" i="77"/>
  <c r="L49" i="77"/>
  <c r="G46" i="77"/>
  <c r="L44" i="77"/>
  <c r="B44" i="77"/>
  <c r="B32" i="77"/>
  <c r="C28" i="77"/>
  <c r="C27" i="77"/>
  <c r="R25" i="77"/>
  <c r="N22" i="77" s="1"/>
  <c r="C26" i="77" s="1"/>
  <c r="Q25" i="77"/>
  <c r="N21" i="77" s="1"/>
  <c r="C25" i="77" s="1"/>
  <c r="E25" i="77"/>
  <c r="E26" i="77" s="1"/>
  <c r="C21" i="77"/>
  <c r="C19" i="77"/>
  <c r="C18" i="77"/>
  <c r="C17" i="77"/>
  <c r="C13" i="77"/>
  <c r="G13" i="77" s="1"/>
  <c r="C12" i="77"/>
  <c r="G12" i="77" s="1"/>
  <c r="C11" i="77"/>
  <c r="G11" i="77" s="1"/>
  <c r="L7" i="77"/>
  <c r="I7" i="77"/>
  <c r="E24" i="77" s="1"/>
  <c r="O5" i="77"/>
  <c r="N10" i="77" s="1"/>
  <c r="O4" i="77"/>
  <c r="N8" i="77" s="1"/>
  <c r="O3" i="77"/>
  <c r="N7" i="77" s="1"/>
  <c r="B55" i="76"/>
  <c r="B54" i="76"/>
  <c r="L49" i="76"/>
  <c r="G46" i="76"/>
  <c r="L44" i="76"/>
  <c r="B44" i="76"/>
  <c r="B32" i="76"/>
  <c r="C28" i="76"/>
  <c r="C27" i="76"/>
  <c r="R25" i="76"/>
  <c r="N22" i="76" s="1"/>
  <c r="C26" i="76" s="1"/>
  <c r="Q25" i="76"/>
  <c r="N21" i="76" s="1"/>
  <c r="C25" i="76" s="1"/>
  <c r="E25" i="76"/>
  <c r="E26" i="76" s="1"/>
  <c r="C21" i="76"/>
  <c r="C19" i="76"/>
  <c r="C18" i="76"/>
  <c r="C17" i="76"/>
  <c r="C13" i="76"/>
  <c r="G13" i="76" s="1"/>
  <c r="C12" i="76"/>
  <c r="G12" i="76" s="1"/>
  <c r="C11" i="76"/>
  <c r="G11" i="76" s="1"/>
  <c r="L7" i="76"/>
  <c r="I7" i="76"/>
  <c r="E21" i="76" s="1"/>
  <c r="G21" i="76" s="1"/>
  <c r="O5" i="76"/>
  <c r="N10" i="76" s="1"/>
  <c r="O4" i="76"/>
  <c r="N8" i="76" s="1"/>
  <c r="O3" i="76"/>
  <c r="B55" i="74"/>
  <c r="B54" i="74"/>
  <c r="L49" i="74"/>
  <c r="G46" i="74"/>
  <c r="L44" i="74"/>
  <c r="B44" i="74"/>
  <c r="B32" i="74"/>
  <c r="C28" i="74"/>
  <c r="C27" i="74"/>
  <c r="R25" i="74"/>
  <c r="N22" i="74" s="1"/>
  <c r="C26" i="74" s="1"/>
  <c r="E25" i="74"/>
  <c r="E26" i="74" s="1"/>
  <c r="C21" i="74"/>
  <c r="N20" i="74"/>
  <c r="C24" i="74" s="1"/>
  <c r="C19" i="74"/>
  <c r="N18" i="74"/>
  <c r="C20" i="74" s="1"/>
  <c r="C18" i="74"/>
  <c r="C17" i="74"/>
  <c r="C14" i="74"/>
  <c r="G14" i="74" s="1"/>
  <c r="C13" i="74"/>
  <c r="G13" i="74" s="1"/>
  <c r="C12" i="74"/>
  <c r="G12" i="74" s="1"/>
  <c r="C11" i="74"/>
  <c r="G11" i="74" s="1"/>
  <c r="L7" i="74"/>
  <c r="I7" i="74"/>
  <c r="E24" i="74" s="1"/>
  <c r="O5" i="74"/>
  <c r="N10" i="74" s="1"/>
  <c r="O4" i="74"/>
  <c r="O3" i="74"/>
  <c r="N7" i="74" s="1"/>
  <c r="B55" i="73"/>
  <c r="B54" i="73"/>
  <c r="L49" i="73"/>
  <c r="G46" i="73"/>
  <c r="L44" i="73"/>
  <c r="B44" i="73"/>
  <c r="B32" i="73"/>
  <c r="C28" i="73"/>
  <c r="C27" i="73"/>
  <c r="R25" i="73"/>
  <c r="N22" i="73" s="1"/>
  <c r="C26" i="73" s="1"/>
  <c r="Q25" i="73"/>
  <c r="N21" i="73" s="1"/>
  <c r="C25" i="73" s="1"/>
  <c r="E25" i="73"/>
  <c r="E26" i="73" s="1"/>
  <c r="C21" i="73"/>
  <c r="C19" i="73"/>
  <c r="C18" i="73"/>
  <c r="C17" i="73"/>
  <c r="C13" i="73"/>
  <c r="G13" i="73" s="1"/>
  <c r="C12" i="73"/>
  <c r="G12" i="73" s="1"/>
  <c r="C11" i="73"/>
  <c r="G11" i="73" s="1"/>
  <c r="L7" i="73"/>
  <c r="I7" i="73"/>
  <c r="E28" i="73" s="1"/>
  <c r="E27" i="73" s="1"/>
  <c r="O5" i="73"/>
  <c r="N10" i="73" s="1"/>
  <c r="O4" i="73"/>
  <c r="O3" i="73"/>
  <c r="N7" i="73" s="1"/>
  <c r="B55" i="72"/>
  <c r="B54" i="72"/>
  <c r="L49" i="72"/>
  <c r="G46" i="72"/>
  <c r="L44" i="72"/>
  <c r="B44" i="72"/>
  <c r="B32" i="72"/>
  <c r="C28" i="72"/>
  <c r="C27" i="72"/>
  <c r="R25" i="72"/>
  <c r="N22" i="72" s="1"/>
  <c r="C26" i="72" s="1"/>
  <c r="E25" i="72"/>
  <c r="E26" i="72" s="1"/>
  <c r="C21" i="72"/>
  <c r="C19" i="72"/>
  <c r="C18" i="72"/>
  <c r="C17" i="72"/>
  <c r="C13" i="72"/>
  <c r="G13" i="72" s="1"/>
  <c r="C12" i="72"/>
  <c r="G12" i="72" s="1"/>
  <c r="C11" i="72"/>
  <c r="G11" i="72" s="1"/>
  <c r="L7" i="72"/>
  <c r="I7" i="72"/>
  <c r="E20" i="72" s="1"/>
  <c r="O5" i="72"/>
  <c r="N10" i="72" s="1"/>
  <c r="O4" i="72"/>
  <c r="N8" i="72" s="1"/>
  <c r="O3" i="72"/>
  <c r="B55" i="71"/>
  <c r="B54" i="71"/>
  <c r="L49" i="71"/>
  <c r="G46" i="71"/>
  <c r="L44" i="71"/>
  <c r="B44" i="71"/>
  <c r="B32" i="71"/>
  <c r="C28" i="71"/>
  <c r="C27" i="71"/>
  <c r="R25" i="71"/>
  <c r="N22" i="71" s="1"/>
  <c r="C26" i="71" s="1"/>
  <c r="E25" i="71"/>
  <c r="E26" i="71" s="1"/>
  <c r="C21" i="71"/>
  <c r="C19" i="71"/>
  <c r="N18" i="71"/>
  <c r="C20" i="71" s="1"/>
  <c r="C18" i="71"/>
  <c r="C14" i="71"/>
  <c r="G14" i="71" s="1"/>
  <c r="C13" i="71"/>
  <c r="G13" i="71" s="1"/>
  <c r="C12" i="71"/>
  <c r="G12" i="71" s="1"/>
  <c r="L7" i="71"/>
  <c r="I7" i="71"/>
  <c r="E54" i="71" s="1"/>
  <c r="O5" i="71"/>
  <c r="N10" i="71" s="1"/>
  <c r="O4" i="71"/>
  <c r="N8" i="71" s="1"/>
  <c r="O3" i="71"/>
  <c r="N7" i="71" s="1"/>
  <c r="B55" i="70"/>
  <c r="B54" i="70"/>
  <c r="L49" i="70"/>
  <c r="G46" i="70"/>
  <c r="L44" i="70"/>
  <c r="B44" i="70"/>
  <c r="B32" i="70"/>
  <c r="C28" i="70"/>
  <c r="C27" i="70"/>
  <c r="R25" i="70"/>
  <c r="N22" i="70" s="1"/>
  <c r="C26" i="70" s="1"/>
  <c r="Q25" i="70"/>
  <c r="N21" i="70" s="1"/>
  <c r="C25" i="70" s="1"/>
  <c r="E25" i="70"/>
  <c r="E26" i="70" s="1"/>
  <c r="C21" i="70"/>
  <c r="C19" i="70"/>
  <c r="C20" i="70"/>
  <c r="C18" i="70"/>
  <c r="C14" i="70"/>
  <c r="G14" i="70" s="1"/>
  <c r="C13" i="70"/>
  <c r="G13" i="70" s="1"/>
  <c r="C12" i="70"/>
  <c r="G12" i="70" s="1"/>
  <c r="L7" i="70"/>
  <c r="I7" i="70"/>
  <c r="E32" i="70" s="1"/>
  <c r="O5" i="70"/>
  <c r="N10" i="70" s="1"/>
  <c r="O4" i="70"/>
  <c r="N8" i="70" s="1"/>
  <c r="O3" i="70"/>
  <c r="B55" i="69"/>
  <c r="B54" i="69"/>
  <c r="L49" i="69"/>
  <c r="G46" i="69"/>
  <c r="L44" i="69"/>
  <c r="B44" i="69"/>
  <c r="B32" i="69"/>
  <c r="C28" i="69"/>
  <c r="C27" i="69"/>
  <c r="R25" i="69"/>
  <c r="N22" i="69" s="1"/>
  <c r="C26" i="69" s="1"/>
  <c r="Q25" i="69"/>
  <c r="N21" i="69" s="1"/>
  <c r="C25" i="69" s="1"/>
  <c r="E25" i="69"/>
  <c r="C21" i="69"/>
  <c r="N20" i="69"/>
  <c r="C24" i="69" s="1"/>
  <c r="C19" i="69"/>
  <c r="C20" i="69"/>
  <c r="C18" i="69"/>
  <c r="C14" i="69"/>
  <c r="G14" i="69" s="1"/>
  <c r="C13" i="69"/>
  <c r="G13" i="69" s="1"/>
  <c r="C12" i="69"/>
  <c r="G12" i="69" s="1"/>
  <c r="C11" i="69"/>
  <c r="G11" i="69" s="1"/>
  <c r="L7" i="69"/>
  <c r="E55" i="69" s="1"/>
  <c r="I7" i="69"/>
  <c r="E24" i="69" s="1"/>
  <c r="O5" i="69"/>
  <c r="N10" i="69" s="1"/>
  <c r="O4" i="69"/>
  <c r="N8" i="69" s="1"/>
  <c r="O3" i="69"/>
  <c r="N7" i="69" s="1"/>
  <c r="B55" i="68"/>
  <c r="B54" i="68"/>
  <c r="L49" i="68"/>
  <c r="G46" i="68"/>
  <c r="L44" i="68"/>
  <c r="B44" i="68"/>
  <c r="B32" i="68"/>
  <c r="C28" i="68"/>
  <c r="C27" i="68"/>
  <c r="R25" i="68"/>
  <c r="N22" i="68" s="1"/>
  <c r="C26" i="68" s="1"/>
  <c r="Q25" i="68"/>
  <c r="N21" i="68" s="1"/>
  <c r="C25" i="68" s="1"/>
  <c r="E25" i="68"/>
  <c r="E26" i="68" s="1"/>
  <c r="C21" i="68"/>
  <c r="N20" i="68"/>
  <c r="C24" i="68" s="1"/>
  <c r="C19" i="68"/>
  <c r="N18" i="68"/>
  <c r="C20" i="68" s="1"/>
  <c r="C18" i="68"/>
  <c r="C14" i="68"/>
  <c r="G14" i="68" s="1"/>
  <c r="C13" i="68"/>
  <c r="G13" i="68" s="1"/>
  <c r="C12" i="68"/>
  <c r="G12" i="68" s="1"/>
  <c r="C11" i="68"/>
  <c r="G11" i="68" s="1"/>
  <c r="L7" i="68"/>
  <c r="I7" i="68"/>
  <c r="E18" i="68" s="1"/>
  <c r="O5" i="68"/>
  <c r="N10" i="68" s="1"/>
  <c r="O4" i="68"/>
  <c r="N8" i="68" s="1"/>
  <c r="D7" i="68" s="1"/>
  <c r="O3" i="68"/>
  <c r="N7" i="68" s="1"/>
  <c r="C7" i="68" s="1"/>
  <c r="B55" i="67"/>
  <c r="B54" i="67"/>
  <c r="L49" i="67"/>
  <c r="G46" i="67"/>
  <c r="L44" i="67"/>
  <c r="B44" i="67"/>
  <c r="B32" i="67"/>
  <c r="C28" i="67"/>
  <c r="C27" i="67"/>
  <c r="R25" i="67"/>
  <c r="N22" i="67" s="1"/>
  <c r="C26" i="67" s="1"/>
  <c r="Q25" i="67"/>
  <c r="N21" i="67" s="1"/>
  <c r="C25" i="67" s="1"/>
  <c r="E25" i="67"/>
  <c r="E26" i="67" s="1"/>
  <c r="C21" i="67"/>
  <c r="N20" i="67"/>
  <c r="C24" i="67" s="1"/>
  <c r="C19" i="67"/>
  <c r="N18" i="67"/>
  <c r="C20" i="67" s="1"/>
  <c r="C18" i="67"/>
  <c r="C14" i="67"/>
  <c r="G14" i="67" s="1"/>
  <c r="C13" i="67"/>
  <c r="G13" i="67" s="1"/>
  <c r="C12" i="67"/>
  <c r="G12" i="67" s="1"/>
  <c r="C11" i="67"/>
  <c r="G11" i="67" s="1"/>
  <c r="L7" i="67"/>
  <c r="E55" i="67" s="1"/>
  <c r="I7" i="67"/>
  <c r="E32" i="67" s="1"/>
  <c r="O5" i="67"/>
  <c r="N10" i="67" s="1"/>
  <c r="O4" i="67"/>
  <c r="O3" i="67"/>
  <c r="N7" i="67" s="1"/>
  <c r="C7" i="67" s="1"/>
  <c r="B55" i="66"/>
  <c r="B54" i="66"/>
  <c r="L49" i="66"/>
  <c r="G46" i="66"/>
  <c r="L44" i="66"/>
  <c r="B44" i="66"/>
  <c r="B32" i="66"/>
  <c r="C28" i="66"/>
  <c r="C27" i="66"/>
  <c r="R25" i="66"/>
  <c r="N22" i="66" s="1"/>
  <c r="C26" i="66" s="1"/>
  <c r="Q25" i="66"/>
  <c r="N21" i="66" s="1"/>
  <c r="C25" i="66" s="1"/>
  <c r="E25" i="66"/>
  <c r="E26" i="66" s="1"/>
  <c r="C21" i="66"/>
  <c r="N20" i="66"/>
  <c r="C24" i="66" s="1"/>
  <c r="C19" i="66"/>
  <c r="N18" i="66"/>
  <c r="C20" i="66" s="1"/>
  <c r="C18" i="66"/>
  <c r="C14" i="66"/>
  <c r="G14" i="66" s="1"/>
  <c r="C13" i="66"/>
  <c r="G13" i="66" s="1"/>
  <c r="C12" i="66"/>
  <c r="G12" i="66" s="1"/>
  <c r="C11" i="66"/>
  <c r="G11" i="66" s="1"/>
  <c r="L7" i="66"/>
  <c r="I7" i="66"/>
  <c r="E20" i="66" s="1"/>
  <c r="O5" i="66"/>
  <c r="N10" i="66" s="1"/>
  <c r="O4" i="66"/>
  <c r="N8" i="66" s="1"/>
  <c r="O3" i="66"/>
  <c r="N7" i="66" s="1"/>
  <c r="C17" i="170"/>
  <c r="N28" i="59"/>
  <c r="N9" i="94" l="1"/>
  <c r="N19" i="94" s="1"/>
  <c r="C21" i="94" s="1"/>
  <c r="G21" i="94" s="1"/>
  <c r="N7" i="94"/>
  <c r="C7" i="94" s="1"/>
  <c r="N9" i="93"/>
  <c r="N19" i="93" s="1"/>
  <c r="C21" i="93" s="1"/>
  <c r="N7" i="93"/>
  <c r="N7" i="92"/>
  <c r="N9" i="92"/>
  <c r="N19" i="92" s="1"/>
  <c r="C21" i="92" s="1"/>
  <c r="N9" i="90"/>
  <c r="N19" i="90" s="1"/>
  <c r="C21" i="90" s="1"/>
  <c r="N7" i="90"/>
  <c r="N9" i="89"/>
  <c r="N19" i="89" s="1"/>
  <c r="C21" i="89" s="1"/>
  <c r="N7" i="89"/>
  <c r="N9" i="87"/>
  <c r="N19" i="87" s="1"/>
  <c r="C21" i="87" s="1"/>
  <c r="N7" i="87"/>
  <c r="Q15" i="363"/>
  <c r="Q16" i="363" s="1"/>
  <c r="C37" i="363"/>
  <c r="G37" i="363" s="1"/>
  <c r="Q15" i="367"/>
  <c r="Q16" i="366"/>
  <c r="Q17" i="366" s="1"/>
  <c r="L12" i="366" s="1"/>
  <c r="C32" i="366" s="1"/>
  <c r="Q16" i="365"/>
  <c r="Q17" i="365" s="1"/>
  <c r="L12" i="365" s="1"/>
  <c r="C32" i="365" s="1"/>
  <c r="Q16" i="364"/>
  <c r="Q17" i="364" s="1"/>
  <c r="L12" i="364" s="1"/>
  <c r="C32" i="364" s="1"/>
  <c r="Q16" i="362"/>
  <c r="Q17" i="362" s="1"/>
  <c r="L12" i="362" s="1"/>
  <c r="C32" i="362" s="1"/>
  <c r="C44" i="361"/>
  <c r="N25" i="361"/>
  <c r="G32" i="361"/>
  <c r="G39" i="361" s="1"/>
  <c r="Q14" i="359"/>
  <c r="Q15" i="359" s="1"/>
  <c r="Q16" i="359" s="1"/>
  <c r="Q17" i="359" s="1"/>
  <c r="L12" i="359" s="1"/>
  <c r="L10" i="359"/>
  <c r="L14" i="359" s="1"/>
  <c r="C7" i="73"/>
  <c r="C7" i="74"/>
  <c r="C7" i="84"/>
  <c r="C7" i="88"/>
  <c r="C7" i="89"/>
  <c r="D7" i="95"/>
  <c r="D7" i="69"/>
  <c r="D7" i="83"/>
  <c r="D7" i="84"/>
  <c r="C7" i="86"/>
  <c r="C7" i="87"/>
  <c r="D7" i="92"/>
  <c r="F7" i="94"/>
  <c r="F7" i="95"/>
  <c r="C7" i="171"/>
  <c r="C7" i="71"/>
  <c r="D7" i="72"/>
  <c r="F7" i="73"/>
  <c r="F7" i="74"/>
  <c r="C7" i="77"/>
  <c r="C7" i="78"/>
  <c r="C7" i="80"/>
  <c r="F7" i="83"/>
  <c r="D7" i="86"/>
  <c r="F7" i="87"/>
  <c r="F7" i="88"/>
  <c r="F7" i="89"/>
  <c r="F7" i="90"/>
  <c r="D7" i="171"/>
  <c r="D7" i="347"/>
  <c r="C7" i="348"/>
  <c r="F7" i="69"/>
  <c r="D7" i="71"/>
  <c r="F7" i="72"/>
  <c r="D7" i="76"/>
  <c r="D7" i="81"/>
  <c r="F7" i="82"/>
  <c r="F7" i="85"/>
  <c r="F7" i="86"/>
  <c r="D7" i="96"/>
  <c r="F7" i="171"/>
  <c r="F7" i="347"/>
  <c r="D7" i="66"/>
  <c r="D7" i="70"/>
  <c r="F7" i="70"/>
  <c r="F7" i="71"/>
  <c r="F7" i="76"/>
  <c r="F7" i="77"/>
  <c r="F7" i="78"/>
  <c r="F7" i="79"/>
  <c r="F7" i="80"/>
  <c r="F7" i="96"/>
  <c r="F7" i="348"/>
  <c r="C7" i="349"/>
  <c r="D7" i="77"/>
  <c r="D7" i="79"/>
  <c r="F7" i="66"/>
  <c r="C7" i="170"/>
  <c r="F7" i="349"/>
  <c r="C7" i="95"/>
  <c r="D7" i="170"/>
  <c r="E24" i="349"/>
  <c r="G24" i="349" s="1"/>
  <c r="D7" i="349"/>
  <c r="E28" i="349"/>
  <c r="N9" i="349"/>
  <c r="E18" i="349"/>
  <c r="G18" i="349" s="1"/>
  <c r="E54" i="349"/>
  <c r="E32" i="349"/>
  <c r="G26" i="349"/>
  <c r="E44" i="349"/>
  <c r="E21" i="349"/>
  <c r="G21" i="349" s="1"/>
  <c r="G20" i="349"/>
  <c r="C35" i="349"/>
  <c r="E17" i="349"/>
  <c r="G17" i="349" s="1"/>
  <c r="E19" i="349"/>
  <c r="G19" i="349" s="1"/>
  <c r="Q25" i="348"/>
  <c r="N21" i="348" s="1"/>
  <c r="C25" i="348" s="1"/>
  <c r="G25" i="348" s="1"/>
  <c r="D7" i="348"/>
  <c r="E24" i="348"/>
  <c r="G24" i="348" s="1"/>
  <c r="E28" i="348"/>
  <c r="E27" i="348" s="1"/>
  <c r="G27" i="348" s="1"/>
  <c r="E54" i="348"/>
  <c r="E18" i="348"/>
  <c r="G18" i="348" s="1"/>
  <c r="E32" i="348"/>
  <c r="E44" i="348"/>
  <c r="N9" i="348"/>
  <c r="G20" i="348"/>
  <c r="G26" i="348"/>
  <c r="E21" i="348"/>
  <c r="G21" i="348" s="1"/>
  <c r="C35" i="348"/>
  <c r="E17" i="348"/>
  <c r="G17" i="348" s="1"/>
  <c r="E19" i="348"/>
  <c r="G19" i="348" s="1"/>
  <c r="G24" i="347"/>
  <c r="Q25" i="347"/>
  <c r="N21" i="347" s="1"/>
  <c r="C25" i="347" s="1"/>
  <c r="G25" i="347" s="1"/>
  <c r="N9" i="347"/>
  <c r="L13" i="347"/>
  <c r="C35" i="347"/>
  <c r="Q12" i="347" s="1"/>
  <c r="C17" i="347"/>
  <c r="C7" i="347"/>
  <c r="E26" i="347"/>
  <c r="G26" i="347" s="1"/>
  <c r="E28" i="347"/>
  <c r="E54" i="347"/>
  <c r="E21" i="347"/>
  <c r="G21" i="347" s="1"/>
  <c r="E17" i="347"/>
  <c r="E19" i="347"/>
  <c r="G19" i="347" s="1"/>
  <c r="E55" i="347"/>
  <c r="E20" i="347"/>
  <c r="G20" i="347" s="1"/>
  <c r="E32" i="347"/>
  <c r="E18" i="347"/>
  <c r="G18" i="347" s="1"/>
  <c r="C35" i="85"/>
  <c r="C45" i="85" s="1"/>
  <c r="G45" i="85" s="1"/>
  <c r="L13" i="77"/>
  <c r="E20" i="90"/>
  <c r="G20" i="90" s="1"/>
  <c r="E18" i="88"/>
  <c r="G18" i="88" s="1"/>
  <c r="L13" i="88"/>
  <c r="E32" i="84"/>
  <c r="E19" i="93"/>
  <c r="G19" i="93" s="1"/>
  <c r="C35" i="89"/>
  <c r="Q12" i="89" s="1"/>
  <c r="L13" i="94"/>
  <c r="E32" i="93"/>
  <c r="L13" i="73"/>
  <c r="C35" i="78"/>
  <c r="C45" i="78" s="1"/>
  <c r="G45" i="78" s="1"/>
  <c r="C35" i="79"/>
  <c r="Q12" i="79" s="1"/>
  <c r="E20" i="68"/>
  <c r="G20" i="68" s="1"/>
  <c r="C35" i="82"/>
  <c r="Q12" i="82" s="1"/>
  <c r="L13" i="90"/>
  <c r="L13" i="66"/>
  <c r="E24" i="83"/>
  <c r="E21" i="170"/>
  <c r="G21" i="170" s="1"/>
  <c r="G24" i="74"/>
  <c r="E18" i="170"/>
  <c r="G18" i="170" s="1"/>
  <c r="E20" i="67"/>
  <c r="G20" i="67" s="1"/>
  <c r="E17" i="170"/>
  <c r="G17" i="170" s="1"/>
  <c r="L13" i="84"/>
  <c r="E28" i="67"/>
  <c r="E27" i="67" s="1"/>
  <c r="G27" i="67" s="1"/>
  <c r="E55" i="88"/>
  <c r="C14" i="72"/>
  <c r="G14" i="72" s="1"/>
  <c r="C35" i="92"/>
  <c r="G35" i="92" s="1"/>
  <c r="L13" i="80"/>
  <c r="E55" i="96"/>
  <c r="E19" i="68"/>
  <c r="G19" i="68" s="1"/>
  <c r="C35" i="86"/>
  <c r="C45" i="86" s="1"/>
  <c r="G45" i="86" s="1"/>
  <c r="E18" i="77"/>
  <c r="G18" i="77" s="1"/>
  <c r="G18" i="93"/>
  <c r="E19" i="77"/>
  <c r="G19" i="77" s="1"/>
  <c r="C35" i="68"/>
  <c r="G35" i="68" s="1"/>
  <c r="L13" i="170"/>
  <c r="E21" i="77"/>
  <c r="G21" i="77" s="1"/>
  <c r="E17" i="73"/>
  <c r="G17" i="73" s="1"/>
  <c r="N20" i="89"/>
  <c r="C24" i="89" s="1"/>
  <c r="E19" i="84"/>
  <c r="G19" i="84" s="1"/>
  <c r="C35" i="74"/>
  <c r="Q12" i="74" s="1"/>
  <c r="E24" i="87"/>
  <c r="E55" i="86"/>
  <c r="G27" i="170"/>
  <c r="G28" i="171"/>
  <c r="E27" i="171"/>
  <c r="G27" i="171" s="1"/>
  <c r="E54" i="85"/>
  <c r="E28" i="85"/>
  <c r="G28" i="85" s="1"/>
  <c r="E20" i="85"/>
  <c r="G20" i="85" s="1"/>
  <c r="E55" i="87"/>
  <c r="E55" i="84"/>
  <c r="C35" i="67"/>
  <c r="Q12" i="67" s="1"/>
  <c r="L13" i="67"/>
  <c r="C35" i="70"/>
  <c r="G35" i="70" s="1"/>
  <c r="L13" i="70"/>
  <c r="L13" i="71"/>
  <c r="C35" i="71"/>
  <c r="C45" i="71" s="1"/>
  <c r="G45" i="71" s="1"/>
  <c r="C14" i="73"/>
  <c r="G14" i="73" s="1"/>
  <c r="N20" i="73"/>
  <c r="C24" i="73" s="1"/>
  <c r="C14" i="78"/>
  <c r="G14" i="78" s="1"/>
  <c r="N20" i="78"/>
  <c r="C24" i="78" s="1"/>
  <c r="E24" i="171"/>
  <c r="G24" i="171" s="1"/>
  <c r="E21" i="171"/>
  <c r="G21" i="171" s="1"/>
  <c r="E19" i="171"/>
  <c r="G19" i="171" s="1"/>
  <c r="E32" i="171"/>
  <c r="E20" i="171"/>
  <c r="G20" i="171" s="1"/>
  <c r="E18" i="171"/>
  <c r="G18" i="171" s="1"/>
  <c r="E54" i="171"/>
  <c r="E17" i="171"/>
  <c r="G17" i="171" s="1"/>
  <c r="C35" i="83"/>
  <c r="L13" i="83"/>
  <c r="C11" i="88"/>
  <c r="G11" i="88" s="1"/>
  <c r="N20" i="88"/>
  <c r="C24" i="88" s="1"/>
  <c r="G24" i="88" s="1"/>
  <c r="C35" i="96"/>
  <c r="L13" i="96"/>
  <c r="E24" i="86"/>
  <c r="E20" i="86"/>
  <c r="G20" i="86" s="1"/>
  <c r="E21" i="86"/>
  <c r="G21" i="86" s="1"/>
  <c r="E44" i="89"/>
  <c r="E55" i="89"/>
  <c r="E18" i="72"/>
  <c r="G18" i="72" s="1"/>
  <c r="E24" i="72"/>
  <c r="G24" i="72" s="1"/>
  <c r="E17" i="72"/>
  <c r="G17" i="72" s="1"/>
  <c r="E32" i="72"/>
  <c r="E19" i="72"/>
  <c r="G19" i="72" s="1"/>
  <c r="E54" i="72"/>
  <c r="E21" i="72"/>
  <c r="G21" i="72" s="1"/>
  <c r="E24" i="82"/>
  <c r="E18" i="82"/>
  <c r="G18" i="82" s="1"/>
  <c r="E28" i="82"/>
  <c r="E27" i="82" s="1"/>
  <c r="G27" i="82" s="1"/>
  <c r="E44" i="83"/>
  <c r="E55" i="83"/>
  <c r="G26" i="67"/>
  <c r="G27" i="84"/>
  <c r="C17" i="71"/>
  <c r="E28" i="68"/>
  <c r="G28" i="68" s="1"/>
  <c r="E17" i="68"/>
  <c r="E21" i="68"/>
  <c r="G21" i="68" s="1"/>
  <c r="G18" i="68"/>
  <c r="E28" i="71"/>
  <c r="E21" i="71"/>
  <c r="G21" i="71" s="1"/>
  <c r="E24" i="71"/>
  <c r="E18" i="76"/>
  <c r="G18" i="76" s="1"/>
  <c r="E28" i="76"/>
  <c r="E20" i="76"/>
  <c r="E32" i="76"/>
  <c r="E54" i="77"/>
  <c r="E20" i="77"/>
  <c r="E17" i="77"/>
  <c r="G17" i="77" s="1"/>
  <c r="E32" i="77"/>
  <c r="E54" i="78"/>
  <c r="E20" i="78"/>
  <c r="E28" i="80"/>
  <c r="E27" i="80" s="1"/>
  <c r="G27" i="80" s="1"/>
  <c r="E24" i="80"/>
  <c r="E18" i="80"/>
  <c r="G18" i="80" s="1"/>
  <c r="E32" i="80"/>
  <c r="E44" i="82"/>
  <c r="E55" i="82"/>
  <c r="E44" i="85"/>
  <c r="E55" i="85"/>
  <c r="E21" i="96"/>
  <c r="G21" i="96" s="1"/>
  <c r="E19" i="96"/>
  <c r="G19" i="96" s="1"/>
  <c r="C11" i="83"/>
  <c r="G11" i="83" s="1"/>
  <c r="N20" i="83"/>
  <c r="C24" i="83" s="1"/>
  <c r="E28" i="92"/>
  <c r="E27" i="92" s="1"/>
  <c r="G27" i="92" s="1"/>
  <c r="E24" i="76"/>
  <c r="E28" i="77"/>
  <c r="E27" i="77" s="1"/>
  <c r="G27" i="77" s="1"/>
  <c r="G25" i="94"/>
  <c r="E17" i="78"/>
  <c r="G17" i="78" s="1"/>
  <c r="E21" i="73"/>
  <c r="G21" i="73" s="1"/>
  <c r="E54" i="73"/>
  <c r="E24" i="73"/>
  <c r="E32" i="73"/>
  <c r="E20" i="73"/>
  <c r="E18" i="74"/>
  <c r="G18" i="74" s="1"/>
  <c r="E28" i="74"/>
  <c r="G28" i="74" s="1"/>
  <c r="E17" i="74"/>
  <c r="G17" i="74" s="1"/>
  <c r="E19" i="74"/>
  <c r="G19" i="74" s="1"/>
  <c r="E28" i="83"/>
  <c r="E27" i="83" s="1"/>
  <c r="G27" i="83" s="1"/>
  <c r="E54" i="83"/>
  <c r="E20" i="83"/>
  <c r="G20" i="83" s="1"/>
  <c r="E18" i="83"/>
  <c r="G18" i="83" s="1"/>
  <c r="E21" i="83"/>
  <c r="E19" i="83"/>
  <c r="G19" i="83" s="1"/>
  <c r="E17" i="83"/>
  <c r="E17" i="84"/>
  <c r="G17" i="84" s="1"/>
  <c r="E21" i="84"/>
  <c r="G21" i="84" s="1"/>
  <c r="E18" i="84"/>
  <c r="G18" i="84" s="1"/>
  <c r="E54" i="84"/>
  <c r="E20" i="84"/>
  <c r="G20" i="84" s="1"/>
  <c r="E24" i="84"/>
  <c r="G24" i="84" s="1"/>
  <c r="E32" i="87"/>
  <c r="E54" i="87"/>
  <c r="E19" i="87"/>
  <c r="G19" i="87" s="1"/>
  <c r="E28" i="87"/>
  <c r="E27" i="87" s="1"/>
  <c r="G27" i="87" s="1"/>
  <c r="E17" i="88"/>
  <c r="E32" i="88"/>
  <c r="E54" i="88"/>
  <c r="E28" i="88"/>
  <c r="E27" i="88" s="1"/>
  <c r="G27" i="88" s="1"/>
  <c r="E20" i="89"/>
  <c r="G20" i="89" s="1"/>
  <c r="E32" i="89"/>
  <c r="E18" i="89"/>
  <c r="G18" i="89" s="1"/>
  <c r="E19" i="90"/>
  <c r="G19" i="90" s="1"/>
  <c r="E28" i="90"/>
  <c r="E24" i="90"/>
  <c r="G25" i="85"/>
  <c r="G25" i="86"/>
  <c r="C35" i="69"/>
  <c r="C45" i="69" s="1"/>
  <c r="G45" i="69" s="1"/>
  <c r="G28" i="170"/>
  <c r="E20" i="170"/>
  <c r="G20" i="170" s="1"/>
  <c r="E54" i="170"/>
  <c r="E24" i="170"/>
  <c r="G24" i="170" s="1"/>
  <c r="E32" i="170"/>
  <c r="N20" i="76"/>
  <c r="C24" i="76" s="1"/>
  <c r="N9" i="76"/>
  <c r="N9" i="170"/>
  <c r="E19" i="170"/>
  <c r="G19" i="170" s="1"/>
  <c r="G26" i="93"/>
  <c r="E19" i="67"/>
  <c r="G19" i="67" s="1"/>
  <c r="E55" i="170"/>
  <c r="C35" i="95"/>
  <c r="C45" i="95" s="1"/>
  <c r="G45" i="95" s="1"/>
  <c r="E17" i="67"/>
  <c r="C14" i="79"/>
  <c r="G14" i="79" s="1"/>
  <c r="E54" i="67"/>
  <c r="G28" i="84"/>
  <c r="E24" i="67"/>
  <c r="G24" i="67" s="1"/>
  <c r="C35" i="72"/>
  <c r="C45" i="72" s="1"/>
  <c r="G45" i="72" s="1"/>
  <c r="E21" i="67"/>
  <c r="G21" i="67" s="1"/>
  <c r="N20" i="90"/>
  <c r="C24" i="90" s="1"/>
  <c r="C24" i="87"/>
  <c r="G27" i="73"/>
  <c r="C45" i="94"/>
  <c r="G45" i="94" s="1"/>
  <c r="E18" i="67"/>
  <c r="G18" i="67" s="1"/>
  <c r="C35" i="76"/>
  <c r="G26" i="96"/>
  <c r="N7" i="81"/>
  <c r="N9" i="81"/>
  <c r="C17" i="85"/>
  <c r="D7" i="85"/>
  <c r="E28" i="94"/>
  <c r="E27" i="94" s="1"/>
  <c r="G27" i="94" s="1"/>
  <c r="E20" i="94"/>
  <c r="E18" i="94"/>
  <c r="G18" i="94" s="1"/>
  <c r="E54" i="94"/>
  <c r="E24" i="95"/>
  <c r="G24" i="95" s="1"/>
  <c r="E32" i="95"/>
  <c r="N7" i="96"/>
  <c r="N9" i="96"/>
  <c r="L13" i="93"/>
  <c r="C35" i="93"/>
  <c r="G35" i="93" s="1"/>
  <c r="G20" i="92"/>
  <c r="E54" i="68"/>
  <c r="E24" i="68"/>
  <c r="G24" i="68" s="1"/>
  <c r="E32" i="68"/>
  <c r="E44" i="69"/>
  <c r="G26" i="171"/>
  <c r="G26" i="76"/>
  <c r="G26" i="77"/>
  <c r="G26" i="80"/>
  <c r="G26" i="83"/>
  <c r="G26" i="87"/>
  <c r="G28" i="73"/>
  <c r="C17" i="90"/>
  <c r="C45" i="66"/>
  <c r="G45" i="66" s="1"/>
  <c r="N9" i="68"/>
  <c r="N28" i="68" s="1"/>
  <c r="C7" i="69"/>
  <c r="C17" i="69"/>
  <c r="G35" i="66"/>
  <c r="E44" i="78"/>
  <c r="D7" i="82"/>
  <c r="C17" i="82"/>
  <c r="F7" i="84"/>
  <c r="G35" i="88"/>
  <c r="D7" i="90"/>
  <c r="G25" i="77"/>
  <c r="E32" i="96"/>
  <c r="E28" i="96"/>
  <c r="E17" i="96"/>
  <c r="G17" i="96" s="1"/>
  <c r="E24" i="96"/>
  <c r="G24" i="96" s="1"/>
  <c r="E54" i="96"/>
  <c r="F7" i="170"/>
  <c r="Q25" i="170"/>
  <c r="N21" i="170" s="1"/>
  <c r="C25" i="170" s="1"/>
  <c r="G25" i="170" s="1"/>
  <c r="N20" i="77"/>
  <c r="C24" i="77" s="1"/>
  <c r="G24" i="77" s="1"/>
  <c r="C14" i="77"/>
  <c r="G14" i="77" s="1"/>
  <c r="N20" i="82"/>
  <c r="C24" i="82" s="1"/>
  <c r="C11" i="82"/>
  <c r="G11" i="82" s="1"/>
  <c r="C35" i="87"/>
  <c r="L13" i="87"/>
  <c r="E54" i="93"/>
  <c r="E20" i="93"/>
  <c r="E24" i="93"/>
  <c r="E28" i="93"/>
  <c r="E21" i="93"/>
  <c r="E17" i="93"/>
  <c r="G17" i="93" s="1"/>
  <c r="E55" i="76"/>
  <c r="E44" i="76"/>
  <c r="E44" i="77"/>
  <c r="E55" i="77"/>
  <c r="E26" i="78"/>
  <c r="G26" i="78" s="1"/>
  <c r="G25" i="78"/>
  <c r="E44" i="79"/>
  <c r="E55" i="79"/>
  <c r="E44" i="81"/>
  <c r="E55" i="81"/>
  <c r="R25" i="84"/>
  <c r="N22" i="84" s="1"/>
  <c r="C26" i="84" s="1"/>
  <c r="G26" i="84" s="1"/>
  <c r="G26" i="85"/>
  <c r="G26" i="170"/>
  <c r="G26" i="94"/>
  <c r="N8" i="73"/>
  <c r="N9" i="73"/>
  <c r="N8" i="74"/>
  <c r="N9" i="74"/>
  <c r="D7" i="88"/>
  <c r="C17" i="88"/>
  <c r="Q25" i="92"/>
  <c r="N21" i="92" s="1"/>
  <c r="C25" i="92" s="1"/>
  <c r="G25" i="92" s="1"/>
  <c r="C7" i="92"/>
  <c r="Q12" i="80"/>
  <c r="N9" i="86"/>
  <c r="E44" i="68"/>
  <c r="E55" i="68"/>
  <c r="C45" i="80"/>
  <c r="G45" i="80" s="1"/>
  <c r="G35" i="94"/>
  <c r="C14" i="80"/>
  <c r="G14" i="80" s="1"/>
  <c r="N20" i="80"/>
  <c r="C24" i="80" s="1"/>
  <c r="E55" i="171"/>
  <c r="E44" i="171"/>
  <c r="C35" i="81"/>
  <c r="L13" i="81"/>
  <c r="C11" i="86"/>
  <c r="G11" i="86" s="1"/>
  <c r="N20" i="86"/>
  <c r="C24" i="86" s="1"/>
  <c r="C17" i="86"/>
  <c r="C11" i="92"/>
  <c r="G11" i="92" s="1"/>
  <c r="N20" i="92"/>
  <c r="C24" i="92" s="1"/>
  <c r="N20" i="93"/>
  <c r="C24" i="93" s="1"/>
  <c r="C14" i="93"/>
  <c r="G14" i="93" s="1"/>
  <c r="E44" i="67"/>
  <c r="G25" i="95"/>
  <c r="N9" i="69"/>
  <c r="E32" i="85"/>
  <c r="E18" i="90"/>
  <c r="G18" i="90" s="1"/>
  <c r="E18" i="85"/>
  <c r="G18" i="85" s="1"/>
  <c r="G26" i="71"/>
  <c r="G19" i="80"/>
  <c r="C20" i="76"/>
  <c r="E18" i="86"/>
  <c r="G18" i="86" s="1"/>
  <c r="E19" i="85"/>
  <c r="G19" i="85" s="1"/>
  <c r="G25" i="67"/>
  <c r="C20" i="79"/>
  <c r="E28" i="72"/>
  <c r="G25" i="66"/>
  <c r="E19" i="89"/>
  <c r="G19" i="89" s="1"/>
  <c r="G25" i="83"/>
  <c r="E17" i="85"/>
  <c r="G25" i="87"/>
  <c r="E21" i="85"/>
  <c r="G21" i="85" s="1"/>
  <c r="Q12" i="90"/>
  <c r="G35" i="90"/>
  <c r="C45" i="90"/>
  <c r="G45" i="90" s="1"/>
  <c r="G35" i="73"/>
  <c r="Q12" i="73"/>
  <c r="C45" i="73"/>
  <c r="G45" i="73" s="1"/>
  <c r="Q25" i="71"/>
  <c r="N21" i="71" s="1"/>
  <c r="C25" i="71" s="1"/>
  <c r="G25" i="71" s="1"/>
  <c r="N7" i="76"/>
  <c r="E21" i="69"/>
  <c r="G21" i="69" s="1"/>
  <c r="E55" i="93"/>
  <c r="G26" i="68"/>
  <c r="G26" i="72"/>
  <c r="N20" i="81"/>
  <c r="C24" i="81" s="1"/>
  <c r="C14" i="81"/>
  <c r="G14" i="81" s="1"/>
  <c r="G25" i="96"/>
  <c r="N9" i="77"/>
  <c r="N9" i="71"/>
  <c r="G26" i="73"/>
  <c r="G25" i="76"/>
  <c r="G25" i="80"/>
  <c r="G26" i="82"/>
  <c r="F7" i="67"/>
  <c r="C17" i="67"/>
  <c r="E26" i="69"/>
  <c r="G26" i="69" s="1"/>
  <c r="G25" i="69"/>
  <c r="E44" i="71"/>
  <c r="E55" i="71"/>
  <c r="E44" i="72"/>
  <c r="E55" i="72"/>
  <c r="G25" i="73"/>
  <c r="G25" i="70"/>
  <c r="F7" i="93"/>
  <c r="C45" i="84"/>
  <c r="G45" i="84" s="1"/>
  <c r="G35" i="84"/>
  <c r="E55" i="73"/>
  <c r="E44" i="73"/>
  <c r="N7" i="79"/>
  <c r="N9" i="79"/>
  <c r="N19" i="79" s="1"/>
  <c r="C21" i="79" s="1"/>
  <c r="C20" i="77"/>
  <c r="D7" i="93"/>
  <c r="F7" i="92"/>
  <c r="C17" i="92"/>
  <c r="E24" i="94"/>
  <c r="E32" i="94"/>
  <c r="E17" i="94"/>
  <c r="G17" i="94" s="1"/>
  <c r="E19" i="94"/>
  <c r="G19" i="94" s="1"/>
  <c r="E28" i="95"/>
  <c r="E20" i="95"/>
  <c r="G20" i="95" s="1"/>
  <c r="E18" i="95"/>
  <c r="G18" i="95" s="1"/>
  <c r="E17" i="95"/>
  <c r="G17" i="95" s="1"/>
  <c r="E21" i="95"/>
  <c r="G21" i="95" s="1"/>
  <c r="E19" i="95"/>
  <c r="G19" i="95" s="1"/>
  <c r="E26" i="88"/>
  <c r="G26" i="88" s="1"/>
  <c r="G25" i="88"/>
  <c r="E21" i="90"/>
  <c r="G21" i="90" s="1"/>
  <c r="E32" i="90"/>
  <c r="E17" i="90"/>
  <c r="E21" i="92"/>
  <c r="G21" i="92" s="1"/>
  <c r="E32" i="92"/>
  <c r="E44" i="94"/>
  <c r="E55" i="94"/>
  <c r="E44" i="95"/>
  <c r="E55" i="95"/>
  <c r="C11" i="70"/>
  <c r="G11" i="70" s="1"/>
  <c r="N20" i="70"/>
  <c r="C24" i="70" s="1"/>
  <c r="N20" i="71"/>
  <c r="C24" i="71" s="1"/>
  <c r="C11" i="71"/>
  <c r="G11" i="71" s="1"/>
  <c r="N9" i="171"/>
  <c r="G25" i="89"/>
  <c r="E26" i="89"/>
  <c r="G26" i="89" s="1"/>
  <c r="E55" i="90"/>
  <c r="E44" i="90"/>
  <c r="E55" i="92"/>
  <c r="E44" i="92"/>
  <c r="E18" i="73"/>
  <c r="G18" i="73" s="1"/>
  <c r="E19" i="73"/>
  <c r="G19" i="73" s="1"/>
  <c r="E18" i="66"/>
  <c r="G18" i="66" s="1"/>
  <c r="E32" i="66"/>
  <c r="E24" i="66"/>
  <c r="G24" i="66" s="1"/>
  <c r="E28" i="66"/>
  <c r="E54" i="66"/>
  <c r="E21" i="66"/>
  <c r="G21" i="66" s="1"/>
  <c r="E17" i="66"/>
  <c r="E19" i="66"/>
  <c r="G19" i="66" s="1"/>
  <c r="E28" i="70"/>
  <c r="E18" i="70"/>
  <c r="G18" i="70" s="1"/>
  <c r="E24" i="70"/>
  <c r="E54" i="70"/>
  <c r="E20" i="70"/>
  <c r="G20" i="70" s="1"/>
  <c r="E19" i="70"/>
  <c r="G19" i="70" s="1"/>
  <c r="E17" i="70"/>
  <c r="E21" i="70"/>
  <c r="G21" i="70" s="1"/>
  <c r="E19" i="71"/>
  <c r="G19" i="71" s="1"/>
  <c r="E20" i="71"/>
  <c r="G20" i="71" s="1"/>
  <c r="E32" i="71"/>
  <c r="E18" i="71"/>
  <c r="G18" i="71" s="1"/>
  <c r="E17" i="71"/>
  <c r="E32" i="74"/>
  <c r="E54" i="74"/>
  <c r="E21" i="74"/>
  <c r="G21" i="74" s="1"/>
  <c r="E20" i="74"/>
  <c r="G20" i="74" s="1"/>
  <c r="N7" i="82"/>
  <c r="N9" i="82"/>
  <c r="N7" i="83"/>
  <c r="N9" i="83"/>
  <c r="N19" i="83" s="1"/>
  <c r="C21" i="83" s="1"/>
  <c r="C17" i="89"/>
  <c r="G26" i="74"/>
  <c r="G26" i="79"/>
  <c r="C17" i="66"/>
  <c r="F7" i="68"/>
  <c r="C17" i="68"/>
  <c r="C14" i="94"/>
  <c r="G14" i="94" s="1"/>
  <c r="C24" i="94"/>
  <c r="C20" i="94"/>
  <c r="C35" i="171"/>
  <c r="L13" i="171"/>
  <c r="E18" i="96"/>
  <c r="G18" i="96" s="1"/>
  <c r="E20" i="96"/>
  <c r="N20" i="85"/>
  <c r="C24" i="85" s="1"/>
  <c r="G24" i="85" s="1"/>
  <c r="C11" i="85"/>
  <c r="G11" i="85" s="1"/>
  <c r="G35" i="170"/>
  <c r="Q12" i="170"/>
  <c r="C45" i="170"/>
  <c r="G45" i="170" s="1"/>
  <c r="C45" i="77"/>
  <c r="G45" i="77" s="1"/>
  <c r="Q12" i="77"/>
  <c r="G35" i="77"/>
  <c r="C7" i="66"/>
  <c r="E44" i="70"/>
  <c r="E55" i="70"/>
  <c r="E21" i="80"/>
  <c r="G21" i="80" s="1"/>
  <c r="E54" i="80"/>
  <c r="E20" i="80"/>
  <c r="F7" i="81"/>
  <c r="N8" i="67"/>
  <c r="N9" i="67"/>
  <c r="D7" i="89"/>
  <c r="N8" i="78"/>
  <c r="N9" i="78"/>
  <c r="E17" i="80"/>
  <c r="G17" i="80" s="1"/>
  <c r="E54" i="76"/>
  <c r="E17" i="76"/>
  <c r="G17" i="76" s="1"/>
  <c r="E19" i="76"/>
  <c r="G19" i="76" s="1"/>
  <c r="G25" i="79"/>
  <c r="G26" i="70"/>
  <c r="C20" i="72"/>
  <c r="G20" i="72" s="1"/>
  <c r="C45" i="88"/>
  <c r="G45" i="88" s="1"/>
  <c r="G26" i="81"/>
  <c r="E44" i="80"/>
  <c r="N9" i="66"/>
  <c r="E18" i="69"/>
  <c r="G18" i="69" s="1"/>
  <c r="G24" i="69"/>
  <c r="E28" i="69"/>
  <c r="G26" i="86"/>
  <c r="E54" i="69"/>
  <c r="E32" i="78"/>
  <c r="E32" i="69"/>
  <c r="E54" i="86"/>
  <c r="E19" i="86"/>
  <c r="G19" i="86" s="1"/>
  <c r="E17" i="86"/>
  <c r="E21" i="78"/>
  <c r="G21" i="78" s="1"/>
  <c r="E17" i="69"/>
  <c r="E19" i="69"/>
  <c r="G19" i="69" s="1"/>
  <c r="N9" i="84"/>
  <c r="E24" i="78"/>
  <c r="E32" i="86"/>
  <c r="G26" i="66"/>
  <c r="E20" i="69"/>
  <c r="G20" i="69" s="1"/>
  <c r="E28" i="78"/>
  <c r="E28" i="86"/>
  <c r="E21" i="81"/>
  <c r="G21" i="81" s="1"/>
  <c r="G26" i="95"/>
  <c r="N9" i="88"/>
  <c r="E19" i="78"/>
  <c r="G19" i="78" s="1"/>
  <c r="E18" i="78"/>
  <c r="G18" i="78" s="1"/>
  <c r="N9" i="95"/>
  <c r="G25" i="68"/>
  <c r="G26" i="92"/>
  <c r="N8" i="80"/>
  <c r="N9" i="80"/>
  <c r="E21" i="88"/>
  <c r="G21" i="88" s="1"/>
  <c r="E20" i="88"/>
  <c r="G20" i="88" s="1"/>
  <c r="E19" i="88"/>
  <c r="G19" i="88" s="1"/>
  <c r="E44" i="66"/>
  <c r="E55" i="66"/>
  <c r="E24" i="79"/>
  <c r="G24" i="79" s="1"/>
  <c r="E20" i="79"/>
  <c r="E28" i="79"/>
  <c r="E18" i="79"/>
  <c r="G18" i="79" s="1"/>
  <c r="E17" i="79"/>
  <c r="G17" i="79" s="1"/>
  <c r="E21" i="79"/>
  <c r="G21" i="79" s="1"/>
  <c r="E54" i="79"/>
  <c r="E32" i="79"/>
  <c r="E19" i="79"/>
  <c r="G19" i="79" s="1"/>
  <c r="E54" i="82"/>
  <c r="E19" i="82"/>
  <c r="G19" i="82" s="1"/>
  <c r="E21" i="82"/>
  <c r="G21" i="82" s="1"/>
  <c r="E20" i="82"/>
  <c r="G20" i="82" s="1"/>
  <c r="E32" i="82"/>
  <c r="E17" i="82"/>
  <c r="N7" i="85"/>
  <c r="N9" i="85"/>
  <c r="E26" i="90"/>
  <c r="G26" i="90" s="1"/>
  <c r="G25" i="90"/>
  <c r="E54" i="92"/>
  <c r="E19" i="92"/>
  <c r="G19" i="92" s="1"/>
  <c r="E18" i="92"/>
  <c r="G18" i="92" s="1"/>
  <c r="E24" i="92"/>
  <c r="E17" i="92"/>
  <c r="N7" i="72"/>
  <c r="N9" i="72"/>
  <c r="E55" i="74"/>
  <c r="E44" i="74"/>
  <c r="E20" i="87"/>
  <c r="G20" i="87" s="1"/>
  <c r="E18" i="87"/>
  <c r="G18" i="87" s="1"/>
  <c r="E21" i="87"/>
  <c r="G21" i="87" s="1"/>
  <c r="E21" i="89"/>
  <c r="G21" i="89" s="1"/>
  <c r="E28" i="89"/>
  <c r="E17" i="89"/>
  <c r="E54" i="89"/>
  <c r="E24" i="89"/>
  <c r="N7" i="70"/>
  <c r="N9" i="70"/>
  <c r="E24" i="81"/>
  <c r="E28" i="81"/>
  <c r="E19" i="81"/>
  <c r="G19" i="81" s="1"/>
  <c r="E18" i="81"/>
  <c r="G18" i="81" s="1"/>
  <c r="E17" i="81"/>
  <c r="G17" i="81" s="1"/>
  <c r="E54" i="81"/>
  <c r="E20" i="81"/>
  <c r="G20" i="81" s="1"/>
  <c r="G20" i="66"/>
  <c r="Q17" i="363" l="1"/>
  <c r="L12" i="363" s="1"/>
  <c r="C32" i="363" s="1"/>
  <c r="C44" i="363" s="1"/>
  <c r="G21" i="93"/>
  <c r="G21" i="83"/>
  <c r="Q16" i="367"/>
  <c r="Q17" i="367" s="1"/>
  <c r="L12" i="367" s="1"/>
  <c r="C32" i="367" s="1"/>
  <c r="C44" i="366"/>
  <c r="N25" i="366"/>
  <c r="G32" i="366"/>
  <c r="G39" i="366" s="1"/>
  <c r="C44" i="365"/>
  <c r="N25" i="365"/>
  <c r="G32" i="365"/>
  <c r="G39" i="365" s="1"/>
  <c r="C44" i="364"/>
  <c r="N25" i="364"/>
  <c r="G32" i="364"/>
  <c r="G39" i="364" s="1"/>
  <c r="C44" i="362"/>
  <c r="N25" i="362"/>
  <c r="G32" i="362"/>
  <c r="G39" i="362" s="1"/>
  <c r="G40" i="361"/>
  <c r="G41" i="361" s="1"/>
  <c r="L39" i="361" s="1"/>
  <c r="C54" i="361"/>
  <c r="G54" i="361" s="1"/>
  <c r="C55" i="361"/>
  <c r="G55" i="361" s="1"/>
  <c r="G44" i="361"/>
  <c r="G47" i="361" s="1"/>
  <c r="C32" i="359"/>
  <c r="C44" i="359" s="1"/>
  <c r="Q25" i="82"/>
  <c r="N21" i="82" s="1"/>
  <c r="C25" i="82" s="1"/>
  <c r="G25" i="82" s="1"/>
  <c r="N28" i="71"/>
  <c r="Q25" i="74"/>
  <c r="N21" i="74" s="1"/>
  <c r="C25" i="74" s="1"/>
  <c r="G25" i="74" s="1"/>
  <c r="E7" i="349"/>
  <c r="L10" i="349" s="1"/>
  <c r="L14" i="349" s="1"/>
  <c r="C17" i="87"/>
  <c r="G17" i="87" s="1"/>
  <c r="C20" i="93"/>
  <c r="N28" i="90"/>
  <c r="E7" i="76"/>
  <c r="E7" i="347"/>
  <c r="C20" i="73"/>
  <c r="N28" i="93"/>
  <c r="C7" i="96"/>
  <c r="E7" i="81"/>
  <c r="Q25" i="81"/>
  <c r="N21" i="81" s="1"/>
  <c r="C25" i="81" s="1"/>
  <c r="G25" i="81" s="1"/>
  <c r="E27" i="85"/>
  <c r="G27" i="85" s="1"/>
  <c r="G20" i="77"/>
  <c r="Q12" i="86"/>
  <c r="G17" i="71"/>
  <c r="G24" i="78"/>
  <c r="G24" i="86"/>
  <c r="C45" i="89"/>
  <c r="G45" i="89" s="1"/>
  <c r="Q12" i="78"/>
  <c r="G35" i="78"/>
  <c r="G32" i="363" l="1"/>
  <c r="G39" i="363" s="1"/>
  <c r="G40" i="363" s="1"/>
  <c r="G41" i="363" s="1"/>
  <c r="L39" i="363" s="1"/>
  <c r="N25" i="363"/>
  <c r="C44" i="367"/>
  <c r="N25" i="367"/>
  <c r="G32" i="367"/>
  <c r="G39" i="367" s="1"/>
  <c r="C54" i="366"/>
  <c r="G54" i="366" s="1"/>
  <c r="C55" i="366"/>
  <c r="G55" i="366" s="1"/>
  <c r="G44" i="366"/>
  <c r="G47" i="366" s="1"/>
  <c r="G40" i="366"/>
  <c r="G41" i="366" s="1"/>
  <c r="L39" i="366" s="1"/>
  <c r="C54" i="365"/>
  <c r="G54" i="365" s="1"/>
  <c r="C55" i="365"/>
  <c r="G55" i="365" s="1"/>
  <c r="G44" i="365"/>
  <c r="G47" i="365" s="1"/>
  <c r="G40" i="365"/>
  <c r="G41" i="365" s="1"/>
  <c r="L39" i="365" s="1"/>
  <c r="C55" i="364"/>
  <c r="G55" i="364" s="1"/>
  <c r="C54" i="364"/>
  <c r="G54" i="364" s="1"/>
  <c r="G44" i="364"/>
  <c r="G47" i="364" s="1"/>
  <c r="G40" i="364"/>
  <c r="G41" i="364" s="1"/>
  <c r="L39" i="364" s="1"/>
  <c r="C54" i="363"/>
  <c r="G54" i="363" s="1"/>
  <c r="C55" i="363"/>
  <c r="G55" i="363" s="1"/>
  <c r="G44" i="363"/>
  <c r="G47" i="363" s="1"/>
  <c r="G40" i="362"/>
  <c r="G41" i="362" s="1"/>
  <c r="L39" i="362" s="1"/>
  <c r="C54" i="362"/>
  <c r="G54" i="362" s="1"/>
  <c r="C55" i="362"/>
  <c r="G55" i="362" s="1"/>
  <c r="G44" i="362"/>
  <c r="G47" i="362" s="1"/>
  <c r="L45" i="361"/>
  <c r="G48" i="361"/>
  <c r="G49" i="361" s="1"/>
  <c r="G50" i="361" s="1"/>
  <c r="G32" i="359"/>
  <c r="G39" i="359" s="1"/>
  <c r="G40" i="359" s="1"/>
  <c r="G41" i="359" s="1"/>
  <c r="L39" i="359" s="1"/>
  <c r="N25" i="359"/>
  <c r="C54" i="359"/>
  <c r="G54" i="359" s="1"/>
  <c r="C55" i="359"/>
  <c r="G55" i="359" s="1"/>
  <c r="G44" i="359"/>
  <c r="G47" i="359" s="1"/>
  <c r="Q12" i="71"/>
  <c r="Q25" i="349"/>
  <c r="N21" i="349" s="1"/>
  <c r="C25" i="349" s="1"/>
  <c r="G25" i="349" s="1"/>
  <c r="N28" i="349"/>
  <c r="E27" i="349"/>
  <c r="G27" i="349" s="1"/>
  <c r="G28" i="349"/>
  <c r="Q14" i="349"/>
  <c r="G28" i="348"/>
  <c r="C45" i="68"/>
  <c r="G45" i="68" s="1"/>
  <c r="Q12" i="68"/>
  <c r="Q12" i="349"/>
  <c r="C45" i="349"/>
  <c r="G45" i="349" s="1"/>
  <c r="G35" i="349"/>
  <c r="C45" i="347"/>
  <c r="G45" i="347" s="1"/>
  <c r="N28" i="348"/>
  <c r="E7" i="348"/>
  <c r="G35" i="347"/>
  <c r="Q12" i="348"/>
  <c r="C45" i="348"/>
  <c r="G45" i="348" s="1"/>
  <c r="G35" i="348"/>
  <c r="G17" i="347"/>
  <c r="N28" i="347"/>
  <c r="E27" i="347"/>
  <c r="G27" i="347" s="1"/>
  <c r="G28" i="347"/>
  <c r="L10" i="347"/>
  <c r="L14" i="347" s="1"/>
  <c r="Q14" i="347"/>
  <c r="Q15" i="347" s="1"/>
  <c r="Q12" i="92"/>
  <c r="Q12" i="70"/>
  <c r="C45" i="92"/>
  <c r="G45" i="92" s="1"/>
  <c r="E7" i="68"/>
  <c r="L10" i="68" s="1"/>
  <c r="L14" i="68" s="1"/>
  <c r="C20" i="96"/>
  <c r="G20" i="96" s="1"/>
  <c r="G17" i="67"/>
  <c r="G17" i="68"/>
  <c r="G17" i="90"/>
  <c r="G20" i="76"/>
  <c r="C45" i="93"/>
  <c r="G45" i="93" s="1"/>
  <c r="G24" i="82"/>
  <c r="G35" i="74"/>
  <c r="G35" i="89"/>
  <c r="C45" i="74"/>
  <c r="G45" i="74" s="1"/>
  <c r="G35" i="86"/>
  <c r="G28" i="77"/>
  <c r="G24" i="71"/>
  <c r="G35" i="85"/>
  <c r="G17" i="69"/>
  <c r="G28" i="92"/>
  <c r="Q12" i="85"/>
  <c r="G28" i="87"/>
  <c r="G35" i="71"/>
  <c r="G17" i="82"/>
  <c r="Q25" i="84"/>
  <c r="N21" i="84" s="1"/>
  <c r="C25" i="84" s="1"/>
  <c r="G25" i="84" s="1"/>
  <c r="G28" i="88"/>
  <c r="G35" i="82"/>
  <c r="G24" i="83"/>
  <c r="C45" i="82"/>
  <c r="G45" i="82" s="1"/>
  <c r="G35" i="79"/>
  <c r="C45" i="79"/>
  <c r="G45" i="79" s="1"/>
  <c r="G17" i="92"/>
  <c r="G24" i="80"/>
  <c r="G35" i="69"/>
  <c r="Q12" i="69"/>
  <c r="C45" i="67"/>
  <c r="G45" i="67" s="1"/>
  <c r="G35" i="67"/>
  <c r="G24" i="87"/>
  <c r="G28" i="67"/>
  <c r="Q12" i="93"/>
  <c r="G24" i="92"/>
  <c r="G17" i="66"/>
  <c r="G24" i="94"/>
  <c r="G17" i="86"/>
  <c r="E27" i="74"/>
  <c r="G27" i="74" s="1"/>
  <c r="C7" i="82"/>
  <c r="E27" i="68"/>
  <c r="G27" i="68" s="1"/>
  <c r="G20" i="94"/>
  <c r="E7" i="93"/>
  <c r="Q14" i="93" s="1"/>
  <c r="G28" i="82"/>
  <c r="G24" i="89"/>
  <c r="G20" i="73"/>
  <c r="G20" i="93"/>
  <c r="G24" i="81"/>
  <c r="G24" i="73"/>
  <c r="G24" i="76"/>
  <c r="G35" i="72"/>
  <c r="G20" i="79"/>
  <c r="Q12" i="72"/>
  <c r="E7" i="90"/>
  <c r="Q25" i="171"/>
  <c r="N21" i="171" s="1"/>
  <c r="C25" i="171" s="1"/>
  <c r="G25" i="171" s="1"/>
  <c r="G17" i="88"/>
  <c r="G35" i="83"/>
  <c r="Q12" i="83"/>
  <c r="C45" i="83"/>
  <c r="G45" i="83" s="1"/>
  <c r="C45" i="70"/>
  <c r="G45" i="70" s="1"/>
  <c r="G24" i="93"/>
  <c r="G35" i="96"/>
  <c r="C45" i="96"/>
  <c r="G45" i="96" s="1"/>
  <c r="Q12" i="96"/>
  <c r="G28" i="94"/>
  <c r="G28" i="80"/>
  <c r="G24" i="90"/>
  <c r="N28" i="76"/>
  <c r="G28" i="83"/>
  <c r="G28" i="71"/>
  <c r="E27" i="71"/>
  <c r="G27" i="71" s="1"/>
  <c r="E7" i="170"/>
  <c r="Q14" i="170" s="1"/>
  <c r="Q15" i="170" s="1"/>
  <c r="Q16" i="170" s="1"/>
  <c r="Q17" i="170" s="1"/>
  <c r="L12" i="170" s="1"/>
  <c r="N28" i="170"/>
  <c r="E27" i="90"/>
  <c r="G27" i="90" s="1"/>
  <c r="G28" i="90"/>
  <c r="G24" i="70"/>
  <c r="G17" i="85"/>
  <c r="E27" i="76"/>
  <c r="G27" i="76" s="1"/>
  <c r="G28" i="76"/>
  <c r="G35" i="95"/>
  <c r="Q12" i="95"/>
  <c r="E7" i="71"/>
  <c r="Q14" i="71" s="1"/>
  <c r="G35" i="76"/>
  <c r="Q12" i="76"/>
  <c r="C45" i="76"/>
  <c r="G45" i="76" s="1"/>
  <c r="G17" i="89"/>
  <c r="N28" i="96"/>
  <c r="E7" i="96"/>
  <c r="N28" i="81"/>
  <c r="C7" i="81"/>
  <c r="C7" i="93"/>
  <c r="Q25" i="93"/>
  <c r="N21" i="93" s="1"/>
  <c r="C25" i="93" s="1"/>
  <c r="G25" i="93" s="1"/>
  <c r="E7" i="89"/>
  <c r="N28" i="89"/>
  <c r="G28" i="93"/>
  <c r="E27" i="93"/>
  <c r="G27" i="93" s="1"/>
  <c r="E27" i="96"/>
  <c r="G27" i="96" s="1"/>
  <c r="G28" i="96"/>
  <c r="G35" i="87"/>
  <c r="Q12" i="87"/>
  <c r="C45" i="87"/>
  <c r="G45" i="87" s="1"/>
  <c r="D7" i="73"/>
  <c r="N28" i="69"/>
  <c r="E7" i="69"/>
  <c r="E7" i="86"/>
  <c r="N28" i="86"/>
  <c r="C7" i="90"/>
  <c r="E7" i="74"/>
  <c r="N28" i="74"/>
  <c r="G35" i="81"/>
  <c r="C45" i="81"/>
  <c r="G45" i="81" s="1"/>
  <c r="Q12" i="81"/>
  <c r="D7" i="74"/>
  <c r="G28" i="72"/>
  <c r="E27" i="72"/>
  <c r="G27" i="72" s="1"/>
  <c r="N28" i="73"/>
  <c r="E7" i="73"/>
  <c r="E7" i="77"/>
  <c r="N28" i="77"/>
  <c r="C7" i="76"/>
  <c r="E7" i="92"/>
  <c r="N28" i="92"/>
  <c r="C37" i="90"/>
  <c r="G37" i="90" s="1"/>
  <c r="E27" i="95"/>
  <c r="G27" i="95" s="1"/>
  <c r="G28" i="95"/>
  <c r="C37" i="93"/>
  <c r="G37" i="93" s="1"/>
  <c r="E7" i="171"/>
  <c r="N28" i="171"/>
  <c r="N28" i="83"/>
  <c r="E7" i="83"/>
  <c r="N28" i="79"/>
  <c r="E7" i="79"/>
  <c r="C7" i="83"/>
  <c r="C17" i="83"/>
  <c r="G17" i="83" s="1"/>
  <c r="E27" i="66"/>
  <c r="G27" i="66" s="1"/>
  <c r="G28" i="66"/>
  <c r="C7" i="79"/>
  <c r="N28" i="82"/>
  <c r="E7" i="82"/>
  <c r="E27" i="70"/>
  <c r="G27" i="70" s="1"/>
  <c r="G28" i="70"/>
  <c r="C37" i="71"/>
  <c r="G37" i="71" s="1"/>
  <c r="G35" i="171"/>
  <c r="Q12" i="171"/>
  <c r="C45" i="171"/>
  <c r="G45" i="171" s="1"/>
  <c r="C37" i="68"/>
  <c r="G37" i="68" s="1"/>
  <c r="N28" i="87"/>
  <c r="E7" i="87"/>
  <c r="D7" i="87"/>
  <c r="D7" i="67"/>
  <c r="Q14" i="76"/>
  <c r="L10" i="76"/>
  <c r="L14" i="76" s="1"/>
  <c r="N28" i="78"/>
  <c r="E7" i="78"/>
  <c r="C20" i="78"/>
  <c r="G20" i="78" s="1"/>
  <c r="D7" i="78"/>
  <c r="L10" i="81"/>
  <c r="L14" i="81" s="1"/>
  <c r="Q14" i="81"/>
  <c r="N28" i="67"/>
  <c r="E7" i="67"/>
  <c r="N28" i="95"/>
  <c r="E7" i="95"/>
  <c r="N28" i="84"/>
  <c r="E7" i="84"/>
  <c r="E27" i="69"/>
  <c r="G27" i="69" s="1"/>
  <c r="G28" i="69"/>
  <c r="E27" i="86"/>
  <c r="G27" i="86" s="1"/>
  <c r="G28" i="86"/>
  <c r="E7" i="66"/>
  <c r="N28" i="66"/>
  <c r="E27" i="78"/>
  <c r="G27" i="78" s="1"/>
  <c r="G28" i="78"/>
  <c r="E7" i="88"/>
  <c r="N28" i="88"/>
  <c r="E7" i="70"/>
  <c r="N28" i="70"/>
  <c r="E7" i="72"/>
  <c r="N28" i="72"/>
  <c r="N28" i="85"/>
  <c r="E7" i="85"/>
  <c r="E7" i="94"/>
  <c r="N28" i="94"/>
  <c r="C17" i="70"/>
  <c r="G17" i="70" s="1"/>
  <c r="C7" i="70"/>
  <c r="Q25" i="72"/>
  <c r="N21" i="72" s="1"/>
  <c r="C25" i="72" s="1"/>
  <c r="G25" i="72" s="1"/>
  <c r="C7" i="72"/>
  <c r="C7" i="85"/>
  <c r="D7" i="94"/>
  <c r="G28" i="89"/>
  <c r="E27" i="89"/>
  <c r="G27" i="89" s="1"/>
  <c r="E7" i="80"/>
  <c r="N28" i="80"/>
  <c r="G28" i="81"/>
  <c r="E27" i="81"/>
  <c r="G27" i="81" s="1"/>
  <c r="G28" i="79"/>
  <c r="E27" i="79"/>
  <c r="G27" i="79" s="1"/>
  <c r="C20" i="80"/>
  <c r="G20" i="80" s="1"/>
  <c r="D7" i="80"/>
  <c r="F24" i="59"/>
  <c r="F50" i="59"/>
  <c r="G45" i="59"/>
  <c r="G44" i="59"/>
  <c r="N14" i="59"/>
  <c r="M21" i="59"/>
  <c r="G19" i="59"/>
  <c r="M40" i="59"/>
  <c r="N45" i="59"/>
  <c r="F46" i="59"/>
  <c r="M41" i="59"/>
  <c r="G39" i="59"/>
  <c r="E14" i="59"/>
  <c r="D45" i="59"/>
  <c r="E10" i="59"/>
  <c r="G35" i="59"/>
  <c r="F47" i="59"/>
  <c r="M51" i="59"/>
  <c r="G40" i="59"/>
  <c r="M45" i="59"/>
  <c r="F49" i="59"/>
  <c r="G46" i="59"/>
  <c r="D46" i="59"/>
  <c r="G43" i="59"/>
  <c r="N12" i="59"/>
  <c r="D50" i="59"/>
  <c r="M23" i="59"/>
  <c r="E9" i="59"/>
  <c r="D44" i="59"/>
  <c r="G51" i="59"/>
  <c r="F14" i="59"/>
  <c r="N6" i="59"/>
  <c r="E39" i="59"/>
  <c r="D12" i="59"/>
  <c r="N51" i="59"/>
  <c r="E24" i="59"/>
  <c r="D14" i="59"/>
  <c r="E48" i="59"/>
  <c r="E21" i="59"/>
  <c r="F9" i="59"/>
  <c r="N11" i="59"/>
  <c r="D48" i="59"/>
  <c r="G47" i="59"/>
  <c r="N9" i="59"/>
  <c r="M16" i="59"/>
  <c r="D52" i="59"/>
  <c r="F41" i="59"/>
  <c r="F22" i="59"/>
  <c r="G23" i="59"/>
  <c r="E45" i="59"/>
  <c r="G9" i="59"/>
  <c r="M11" i="59"/>
  <c r="F48" i="59"/>
  <c r="G15" i="59"/>
  <c r="M25" i="59"/>
  <c r="G13" i="59"/>
  <c r="M6" i="59"/>
  <c r="G11" i="59"/>
  <c r="E46" i="59"/>
  <c r="M50" i="59"/>
  <c r="E47" i="59"/>
  <c r="N49" i="59"/>
  <c r="M22" i="59"/>
  <c r="G16" i="59"/>
  <c r="E42" i="59"/>
  <c r="M14" i="59"/>
  <c r="M46" i="59"/>
  <c r="N24" i="59"/>
  <c r="D47" i="59"/>
  <c r="M35" i="59"/>
  <c r="F5" i="59"/>
  <c r="G49" i="59"/>
  <c r="N38" i="59"/>
  <c r="G22" i="59"/>
  <c r="G24" i="59"/>
  <c r="G36" i="59"/>
  <c r="D13" i="59"/>
  <c r="M12" i="59"/>
  <c r="D19" i="59"/>
  <c r="M20" i="59"/>
  <c r="N5" i="59"/>
  <c r="E40" i="59"/>
  <c r="E23" i="59"/>
  <c r="E44" i="59"/>
  <c r="D20" i="59"/>
  <c r="F42" i="59"/>
  <c r="N40" i="59"/>
  <c r="M44" i="59"/>
  <c r="G10" i="59"/>
  <c r="F10" i="59"/>
  <c r="M47" i="59"/>
  <c r="G5" i="59"/>
  <c r="D23" i="59"/>
  <c r="D49" i="59"/>
  <c r="D9" i="59"/>
  <c r="D35" i="59"/>
  <c r="F52" i="59"/>
  <c r="N41" i="59"/>
  <c r="N44" i="59"/>
  <c r="F38" i="59"/>
  <c r="N23" i="59"/>
  <c r="G50" i="59"/>
  <c r="G14" i="59"/>
  <c r="N46" i="59"/>
  <c r="N42" i="59"/>
  <c r="E22" i="59"/>
  <c r="N20" i="59"/>
  <c r="D51" i="59"/>
  <c r="F40" i="59"/>
  <c r="E49" i="59"/>
  <c r="D22" i="59"/>
  <c r="G38" i="59"/>
  <c r="N16" i="59"/>
  <c r="M24" i="59"/>
  <c r="M9" i="59"/>
  <c r="D42" i="59"/>
  <c r="G48" i="59"/>
  <c r="F37" i="59"/>
  <c r="E15" i="59"/>
  <c r="E38" i="59"/>
  <c r="N37" i="59"/>
  <c r="E25" i="59"/>
  <c r="F36" i="59"/>
  <c r="F45" i="59"/>
  <c r="M42" i="59"/>
  <c r="D43" i="59"/>
  <c r="M15" i="59"/>
  <c r="F35" i="59"/>
  <c r="E19" i="59"/>
  <c r="E35" i="59"/>
  <c r="D41" i="59"/>
  <c r="N36" i="59"/>
  <c r="D11" i="59"/>
  <c r="F51" i="59"/>
  <c r="E20" i="59"/>
  <c r="N47" i="59"/>
  <c r="G21" i="59"/>
  <c r="E5" i="59"/>
  <c r="F12" i="59"/>
  <c r="M52" i="59"/>
  <c r="F39" i="59"/>
  <c r="E43" i="59"/>
  <c r="N25" i="59"/>
  <c r="F44" i="59"/>
  <c r="D15" i="59"/>
  <c r="G41" i="59"/>
  <c r="D24" i="59"/>
  <c r="D39" i="59"/>
  <c r="E6" i="59"/>
  <c r="F6" i="59"/>
  <c r="F23" i="59"/>
  <c r="F21" i="59"/>
  <c r="D40" i="59"/>
  <c r="D21" i="59"/>
  <c r="M19" i="59"/>
  <c r="M39" i="59"/>
  <c r="N13" i="59"/>
  <c r="N35" i="59"/>
  <c r="M10" i="59"/>
  <c r="N43" i="59"/>
  <c r="N19" i="59"/>
  <c r="D37" i="59"/>
  <c r="F15" i="59"/>
  <c r="D38" i="59"/>
  <c r="F11" i="59"/>
  <c r="M5" i="59"/>
  <c r="N48" i="59"/>
  <c r="M48" i="59"/>
  <c r="N22" i="59"/>
  <c r="N39" i="59"/>
  <c r="E41" i="59"/>
  <c r="D36" i="59"/>
  <c r="M43" i="59"/>
  <c r="F25" i="59"/>
  <c r="E52" i="59"/>
  <c r="E11" i="59"/>
  <c r="D16" i="59"/>
  <c r="E16" i="59"/>
  <c r="M49" i="59"/>
  <c r="G25" i="59"/>
  <c r="E37" i="59"/>
  <c r="E12" i="59"/>
  <c r="M36" i="59"/>
  <c r="D25" i="59"/>
  <c r="M13" i="59"/>
  <c r="E51" i="59"/>
  <c r="G52" i="59"/>
  <c r="N10" i="59"/>
  <c r="M38" i="59"/>
  <c r="D10" i="59"/>
  <c r="G20" i="59"/>
  <c r="N50" i="59"/>
  <c r="F13" i="59"/>
  <c r="E50" i="59"/>
  <c r="G12" i="59"/>
  <c r="N15" i="59"/>
  <c r="F16" i="59"/>
  <c r="G42" i="59"/>
  <c r="N21" i="59"/>
  <c r="F20" i="59"/>
  <c r="E13" i="59"/>
  <c r="N52" i="59"/>
  <c r="M37" i="59"/>
  <c r="G6" i="59"/>
  <c r="D6" i="59"/>
  <c r="F43" i="59"/>
  <c r="F19" i="59"/>
  <c r="E36" i="59"/>
  <c r="D5" i="59"/>
  <c r="G37" i="59"/>
  <c r="M33" i="59" l="1"/>
  <c r="M53" i="59"/>
  <c r="G53" i="59"/>
  <c r="G33" i="59"/>
  <c r="M17" i="59"/>
  <c r="N17" i="59"/>
  <c r="G17" i="59"/>
  <c r="M7" i="59"/>
  <c r="G7" i="59"/>
  <c r="C54" i="367"/>
  <c r="G54" i="367" s="1"/>
  <c r="C55" i="367"/>
  <c r="G55" i="367" s="1"/>
  <c r="G44" i="367"/>
  <c r="G47" i="367" s="1"/>
  <c r="G40" i="367"/>
  <c r="G41" i="367" s="1"/>
  <c r="L39" i="367" s="1"/>
  <c r="L45" i="366"/>
  <c r="G48" i="366"/>
  <c r="G49" i="366" s="1"/>
  <c r="G50" i="366" s="1"/>
  <c r="L40" i="366" s="1"/>
  <c r="L41" i="366" s="1"/>
  <c r="L45" i="365"/>
  <c r="G48" i="365"/>
  <c r="G49" i="365" s="1"/>
  <c r="G50" i="365" s="1"/>
  <c r="L40" i="365" s="1"/>
  <c r="L41" i="365" s="1"/>
  <c r="L45" i="364"/>
  <c r="G48" i="364"/>
  <c r="G49" i="364" s="1"/>
  <c r="G50" i="364" s="1"/>
  <c r="L40" i="364" s="1"/>
  <c r="L41" i="364" s="1"/>
  <c r="L45" i="363"/>
  <c r="G48" i="363"/>
  <c r="G49" i="363" s="1"/>
  <c r="G50" i="363" s="1"/>
  <c r="L40" i="363" s="1"/>
  <c r="L41" i="363" s="1"/>
  <c r="L45" i="362"/>
  <c r="G48" i="362"/>
  <c r="G49" i="362" s="1"/>
  <c r="G50" i="362" s="1"/>
  <c r="L40" i="362" s="1"/>
  <c r="L41" i="362" s="1"/>
  <c r="L40" i="361"/>
  <c r="L41" i="361" s="1"/>
  <c r="G56" i="361"/>
  <c r="G57" i="361" s="1"/>
  <c r="N31" i="361" s="1"/>
  <c r="L51" i="361" s="1"/>
  <c r="L52" i="361"/>
  <c r="L50" i="361"/>
  <c r="N32" i="361"/>
  <c r="L45" i="359"/>
  <c r="G48" i="359"/>
  <c r="G49" i="359" s="1"/>
  <c r="G50" i="359" s="1"/>
  <c r="Q14" i="68"/>
  <c r="Q15" i="68" s="1"/>
  <c r="Q16" i="68" s="1"/>
  <c r="Q17" i="68" s="1"/>
  <c r="L12" i="68" s="1"/>
  <c r="C32" i="68" s="1"/>
  <c r="N25" i="68" s="1"/>
  <c r="Q15" i="71"/>
  <c r="Q16" i="71" s="1"/>
  <c r="Q17" i="71" s="1"/>
  <c r="L12" i="71" s="1"/>
  <c r="Q15" i="349"/>
  <c r="Q16" i="349" s="1"/>
  <c r="Q17" i="349" s="1"/>
  <c r="L12" i="349" s="1"/>
  <c r="C32" i="349" s="1"/>
  <c r="C37" i="349"/>
  <c r="G37" i="349" s="1"/>
  <c r="L10" i="348"/>
  <c r="L14" i="348" s="1"/>
  <c r="Q14" i="348"/>
  <c r="Q15" i="348" s="1"/>
  <c r="C37" i="348"/>
  <c r="G37" i="348" s="1"/>
  <c r="C37" i="347"/>
  <c r="G37" i="347" s="1"/>
  <c r="Q16" i="347"/>
  <c r="Q17" i="347" s="1"/>
  <c r="L12" i="347" s="1"/>
  <c r="C32" i="347" s="1"/>
  <c r="Q15" i="93"/>
  <c r="Q16" i="93" s="1"/>
  <c r="Q17" i="93" s="1"/>
  <c r="L12" i="93" s="1"/>
  <c r="L10" i="93"/>
  <c r="L14" i="93" s="1"/>
  <c r="Q15" i="81"/>
  <c r="Q16" i="81" s="1"/>
  <c r="Q17" i="81" s="1"/>
  <c r="L12" i="81" s="1"/>
  <c r="C32" i="81" s="1"/>
  <c r="L10" i="71"/>
  <c r="L14" i="71" s="1"/>
  <c r="Q14" i="90"/>
  <c r="Q15" i="90" s="1"/>
  <c r="Q16" i="90" s="1"/>
  <c r="Q17" i="90" s="1"/>
  <c r="L12" i="90" s="1"/>
  <c r="L10" i="90"/>
  <c r="L14" i="90" s="1"/>
  <c r="Q15" i="76"/>
  <c r="Q16" i="76" s="1"/>
  <c r="Q17" i="76" s="1"/>
  <c r="L12" i="76" s="1"/>
  <c r="C32" i="76" s="1"/>
  <c r="N25" i="76" s="1"/>
  <c r="L10" i="170"/>
  <c r="L14" i="170" s="1"/>
  <c r="C32" i="170" s="1"/>
  <c r="C37" i="76"/>
  <c r="G37" i="76" s="1"/>
  <c r="C37" i="170"/>
  <c r="G37" i="170" s="1"/>
  <c r="C37" i="81"/>
  <c r="G37" i="81" s="1"/>
  <c r="Q14" i="96"/>
  <c r="Q15" i="96" s="1"/>
  <c r="Q16" i="96" s="1"/>
  <c r="Q17" i="96" s="1"/>
  <c r="L12" i="96" s="1"/>
  <c r="L10" i="96"/>
  <c r="L14" i="96" s="1"/>
  <c r="C37" i="96"/>
  <c r="G37" i="96" s="1"/>
  <c r="C37" i="89"/>
  <c r="G37" i="89" s="1"/>
  <c r="L10" i="89"/>
  <c r="L14" i="89" s="1"/>
  <c r="Q14" i="89"/>
  <c r="Q15" i="89" s="1"/>
  <c r="Q16" i="89" s="1"/>
  <c r="Q17" i="89" s="1"/>
  <c r="L12" i="89" s="1"/>
  <c r="C37" i="69"/>
  <c r="G37" i="69" s="1"/>
  <c r="C37" i="86"/>
  <c r="G37" i="86" s="1"/>
  <c r="Q14" i="73"/>
  <c r="Q15" i="73" s="1"/>
  <c r="Q16" i="73" s="1"/>
  <c r="Q17" i="73" s="1"/>
  <c r="L12" i="73" s="1"/>
  <c r="L10" i="73"/>
  <c r="L14" i="73" s="1"/>
  <c r="C37" i="73"/>
  <c r="G37" i="73" s="1"/>
  <c r="Q14" i="69"/>
  <c r="Q15" i="69" s="1"/>
  <c r="L10" i="69"/>
  <c r="L14" i="69" s="1"/>
  <c r="C37" i="74"/>
  <c r="G37" i="74" s="1"/>
  <c r="Q14" i="86"/>
  <c r="Q15" i="86" s="1"/>
  <c r="Q16" i="86" s="1"/>
  <c r="Q17" i="86" s="1"/>
  <c r="L12" i="86" s="1"/>
  <c r="L10" i="86"/>
  <c r="L14" i="86" s="1"/>
  <c r="Q14" i="74"/>
  <c r="Q15" i="74" s="1"/>
  <c r="Q16" i="74" s="1"/>
  <c r="Q17" i="74" s="1"/>
  <c r="L12" i="74" s="1"/>
  <c r="L10" i="74"/>
  <c r="L14" i="74" s="1"/>
  <c r="C37" i="92"/>
  <c r="G37" i="92" s="1"/>
  <c r="Q14" i="92"/>
  <c r="Q15" i="92" s="1"/>
  <c r="Q16" i="92" s="1"/>
  <c r="Q17" i="92" s="1"/>
  <c r="L12" i="92" s="1"/>
  <c r="L10" i="92"/>
  <c r="L14" i="92" s="1"/>
  <c r="C37" i="77"/>
  <c r="G37" i="77" s="1"/>
  <c r="Q14" i="77"/>
  <c r="Q15" i="77" s="1"/>
  <c r="Q16" i="77" s="1"/>
  <c r="Q17" i="77" s="1"/>
  <c r="L12" i="77" s="1"/>
  <c r="L10" i="77"/>
  <c r="L14" i="77" s="1"/>
  <c r="C37" i="82"/>
  <c r="G37" i="82" s="1"/>
  <c r="C37" i="171"/>
  <c r="G37" i="171" s="1"/>
  <c r="Q14" i="79"/>
  <c r="Q15" i="79" s="1"/>
  <c r="Q16" i="79" s="1"/>
  <c r="Q17" i="79" s="1"/>
  <c r="L12" i="79" s="1"/>
  <c r="L10" i="79"/>
  <c r="L14" i="79" s="1"/>
  <c r="Q14" i="171"/>
  <c r="Q15" i="171" s="1"/>
  <c r="Q16" i="171" s="1"/>
  <c r="Q17" i="171" s="1"/>
  <c r="L12" i="171" s="1"/>
  <c r="L10" i="171"/>
  <c r="L14" i="171" s="1"/>
  <c r="C37" i="79"/>
  <c r="G37" i="79" s="1"/>
  <c r="Q14" i="82"/>
  <c r="Q15" i="82" s="1"/>
  <c r="Q16" i="82" s="1"/>
  <c r="Q17" i="82" s="1"/>
  <c r="L12" i="82" s="1"/>
  <c r="L10" i="82"/>
  <c r="L14" i="82" s="1"/>
  <c r="Q14" i="83"/>
  <c r="Q15" i="83" s="1"/>
  <c r="Q16" i="83" s="1"/>
  <c r="Q17" i="83" s="1"/>
  <c r="L12" i="83" s="1"/>
  <c r="L10" i="83"/>
  <c r="L14" i="83" s="1"/>
  <c r="C37" i="83"/>
  <c r="G37" i="83" s="1"/>
  <c r="C37" i="87"/>
  <c r="G37" i="87" s="1"/>
  <c r="L10" i="87"/>
  <c r="L14" i="87" s="1"/>
  <c r="Q14" i="87"/>
  <c r="Q15" i="87" s="1"/>
  <c r="Q16" i="87" s="1"/>
  <c r="Q17" i="87" s="1"/>
  <c r="L12" i="87" s="1"/>
  <c r="L10" i="78"/>
  <c r="L14" i="78" s="1"/>
  <c r="Q14" i="78"/>
  <c r="Q15" i="78" s="1"/>
  <c r="Q16" i="78" s="1"/>
  <c r="Q17" i="78" s="1"/>
  <c r="L12" i="78" s="1"/>
  <c r="C37" i="78"/>
  <c r="G37" i="78" s="1"/>
  <c r="L10" i="67"/>
  <c r="L14" i="67" s="1"/>
  <c r="Q14" i="67"/>
  <c r="Q15" i="67" s="1"/>
  <c r="Q16" i="67" s="1"/>
  <c r="Q17" i="67" s="1"/>
  <c r="L12" i="67" s="1"/>
  <c r="C37" i="67"/>
  <c r="G37" i="67" s="1"/>
  <c r="C37" i="66"/>
  <c r="G37" i="66" s="1"/>
  <c r="Q14" i="66"/>
  <c r="Q15" i="66" s="1"/>
  <c r="L10" i="66"/>
  <c r="L14" i="66" s="1"/>
  <c r="C37" i="88"/>
  <c r="G37" i="88" s="1"/>
  <c r="Q14" i="88"/>
  <c r="Q15" i="88" s="1"/>
  <c r="L10" i="88"/>
  <c r="L14" i="88" s="1"/>
  <c r="Q14" i="84"/>
  <c r="Q15" i="84" s="1"/>
  <c r="Q16" i="84" s="1"/>
  <c r="Q17" i="84" s="1"/>
  <c r="L12" i="84" s="1"/>
  <c r="L10" i="84"/>
  <c r="L14" i="84" s="1"/>
  <c r="C37" i="84"/>
  <c r="G37" i="84" s="1"/>
  <c r="Q14" i="95"/>
  <c r="Q15" i="95" s="1"/>
  <c r="L10" i="95"/>
  <c r="L14" i="95" s="1"/>
  <c r="C37" i="95"/>
  <c r="G37" i="95" s="1"/>
  <c r="Q14" i="72"/>
  <c r="Q15" i="72" s="1"/>
  <c r="L10" i="72"/>
  <c r="L14" i="72" s="1"/>
  <c r="C37" i="94"/>
  <c r="G37" i="94" s="1"/>
  <c r="C37" i="70"/>
  <c r="G37" i="70" s="1"/>
  <c r="C37" i="72"/>
  <c r="G37" i="72" s="1"/>
  <c r="L10" i="94"/>
  <c r="L14" i="94" s="1"/>
  <c r="Q14" i="94"/>
  <c r="Q15" i="94" s="1"/>
  <c r="L10" i="70"/>
  <c r="L14" i="70" s="1"/>
  <c r="Q14" i="70"/>
  <c r="Q15" i="70" s="1"/>
  <c r="C37" i="80"/>
  <c r="G37" i="80" s="1"/>
  <c r="Q14" i="85"/>
  <c r="Q15" i="85" s="1"/>
  <c r="L10" i="85"/>
  <c r="L14" i="85" s="1"/>
  <c r="Q14" i="80"/>
  <c r="Q15" i="80" s="1"/>
  <c r="L10" i="80"/>
  <c r="L14" i="80" s="1"/>
  <c r="C37" i="85"/>
  <c r="G37" i="85" s="1"/>
  <c r="M55" i="59" l="1"/>
  <c r="G55" i="59"/>
  <c r="G56" i="366"/>
  <c r="G57" i="366" s="1"/>
  <c r="N31" i="366" s="1"/>
  <c r="G56" i="362"/>
  <c r="G57" i="362" s="1"/>
  <c r="N31" i="362" s="1"/>
  <c r="G48" i="367"/>
  <c r="G49" i="367" s="1"/>
  <c r="G50" i="367" s="1"/>
  <c r="L45" i="367"/>
  <c r="N32" i="366"/>
  <c r="L52" i="366"/>
  <c r="L50" i="366"/>
  <c r="L52" i="365"/>
  <c r="L50" i="365"/>
  <c r="N32" i="365"/>
  <c r="G56" i="365"/>
  <c r="G57" i="365" s="1"/>
  <c r="N31" i="365" s="1"/>
  <c r="L50" i="364"/>
  <c r="L52" i="364"/>
  <c r="N32" i="364"/>
  <c r="G56" i="364"/>
  <c r="G57" i="364" s="1"/>
  <c r="N31" i="364" s="1"/>
  <c r="G56" i="363"/>
  <c r="G57" i="363" s="1"/>
  <c r="N31" i="363" s="1"/>
  <c r="L52" i="363"/>
  <c r="L50" i="363"/>
  <c r="N32" i="363"/>
  <c r="L52" i="362"/>
  <c r="L50" i="362"/>
  <c r="N32" i="362"/>
  <c r="L40" i="359"/>
  <c r="L41" i="359" s="1"/>
  <c r="G56" i="359"/>
  <c r="G57" i="359" s="1"/>
  <c r="N31" i="359" s="1"/>
  <c r="L51" i="359" s="1"/>
  <c r="L52" i="359"/>
  <c r="N32" i="359"/>
  <c r="L50" i="359"/>
  <c r="C32" i="71"/>
  <c r="C44" i="71" s="1"/>
  <c r="C54" i="71" s="1"/>
  <c r="G54" i="71" s="1"/>
  <c r="C32" i="93"/>
  <c r="C44" i="93" s="1"/>
  <c r="C44" i="349"/>
  <c r="N25" i="349"/>
  <c r="G32" i="349"/>
  <c r="G39" i="349" s="1"/>
  <c r="Q16" i="348"/>
  <c r="Q17" i="348" s="1"/>
  <c r="C44" i="347"/>
  <c r="N25" i="347"/>
  <c r="G32" i="347"/>
  <c r="G39" i="347" s="1"/>
  <c r="C32" i="90"/>
  <c r="C44" i="90" s="1"/>
  <c r="C32" i="77"/>
  <c r="N25" i="77" s="1"/>
  <c r="G32" i="76"/>
  <c r="G39" i="76" s="1"/>
  <c r="G40" i="76" s="1"/>
  <c r="G41" i="76" s="1"/>
  <c r="L39" i="76" s="1"/>
  <c r="L45" i="76" s="1"/>
  <c r="C44" i="76"/>
  <c r="G44" i="76" s="1"/>
  <c r="G47" i="76" s="1"/>
  <c r="G32" i="170"/>
  <c r="G39" i="170" s="1"/>
  <c r="G40" i="170" s="1"/>
  <c r="G41" i="170" s="1"/>
  <c r="L39" i="170" s="1"/>
  <c r="L45" i="170" s="1"/>
  <c r="L50" i="170" s="1"/>
  <c r="N25" i="170"/>
  <c r="C44" i="170"/>
  <c r="C54" i="170" s="1"/>
  <c r="G54" i="170" s="1"/>
  <c r="C32" i="89"/>
  <c r="C32" i="96"/>
  <c r="C32" i="171"/>
  <c r="G32" i="171" s="1"/>
  <c r="G39" i="171" s="1"/>
  <c r="G40" i="171" s="1"/>
  <c r="G41" i="171" s="1"/>
  <c r="L39" i="171" s="1"/>
  <c r="L45" i="171" s="1"/>
  <c r="C32" i="82"/>
  <c r="G32" i="82" s="1"/>
  <c r="G39" i="82" s="1"/>
  <c r="G40" i="82" s="1"/>
  <c r="G41" i="82" s="1"/>
  <c r="L39" i="82" s="1"/>
  <c r="C32" i="74"/>
  <c r="C44" i="74" s="1"/>
  <c r="C32" i="86"/>
  <c r="G32" i="86" s="1"/>
  <c r="G39" i="86" s="1"/>
  <c r="G40" i="86" s="1"/>
  <c r="G41" i="86" s="1"/>
  <c r="L39" i="86" s="1"/>
  <c r="L45" i="86" s="1"/>
  <c r="C44" i="68"/>
  <c r="C32" i="87"/>
  <c r="N25" i="87" s="1"/>
  <c r="G32" i="68"/>
  <c r="G39" i="68" s="1"/>
  <c r="G40" i="68" s="1"/>
  <c r="G41" i="68" s="1"/>
  <c r="L39" i="68" s="1"/>
  <c r="L45" i="68" s="1"/>
  <c r="L50" i="68" s="1"/>
  <c r="Q16" i="69"/>
  <c r="Q17" i="69" s="1"/>
  <c r="L12" i="69" s="1"/>
  <c r="C32" i="69" s="1"/>
  <c r="C32" i="83"/>
  <c r="G32" i="83" s="1"/>
  <c r="G39" i="83" s="1"/>
  <c r="G40" i="83" s="1"/>
  <c r="G41" i="83" s="1"/>
  <c r="L39" i="83" s="1"/>
  <c r="L45" i="83" s="1"/>
  <c r="C32" i="67"/>
  <c r="G32" i="67" s="1"/>
  <c r="G39" i="67" s="1"/>
  <c r="G40" i="67" s="1"/>
  <c r="G41" i="67" s="1"/>
  <c r="L39" i="67" s="1"/>
  <c r="L45" i="67" s="1"/>
  <c r="C32" i="92"/>
  <c r="C32" i="73"/>
  <c r="C32" i="79"/>
  <c r="C32" i="78"/>
  <c r="G32" i="81"/>
  <c r="G39" i="81" s="1"/>
  <c r="G40" i="81" s="1"/>
  <c r="G41" i="81" s="1"/>
  <c r="L39" i="81" s="1"/>
  <c r="L45" i="81" s="1"/>
  <c r="C44" i="81"/>
  <c r="N25" i="81"/>
  <c r="Q16" i="66"/>
  <c r="Q17" i="66" s="1"/>
  <c r="L12" i="66" s="1"/>
  <c r="C32" i="66" s="1"/>
  <c r="Q16" i="95"/>
  <c r="Q17" i="95" s="1"/>
  <c r="L12" i="95" s="1"/>
  <c r="C32" i="95" s="1"/>
  <c r="C32" i="84"/>
  <c r="Q16" i="88"/>
  <c r="Q17" i="88" s="1"/>
  <c r="L12" i="88" s="1"/>
  <c r="C32" i="88" s="1"/>
  <c r="Q16" i="94"/>
  <c r="Q17" i="94" s="1"/>
  <c r="L12" i="94" s="1"/>
  <c r="C32" i="94" s="1"/>
  <c r="Q16" i="72"/>
  <c r="Q17" i="72" s="1"/>
  <c r="L12" i="72" s="1"/>
  <c r="C32" i="72" s="1"/>
  <c r="Q16" i="85"/>
  <c r="Q17" i="85" s="1"/>
  <c r="L12" i="85" s="1"/>
  <c r="C32" i="85" s="1"/>
  <c r="Q16" i="80"/>
  <c r="Q17" i="80" s="1"/>
  <c r="L12" i="80" s="1"/>
  <c r="C32" i="80" s="1"/>
  <c r="Q16" i="70"/>
  <c r="Q17" i="70" s="1"/>
  <c r="L12" i="70" s="1"/>
  <c r="C32" i="70" s="1"/>
  <c r="L28" i="59"/>
  <c r="L31" i="59"/>
  <c r="K31" i="59"/>
  <c r="K29" i="59"/>
  <c r="L30" i="59"/>
  <c r="K27" i="59"/>
  <c r="L29" i="59"/>
  <c r="L27" i="59"/>
  <c r="K30" i="59"/>
  <c r="K28" i="59"/>
  <c r="L51" i="365" l="1"/>
  <c r="L51" i="366"/>
  <c r="L51" i="364"/>
  <c r="L51" i="363"/>
  <c r="L51" i="362"/>
  <c r="L40" i="367"/>
  <c r="L41" i="367" s="1"/>
  <c r="G56" i="367"/>
  <c r="G57" i="367" s="1"/>
  <c r="N31" i="367" s="1"/>
  <c r="L52" i="367"/>
  <c r="L50" i="367"/>
  <c r="N32" i="367"/>
  <c r="L12" i="348"/>
  <c r="C32" i="348" s="1"/>
  <c r="G32" i="71"/>
  <c r="G39" i="71" s="1"/>
  <c r="G40" i="71" s="1"/>
  <c r="G41" i="71" s="1"/>
  <c r="L39" i="71" s="1"/>
  <c r="L45" i="71" s="1"/>
  <c r="N25" i="71"/>
  <c r="G44" i="71"/>
  <c r="G47" i="71" s="1"/>
  <c r="G48" i="71" s="1"/>
  <c r="G49" i="71" s="1"/>
  <c r="N25" i="93"/>
  <c r="G32" i="93"/>
  <c r="G39" i="93" s="1"/>
  <c r="G40" i="93" s="1"/>
  <c r="G41" i="93" s="1"/>
  <c r="L39" i="93" s="1"/>
  <c r="L45" i="93" s="1"/>
  <c r="N32" i="93" s="1"/>
  <c r="G40" i="349"/>
  <c r="G41" i="349" s="1"/>
  <c r="L39" i="349" s="1"/>
  <c r="C54" i="349"/>
  <c r="G54" i="349" s="1"/>
  <c r="C55" i="349"/>
  <c r="G55" i="349" s="1"/>
  <c r="G44" i="349"/>
  <c r="G47" i="349" s="1"/>
  <c r="C54" i="347"/>
  <c r="G54" i="347" s="1"/>
  <c r="C55" i="347"/>
  <c r="G55" i="347" s="1"/>
  <c r="G44" i="347"/>
  <c r="G47" i="347" s="1"/>
  <c r="G40" i="347"/>
  <c r="G41" i="347" s="1"/>
  <c r="L39" i="347" s="1"/>
  <c r="L52" i="170"/>
  <c r="N32" i="170"/>
  <c r="C55" i="71"/>
  <c r="G55" i="71" s="1"/>
  <c r="C55" i="76"/>
  <c r="G55" i="76" s="1"/>
  <c r="C44" i="77"/>
  <c r="G44" i="77" s="1"/>
  <c r="G47" i="77" s="1"/>
  <c r="G48" i="77" s="1"/>
  <c r="G49" i="77" s="1"/>
  <c r="N25" i="82"/>
  <c r="G32" i="90"/>
  <c r="G39" i="90" s="1"/>
  <c r="G40" i="90" s="1"/>
  <c r="G41" i="90" s="1"/>
  <c r="L39" i="90" s="1"/>
  <c r="L45" i="90" s="1"/>
  <c r="L52" i="90" s="1"/>
  <c r="N32" i="68"/>
  <c r="C44" i="67"/>
  <c r="C55" i="67" s="1"/>
  <c r="G55" i="67" s="1"/>
  <c r="C54" i="76"/>
  <c r="G54" i="76" s="1"/>
  <c r="N25" i="90"/>
  <c r="G32" i="87"/>
  <c r="G39" i="87" s="1"/>
  <c r="G40" i="87" s="1"/>
  <c r="G41" i="87" s="1"/>
  <c r="L39" i="87" s="1"/>
  <c r="L45" i="87" s="1"/>
  <c r="L50" i="87" s="1"/>
  <c r="G32" i="77"/>
  <c r="G39" i="77" s="1"/>
  <c r="G40" i="77" s="1"/>
  <c r="G41" i="77" s="1"/>
  <c r="L39" i="77" s="1"/>
  <c r="L45" i="77" s="1"/>
  <c r="L52" i="77" s="1"/>
  <c r="C44" i="82"/>
  <c r="C55" i="82" s="1"/>
  <c r="G55" i="82" s="1"/>
  <c r="G44" i="170"/>
  <c r="G47" i="170" s="1"/>
  <c r="G48" i="170" s="1"/>
  <c r="G49" i="170" s="1"/>
  <c r="G50" i="170" s="1"/>
  <c r="L40" i="170" s="1"/>
  <c r="L41" i="170" s="1"/>
  <c r="C54" i="90"/>
  <c r="G54" i="90" s="1"/>
  <c r="C55" i="90"/>
  <c r="G55" i="90" s="1"/>
  <c r="G44" i="90"/>
  <c r="G47" i="90" s="1"/>
  <c r="G48" i="90" s="1"/>
  <c r="G49" i="90" s="1"/>
  <c r="C55" i="170"/>
  <c r="G55" i="170" s="1"/>
  <c r="C44" i="171"/>
  <c r="G44" i="171" s="1"/>
  <c r="G47" i="171" s="1"/>
  <c r="G48" i="171" s="1"/>
  <c r="G49" i="171" s="1"/>
  <c r="G50" i="171" s="1"/>
  <c r="L40" i="171" s="1"/>
  <c r="L41" i="171" s="1"/>
  <c r="C44" i="86"/>
  <c r="C55" i="86" s="1"/>
  <c r="G55" i="86" s="1"/>
  <c r="L52" i="76"/>
  <c r="L50" i="76"/>
  <c r="N32" i="76"/>
  <c r="C44" i="87"/>
  <c r="G44" i="87" s="1"/>
  <c r="G47" i="87" s="1"/>
  <c r="G48" i="87" s="1"/>
  <c r="G49" i="87" s="1"/>
  <c r="N25" i="171"/>
  <c r="N25" i="83"/>
  <c r="C44" i="83"/>
  <c r="C54" i="83" s="1"/>
  <c r="G54" i="83" s="1"/>
  <c r="N25" i="67"/>
  <c r="L52" i="68"/>
  <c r="G32" i="74"/>
  <c r="G39" i="74" s="1"/>
  <c r="G40" i="74" s="1"/>
  <c r="G41" i="74" s="1"/>
  <c r="L39" i="74" s="1"/>
  <c r="L45" i="74" s="1"/>
  <c r="L50" i="74" s="1"/>
  <c r="N25" i="74"/>
  <c r="N25" i="96"/>
  <c r="C44" i="96"/>
  <c r="G32" i="96"/>
  <c r="G39" i="96" s="1"/>
  <c r="G40" i="96" s="1"/>
  <c r="G41" i="96" s="1"/>
  <c r="L39" i="96" s="1"/>
  <c r="L45" i="96" s="1"/>
  <c r="L50" i="96" s="1"/>
  <c r="C44" i="89"/>
  <c r="G32" i="89"/>
  <c r="G39" i="89" s="1"/>
  <c r="G40" i="89" s="1"/>
  <c r="G41" i="89" s="1"/>
  <c r="L39" i="89" s="1"/>
  <c r="L45" i="89" s="1"/>
  <c r="N25" i="89"/>
  <c r="L50" i="86"/>
  <c r="L52" i="86"/>
  <c r="N32" i="86"/>
  <c r="N25" i="86"/>
  <c r="C54" i="68"/>
  <c r="G54" i="68" s="1"/>
  <c r="G44" i="68"/>
  <c r="G47" i="68" s="1"/>
  <c r="G48" i="68" s="1"/>
  <c r="G49" i="68" s="1"/>
  <c r="G50" i="68" s="1"/>
  <c r="L40" i="68" s="1"/>
  <c r="L41" i="68" s="1"/>
  <c r="C55" i="68"/>
  <c r="G55" i="68" s="1"/>
  <c r="N25" i="69"/>
  <c r="G32" i="69"/>
  <c r="G39" i="69" s="1"/>
  <c r="G40" i="69" s="1"/>
  <c r="G41" i="69" s="1"/>
  <c r="L39" i="69" s="1"/>
  <c r="L45" i="69" s="1"/>
  <c r="L52" i="69" s="1"/>
  <c r="C44" i="69"/>
  <c r="G32" i="73"/>
  <c r="G39" i="73" s="1"/>
  <c r="G40" i="73" s="1"/>
  <c r="G41" i="73" s="1"/>
  <c r="L39" i="73" s="1"/>
  <c r="L45" i="73" s="1"/>
  <c r="L50" i="73" s="1"/>
  <c r="N25" i="73"/>
  <c r="C44" i="73"/>
  <c r="G32" i="92"/>
  <c r="G39" i="92" s="1"/>
  <c r="G40" i="92" s="1"/>
  <c r="G41" i="92" s="1"/>
  <c r="L39" i="92" s="1"/>
  <c r="L45" i="92" s="1"/>
  <c r="N25" i="92"/>
  <c r="C44" i="92"/>
  <c r="C55" i="74"/>
  <c r="G55" i="74" s="1"/>
  <c r="G44" i="74"/>
  <c r="G47" i="74" s="1"/>
  <c r="G48" i="74" s="1"/>
  <c r="G49" i="74" s="1"/>
  <c r="C54" i="74"/>
  <c r="G54" i="74" s="1"/>
  <c r="C55" i="93"/>
  <c r="G55" i="93" s="1"/>
  <c r="C54" i="93"/>
  <c r="G54" i="93" s="1"/>
  <c r="G44" i="93"/>
  <c r="G47" i="93" s="1"/>
  <c r="G48" i="93" s="1"/>
  <c r="G49" i="93" s="1"/>
  <c r="G32" i="79"/>
  <c r="G39" i="79" s="1"/>
  <c r="G40" i="79" s="1"/>
  <c r="G41" i="79" s="1"/>
  <c r="L39" i="79" s="1"/>
  <c r="L45" i="79" s="1"/>
  <c r="L52" i="79" s="1"/>
  <c r="N25" i="79"/>
  <c r="C44" i="79"/>
  <c r="G48" i="76"/>
  <c r="G49" i="76" s="1"/>
  <c r="G50" i="76" s="1"/>
  <c r="C55" i="81"/>
  <c r="G55" i="81" s="1"/>
  <c r="G44" i="81"/>
  <c r="G47" i="81" s="1"/>
  <c r="G48" i="81" s="1"/>
  <c r="G49" i="81" s="1"/>
  <c r="G50" i="81" s="1"/>
  <c r="L40" i="81" s="1"/>
  <c r="L41" i="81" s="1"/>
  <c r="C54" i="81"/>
  <c r="G54" i="81" s="1"/>
  <c r="C44" i="78"/>
  <c r="G32" i="78"/>
  <c r="G39" i="78" s="1"/>
  <c r="G40" i="78" s="1"/>
  <c r="G41" i="78" s="1"/>
  <c r="L39" i="78" s="1"/>
  <c r="L45" i="78" s="1"/>
  <c r="L52" i="78" s="1"/>
  <c r="N25" i="78"/>
  <c r="G32" i="95"/>
  <c r="G39" i="95" s="1"/>
  <c r="G40" i="95" s="1"/>
  <c r="G41" i="95" s="1"/>
  <c r="L39" i="95" s="1"/>
  <c r="L45" i="95" s="1"/>
  <c r="L52" i="95" s="1"/>
  <c r="N25" i="95"/>
  <c r="C44" i="95"/>
  <c r="C44" i="66"/>
  <c r="N25" i="66"/>
  <c r="G32" i="66"/>
  <c r="G39" i="66" s="1"/>
  <c r="G40" i="66" s="1"/>
  <c r="G41" i="66" s="1"/>
  <c r="L39" i="66" s="1"/>
  <c r="L45" i="66" s="1"/>
  <c r="L52" i="66" s="1"/>
  <c r="G32" i="88"/>
  <c r="G39" i="88" s="1"/>
  <c r="G40" i="88" s="1"/>
  <c r="G41" i="88" s="1"/>
  <c r="L39" i="88" s="1"/>
  <c r="L45" i="88" s="1"/>
  <c r="L50" i="88" s="1"/>
  <c r="N25" i="88"/>
  <c r="C44" i="88"/>
  <c r="G32" i="84"/>
  <c r="G39" i="84" s="1"/>
  <c r="N25" i="84"/>
  <c r="C44" i="84"/>
  <c r="N25" i="70"/>
  <c r="C44" i="70"/>
  <c r="G32" i="70"/>
  <c r="G39" i="70" s="1"/>
  <c r="G40" i="70" s="1"/>
  <c r="G41" i="70" s="1"/>
  <c r="L39" i="70" s="1"/>
  <c r="L45" i="70" s="1"/>
  <c r="C44" i="85"/>
  <c r="N25" i="85"/>
  <c r="G32" i="85"/>
  <c r="G39" i="85" s="1"/>
  <c r="G40" i="85" s="1"/>
  <c r="G41" i="85" s="1"/>
  <c r="L39" i="85" s="1"/>
  <c r="C44" i="80"/>
  <c r="N25" i="80"/>
  <c r="G32" i="80"/>
  <c r="G39" i="80" s="1"/>
  <c r="L45" i="82"/>
  <c r="G32" i="94"/>
  <c r="G39" i="94" s="1"/>
  <c r="N25" i="94"/>
  <c r="C44" i="94"/>
  <c r="G32" i="72"/>
  <c r="G39" i="72" s="1"/>
  <c r="C44" i="72"/>
  <c r="N25" i="72"/>
  <c r="N32" i="67"/>
  <c r="L50" i="67"/>
  <c r="L52" i="67"/>
  <c r="N32" i="81"/>
  <c r="L52" i="81"/>
  <c r="L50" i="81"/>
  <c r="L50" i="171"/>
  <c r="L52" i="171"/>
  <c r="N32" i="171"/>
  <c r="L52" i="83"/>
  <c r="L50" i="83"/>
  <c r="N32" i="83"/>
  <c r="K40" i="59"/>
  <c r="K9" i="59"/>
  <c r="K49" i="59"/>
  <c r="L32" i="59"/>
  <c r="K43" i="59"/>
  <c r="K38" i="59"/>
  <c r="K23" i="59"/>
  <c r="K32" i="59"/>
  <c r="K37" i="59"/>
  <c r="L51" i="367" l="1"/>
  <c r="C44" i="348"/>
  <c r="C54" i="348" s="1"/>
  <c r="G54" i="348" s="1"/>
  <c r="N25" i="348"/>
  <c r="G32" i="348"/>
  <c r="G39" i="348" s="1"/>
  <c r="G40" i="348" s="1"/>
  <c r="G41" i="348" s="1"/>
  <c r="L39" i="348" s="1"/>
  <c r="L45" i="348" s="1"/>
  <c r="G50" i="71"/>
  <c r="L40" i="71" s="1"/>
  <c r="L41" i="71" s="1"/>
  <c r="G50" i="93"/>
  <c r="L40" i="93" s="1"/>
  <c r="L41" i="93" s="1"/>
  <c r="L52" i="93"/>
  <c r="L50" i="93"/>
  <c r="N32" i="87"/>
  <c r="C55" i="87"/>
  <c r="G55" i="87" s="1"/>
  <c r="C54" i="77"/>
  <c r="G54" i="77" s="1"/>
  <c r="N32" i="69"/>
  <c r="N32" i="96"/>
  <c r="L45" i="349"/>
  <c r="G48" i="349"/>
  <c r="G49" i="349" s="1"/>
  <c r="G50" i="349" s="1"/>
  <c r="L40" i="349" s="1"/>
  <c r="L41" i="349" s="1"/>
  <c r="L45" i="347"/>
  <c r="G48" i="347"/>
  <c r="G49" i="347" s="1"/>
  <c r="G50" i="347" s="1"/>
  <c r="C54" i="171"/>
  <c r="G54" i="171" s="1"/>
  <c r="N32" i="79"/>
  <c r="C55" i="77"/>
  <c r="G55" i="77" s="1"/>
  <c r="N32" i="77"/>
  <c r="L50" i="77"/>
  <c r="C54" i="67"/>
  <c r="G54" i="67" s="1"/>
  <c r="G44" i="67"/>
  <c r="G47" i="67" s="1"/>
  <c r="G48" i="67" s="1"/>
  <c r="G49" i="67" s="1"/>
  <c r="G50" i="67" s="1"/>
  <c r="L40" i="67" s="1"/>
  <c r="L41" i="67" s="1"/>
  <c r="L52" i="87"/>
  <c r="N32" i="73"/>
  <c r="L52" i="73"/>
  <c r="G50" i="87"/>
  <c r="L40" i="87" s="1"/>
  <c r="L41" i="87" s="1"/>
  <c r="G50" i="90"/>
  <c r="C55" i="171"/>
  <c r="G55" i="171" s="1"/>
  <c r="L50" i="79"/>
  <c r="L52" i="88"/>
  <c r="L50" i="90"/>
  <c r="N32" i="90"/>
  <c r="G50" i="77"/>
  <c r="L40" i="77" s="1"/>
  <c r="L41" i="77" s="1"/>
  <c r="L50" i="69"/>
  <c r="C54" i="86"/>
  <c r="G54" i="86" s="1"/>
  <c r="C55" i="83"/>
  <c r="G55" i="83" s="1"/>
  <c r="L52" i="96"/>
  <c r="G44" i="83"/>
  <c r="G47" i="83" s="1"/>
  <c r="G48" i="83" s="1"/>
  <c r="G49" i="83" s="1"/>
  <c r="G50" i="83" s="1"/>
  <c r="L40" i="83" s="1"/>
  <c r="L41" i="83" s="1"/>
  <c r="C54" i="82"/>
  <c r="G54" i="82" s="1"/>
  <c r="C54" i="87"/>
  <c r="G54" i="87" s="1"/>
  <c r="G56" i="170"/>
  <c r="G57" i="170" s="1"/>
  <c r="N31" i="170" s="1"/>
  <c r="L52" i="74"/>
  <c r="G44" i="82"/>
  <c r="G47" i="82" s="1"/>
  <c r="G48" i="82" s="1"/>
  <c r="G49" i="82" s="1"/>
  <c r="G50" i="82" s="1"/>
  <c r="L40" i="82" s="1"/>
  <c r="L41" i="82" s="1"/>
  <c r="N32" i="88"/>
  <c r="L50" i="66"/>
  <c r="N32" i="74"/>
  <c r="G50" i="74"/>
  <c r="L40" i="74" s="1"/>
  <c r="L41" i="74" s="1"/>
  <c r="G56" i="68"/>
  <c r="G57" i="68" s="1"/>
  <c r="N31" i="68" s="1"/>
  <c r="L51" i="68" s="1"/>
  <c r="G44" i="86"/>
  <c r="G47" i="86" s="1"/>
  <c r="G48" i="86" s="1"/>
  <c r="G49" i="86" s="1"/>
  <c r="G50" i="86" s="1"/>
  <c r="L40" i="86" s="1"/>
  <c r="L41" i="86" s="1"/>
  <c r="N32" i="66"/>
  <c r="L50" i="95"/>
  <c r="N32" i="78"/>
  <c r="N32" i="95"/>
  <c r="L50" i="78"/>
  <c r="G44" i="96"/>
  <c r="G47" i="96" s="1"/>
  <c r="G48" i="96" s="1"/>
  <c r="G49" i="96" s="1"/>
  <c r="G50" i="96" s="1"/>
  <c r="L40" i="96" s="1"/>
  <c r="L41" i="96" s="1"/>
  <c r="C55" i="96"/>
  <c r="G55" i="96" s="1"/>
  <c r="C54" i="96"/>
  <c r="G54" i="96" s="1"/>
  <c r="L52" i="89"/>
  <c r="L50" i="89"/>
  <c r="N32" i="89"/>
  <c r="C54" i="89"/>
  <c r="G54" i="89" s="1"/>
  <c r="G44" i="89"/>
  <c r="G47" i="89" s="1"/>
  <c r="G48" i="89" s="1"/>
  <c r="G49" i="89" s="1"/>
  <c r="G50" i="89" s="1"/>
  <c r="L40" i="89" s="1"/>
  <c r="L41" i="89" s="1"/>
  <c r="C55" i="89"/>
  <c r="G55" i="89" s="1"/>
  <c r="G44" i="69"/>
  <c r="G47" i="69" s="1"/>
  <c r="G48" i="69" s="1"/>
  <c r="G49" i="69" s="1"/>
  <c r="G50" i="69" s="1"/>
  <c r="L40" i="69" s="1"/>
  <c r="L41" i="69" s="1"/>
  <c r="C54" i="69"/>
  <c r="G54" i="69" s="1"/>
  <c r="C55" i="69"/>
  <c r="G55" i="69" s="1"/>
  <c r="C54" i="92"/>
  <c r="G54" i="92" s="1"/>
  <c r="G44" i="92"/>
  <c r="G47" i="92" s="1"/>
  <c r="G48" i="92" s="1"/>
  <c r="G49" i="92" s="1"/>
  <c r="G50" i="92" s="1"/>
  <c r="L40" i="92" s="1"/>
  <c r="L41" i="92" s="1"/>
  <c r="C55" i="92"/>
  <c r="G55" i="92" s="1"/>
  <c r="C55" i="73"/>
  <c r="G55" i="73" s="1"/>
  <c r="C54" i="73"/>
  <c r="G54" i="73" s="1"/>
  <c r="G44" i="73"/>
  <c r="G47" i="73" s="1"/>
  <c r="G48" i="73" s="1"/>
  <c r="G49" i="73" s="1"/>
  <c r="G50" i="73" s="1"/>
  <c r="L40" i="73" s="1"/>
  <c r="L41" i="73" s="1"/>
  <c r="C54" i="79"/>
  <c r="G54" i="79" s="1"/>
  <c r="G44" i="79"/>
  <c r="G47" i="79" s="1"/>
  <c r="G48" i="79" s="1"/>
  <c r="G49" i="79" s="1"/>
  <c r="G50" i="79" s="1"/>
  <c r="L40" i="79" s="1"/>
  <c r="L41" i="79" s="1"/>
  <c r="C55" i="79"/>
  <c r="G55" i="79" s="1"/>
  <c r="G56" i="81"/>
  <c r="G57" i="81" s="1"/>
  <c r="N31" i="81" s="1"/>
  <c r="L40" i="76"/>
  <c r="L41" i="76" s="1"/>
  <c r="G56" i="76"/>
  <c r="G57" i="76" s="1"/>
  <c r="N31" i="76" s="1"/>
  <c r="G44" i="78"/>
  <c r="G47" i="78" s="1"/>
  <c r="G48" i="78" s="1"/>
  <c r="G49" i="78" s="1"/>
  <c r="G50" i="78" s="1"/>
  <c r="L40" i="78" s="1"/>
  <c r="L41" i="78" s="1"/>
  <c r="C54" i="78"/>
  <c r="G54" i="78" s="1"/>
  <c r="C55" i="78"/>
  <c r="G55" i="78" s="1"/>
  <c r="G44" i="84"/>
  <c r="G47" i="84" s="1"/>
  <c r="G48" i="84" s="1"/>
  <c r="G49" i="84" s="1"/>
  <c r="C55" i="84"/>
  <c r="G55" i="84" s="1"/>
  <c r="C54" i="84"/>
  <c r="G54" i="84" s="1"/>
  <c r="G40" i="84"/>
  <c r="G41" i="84" s="1"/>
  <c r="L39" i="84" s="1"/>
  <c r="L45" i="84" s="1"/>
  <c r="C55" i="66"/>
  <c r="G55" i="66" s="1"/>
  <c r="C54" i="66"/>
  <c r="G54" i="66" s="1"/>
  <c r="G44" i="66"/>
  <c r="G47" i="66" s="1"/>
  <c r="G48" i="66" s="1"/>
  <c r="G49" i="66" s="1"/>
  <c r="G50" i="66" s="1"/>
  <c r="L40" i="66" s="1"/>
  <c r="L41" i="66" s="1"/>
  <c r="C55" i="95"/>
  <c r="G55" i="95" s="1"/>
  <c r="C54" i="95"/>
  <c r="G54" i="95" s="1"/>
  <c r="G44" i="95"/>
  <c r="G47" i="95" s="1"/>
  <c r="C54" i="88"/>
  <c r="G54" i="88" s="1"/>
  <c r="C55" i="88"/>
  <c r="G55" i="88" s="1"/>
  <c r="G44" i="88"/>
  <c r="G47" i="88" s="1"/>
  <c r="G48" i="88" s="1"/>
  <c r="G49" i="88" s="1"/>
  <c r="G50" i="88" s="1"/>
  <c r="L40" i="88" s="1"/>
  <c r="L41" i="88" s="1"/>
  <c r="C55" i="94"/>
  <c r="G55" i="94" s="1"/>
  <c r="C54" i="94"/>
  <c r="G54" i="94" s="1"/>
  <c r="G44" i="94"/>
  <c r="G47" i="94" s="1"/>
  <c r="L52" i="82"/>
  <c r="L50" i="82"/>
  <c r="N32" i="82"/>
  <c r="C55" i="80"/>
  <c r="G55" i="80" s="1"/>
  <c r="G44" i="80"/>
  <c r="G47" i="80" s="1"/>
  <c r="G48" i="80" s="1"/>
  <c r="G49" i="80" s="1"/>
  <c r="C54" i="80"/>
  <c r="G54" i="80" s="1"/>
  <c r="N32" i="70"/>
  <c r="L50" i="70"/>
  <c r="L52" i="70"/>
  <c r="G40" i="94"/>
  <c r="G41" i="94" s="1"/>
  <c r="L39" i="94" s="1"/>
  <c r="L45" i="94" s="1"/>
  <c r="G44" i="70"/>
  <c r="G47" i="70" s="1"/>
  <c r="G48" i="70" s="1"/>
  <c r="G49" i="70" s="1"/>
  <c r="G50" i="70" s="1"/>
  <c r="L40" i="70" s="1"/>
  <c r="L41" i="70" s="1"/>
  <c r="C54" i="70"/>
  <c r="G54" i="70" s="1"/>
  <c r="C55" i="70"/>
  <c r="G55" i="70" s="1"/>
  <c r="G44" i="72"/>
  <c r="G47" i="72" s="1"/>
  <c r="G48" i="72" s="1"/>
  <c r="G49" i="72" s="1"/>
  <c r="C54" i="72"/>
  <c r="G54" i="72" s="1"/>
  <c r="C55" i="72"/>
  <c r="G55" i="72" s="1"/>
  <c r="L45" i="85"/>
  <c r="G40" i="72"/>
  <c r="G41" i="72" s="1"/>
  <c r="L39" i="72" s="1"/>
  <c r="L45" i="72" s="1"/>
  <c r="G44" i="85"/>
  <c r="G47" i="85" s="1"/>
  <c r="G48" i="85" s="1"/>
  <c r="G49" i="85" s="1"/>
  <c r="G50" i="85" s="1"/>
  <c r="L40" i="85" s="1"/>
  <c r="L41" i="85" s="1"/>
  <c r="C54" i="85"/>
  <c r="G54" i="85" s="1"/>
  <c r="C55" i="85"/>
  <c r="G55" i="85" s="1"/>
  <c r="G40" i="80"/>
  <c r="G41" i="80" s="1"/>
  <c r="L39" i="80" s="1"/>
  <c r="L45" i="80" s="1"/>
  <c r="N32" i="92"/>
  <c r="L50" i="92"/>
  <c r="L52" i="92"/>
  <c r="L50" i="71"/>
  <c r="L52" i="71"/>
  <c r="N32" i="71"/>
  <c r="K47" i="59"/>
  <c r="K26" i="59"/>
  <c r="K12" i="59"/>
  <c r="K21" i="59"/>
  <c r="K14" i="59"/>
  <c r="L23" i="59"/>
  <c r="K25" i="59"/>
  <c r="K39" i="59"/>
  <c r="K6" i="59"/>
  <c r="K19" i="59"/>
  <c r="K51" i="59"/>
  <c r="K44" i="59"/>
  <c r="K10" i="59"/>
  <c r="K48" i="59"/>
  <c r="K16" i="59"/>
  <c r="K52" i="59"/>
  <c r="L37" i="59"/>
  <c r="K35" i="59"/>
  <c r="L9" i="59"/>
  <c r="K22" i="59"/>
  <c r="K24" i="59"/>
  <c r="K45" i="59"/>
  <c r="C55" i="348" l="1"/>
  <c r="G55" i="348" s="1"/>
  <c r="G44" i="348"/>
  <c r="G47" i="348" s="1"/>
  <c r="G48" i="348" s="1"/>
  <c r="G49" i="348" s="1"/>
  <c r="G50" i="348" s="1"/>
  <c r="L51" i="170"/>
  <c r="L51" i="81"/>
  <c r="G56" i="71"/>
  <c r="G57" i="71" s="1"/>
  <c r="N31" i="71" s="1"/>
  <c r="G56" i="93"/>
  <c r="G57" i="93" s="1"/>
  <c r="N31" i="93" s="1"/>
  <c r="G56" i="349"/>
  <c r="G57" i="349" s="1"/>
  <c r="N31" i="349" s="1"/>
  <c r="L52" i="349"/>
  <c r="L50" i="349"/>
  <c r="N32" i="349"/>
  <c r="L52" i="348"/>
  <c r="N32" i="348"/>
  <c r="L50" i="348"/>
  <c r="L40" i="347"/>
  <c r="L41" i="347" s="1"/>
  <c r="G56" i="347"/>
  <c r="G57" i="347" s="1"/>
  <c r="N31" i="347" s="1"/>
  <c r="L52" i="347"/>
  <c r="L50" i="347"/>
  <c r="N32" i="347"/>
  <c r="G56" i="67"/>
  <c r="G57" i="67" s="1"/>
  <c r="N31" i="67" s="1"/>
  <c r="G56" i="171"/>
  <c r="G57" i="171" s="1"/>
  <c r="N31" i="171" s="1"/>
  <c r="G56" i="87"/>
  <c r="G57" i="87" s="1"/>
  <c r="N31" i="87" s="1"/>
  <c r="L40" i="90"/>
  <c r="L41" i="90" s="1"/>
  <c r="G56" i="90"/>
  <c r="G57" i="90" s="1"/>
  <c r="N31" i="90" s="1"/>
  <c r="G56" i="77"/>
  <c r="G57" i="77" s="1"/>
  <c r="N31" i="77" s="1"/>
  <c r="G56" i="83"/>
  <c r="G57" i="83" s="1"/>
  <c r="N31" i="83" s="1"/>
  <c r="G56" i="74"/>
  <c r="G57" i="74" s="1"/>
  <c r="N31" i="74" s="1"/>
  <c r="G56" i="92"/>
  <c r="G57" i="92" s="1"/>
  <c r="N31" i="92" s="1"/>
  <c r="G56" i="82"/>
  <c r="G57" i="82" s="1"/>
  <c r="N31" i="82" s="1"/>
  <c r="G56" i="86"/>
  <c r="G57" i="86" s="1"/>
  <c r="N31" i="86" s="1"/>
  <c r="G56" i="89"/>
  <c r="G57" i="89" s="1"/>
  <c r="N31" i="89" s="1"/>
  <c r="G56" i="96"/>
  <c r="G57" i="96" s="1"/>
  <c r="N31" i="96" s="1"/>
  <c r="G56" i="69"/>
  <c r="G57" i="69" s="1"/>
  <c r="N31" i="69" s="1"/>
  <c r="G56" i="73"/>
  <c r="G57" i="73" s="1"/>
  <c r="N31" i="73" s="1"/>
  <c r="G56" i="79"/>
  <c r="G57" i="79" s="1"/>
  <c r="N31" i="79" s="1"/>
  <c r="G56" i="78"/>
  <c r="G57" i="78" s="1"/>
  <c r="N31" i="78" s="1"/>
  <c r="L51" i="76"/>
  <c r="L50" i="84"/>
  <c r="L52" i="84"/>
  <c r="N32" i="84"/>
  <c r="G50" i="84"/>
  <c r="L40" i="84" s="1"/>
  <c r="L41" i="84" s="1"/>
  <c r="G48" i="95"/>
  <c r="G49" i="95" s="1"/>
  <c r="G50" i="95" s="1"/>
  <c r="L40" i="95" s="1"/>
  <c r="L41" i="95" s="1"/>
  <c r="G50" i="80"/>
  <c r="L40" i="80" s="1"/>
  <c r="L41" i="80" s="1"/>
  <c r="G56" i="88"/>
  <c r="G57" i="88" s="1"/>
  <c r="N31" i="88" s="1"/>
  <c r="G56" i="66"/>
  <c r="G57" i="66" s="1"/>
  <c r="N31" i="66" s="1"/>
  <c r="L52" i="94"/>
  <c r="L50" i="94"/>
  <c r="N32" i="94"/>
  <c r="G50" i="72"/>
  <c r="L40" i="72" s="1"/>
  <c r="L41" i="72" s="1"/>
  <c r="N32" i="85"/>
  <c r="L52" i="85"/>
  <c r="L50" i="85"/>
  <c r="L52" i="80"/>
  <c r="N32" i="80"/>
  <c r="L50" i="80"/>
  <c r="G56" i="70"/>
  <c r="G57" i="70" s="1"/>
  <c r="N31" i="70" s="1"/>
  <c r="G48" i="94"/>
  <c r="G49" i="94" s="1"/>
  <c r="G50" i="94" s="1"/>
  <c r="G56" i="85"/>
  <c r="G57" i="85" s="1"/>
  <c r="N31" i="85" s="1"/>
  <c r="L50" i="72"/>
  <c r="L52" i="72"/>
  <c r="N32" i="72"/>
  <c r="L49" i="59"/>
  <c r="K46" i="59"/>
  <c r="L12" i="59"/>
  <c r="L19" i="59"/>
  <c r="L26" i="59"/>
  <c r="G56" i="348" l="1"/>
  <c r="G57" i="348" s="1"/>
  <c r="N31" i="348" s="1"/>
  <c r="L51" i="348" s="1"/>
  <c r="L40" i="348"/>
  <c r="L41" i="348" s="1"/>
  <c r="L51" i="93"/>
  <c r="L51" i="86"/>
  <c r="L51" i="349"/>
  <c r="L51" i="92"/>
  <c r="L51" i="71"/>
  <c r="L21" i="59"/>
  <c r="L46" i="59"/>
  <c r="K11" i="59"/>
  <c r="L39" i="59"/>
  <c r="L22" i="59"/>
  <c r="K50" i="59"/>
  <c r="L45" i="59"/>
  <c r="L35" i="59"/>
  <c r="L15" i="59"/>
  <c r="K20" i="59"/>
  <c r="L42" i="59"/>
  <c r="L25" i="59"/>
  <c r="L38" i="59"/>
  <c r="K42" i="59"/>
  <c r="K41" i="59"/>
  <c r="L40" i="59"/>
  <c r="L11" i="59"/>
  <c r="L44" i="59"/>
  <c r="L52" i="59"/>
  <c r="L43" i="59"/>
  <c r="L24" i="59"/>
  <c r="L6" i="59"/>
  <c r="K36" i="59"/>
  <c r="L47" i="59"/>
  <c r="L14" i="59"/>
  <c r="L48" i="59"/>
  <c r="L5" i="59"/>
  <c r="K13" i="59"/>
  <c r="K15" i="59"/>
  <c r="K5" i="59"/>
  <c r="L13" i="59"/>
  <c r="L16" i="59"/>
  <c r="K33" i="59" l="1"/>
  <c r="K53" i="59"/>
  <c r="K17" i="59"/>
  <c r="K7" i="59"/>
  <c r="L7" i="59"/>
  <c r="L51" i="347"/>
  <c r="L51" i="67"/>
  <c r="L51" i="171"/>
  <c r="L51" i="87"/>
  <c r="L51" i="90"/>
  <c r="L51" i="77"/>
  <c r="L51" i="83"/>
  <c r="L51" i="74"/>
  <c r="L51" i="82"/>
  <c r="L51" i="96"/>
  <c r="L51" i="89"/>
  <c r="L51" i="69"/>
  <c r="L51" i="73"/>
  <c r="L51" i="79"/>
  <c r="G56" i="80"/>
  <c r="G57" i="80" s="1"/>
  <c r="N31" i="80" s="1"/>
  <c r="L51" i="78"/>
  <c r="L51" i="88"/>
  <c r="L51" i="66"/>
  <c r="G56" i="95"/>
  <c r="G57" i="95" s="1"/>
  <c r="N31" i="95" s="1"/>
  <c r="G56" i="84"/>
  <c r="G57" i="84" s="1"/>
  <c r="N31" i="84" s="1"/>
  <c r="L40" i="94"/>
  <c r="L41" i="94" s="1"/>
  <c r="G56" i="94"/>
  <c r="G57" i="94" s="1"/>
  <c r="N31" i="94" s="1"/>
  <c r="L51" i="85"/>
  <c r="L51" i="70"/>
  <c r="G56" i="72"/>
  <c r="G57" i="72" s="1"/>
  <c r="N31" i="72" s="1"/>
  <c r="L50" i="59"/>
  <c r="L36" i="59"/>
  <c r="L41" i="59"/>
  <c r="L10" i="59"/>
  <c r="L20" i="59"/>
  <c r="L51" i="59"/>
  <c r="K55" i="59" l="1"/>
  <c r="L33" i="59"/>
  <c r="L53" i="59"/>
  <c r="L17" i="59"/>
  <c r="L51" i="80"/>
  <c r="L51" i="95"/>
  <c r="L51" i="84"/>
  <c r="L51" i="72"/>
  <c r="L51" i="94"/>
  <c r="L55" i="59" l="1"/>
</calcChain>
</file>

<file path=xl/sharedStrings.xml><?xml version="1.0" encoding="utf-8"?>
<sst xmlns="http://schemas.openxmlformats.org/spreadsheetml/2006/main" count="7056" uniqueCount="189">
  <si>
    <t>HEAT LOAD ESTIMATION @ ASHRAE STD</t>
  </si>
  <si>
    <t>Estimated by</t>
  </si>
  <si>
    <t>RITHVIK CONSULTANTS</t>
  </si>
  <si>
    <t>In Mtr</t>
  </si>
  <si>
    <t>in Ft</t>
  </si>
  <si>
    <t>Job name</t>
  </si>
  <si>
    <t>Estimate for Summer</t>
  </si>
  <si>
    <t>Peak time : 4 pm</t>
  </si>
  <si>
    <t>Length</t>
  </si>
  <si>
    <t>Place</t>
  </si>
  <si>
    <t>CHENNAI</t>
  </si>
  <si>
    <t>Conditions</t>
  </si>
  <si>
    <r>
      <rPr>
        <sz val="11"/>
        <rFont val="Book Antiqua"/>
        <family val="1"/>
      </rPr>
      <t>DB oF</t>
    </r>
  </si>
  <si>
    <r>
      <rPr>
        <sz val="11"/>
        <rFont val="Book Antiqua"/>
        <family val="1"/>
      </rPr>
      <t>WB oF</t>
    </r>
  </si>
  <si>
    <t>% RH</t>
  </si>
  <si>
    <t>Gr/lb</t>
  </si>
  <si>
    <t>Breadth</t>
  </si>
  <si>
    <t>Space used for</t>
  </si>
  <si>
    <t xml:space="preserve">Out side </t>
  </si>
  <si>
    <t>Height</t>
  </si>
  <si>
    <t>Size in Ft. &amp;      Area in Sq. Ft.</t>
  </si>
  <si>
    <t>Lt. Ft.</t>
  </si>
  <si>
    <t>Br. Ft.</t>
  </si>
  <si>
    <t xml:space="preserve"> Area sq. ft</t>
  </si>
  <si>
    <t>Ht. Ft.</t>
  </si>
  <si>
    <r>
      <rPr>
        <sz val="9"/>
        <rFont val="Book Antiqua"/>
        <family val="1"/>
      </rPr>
      <t>Dailyrange</t>
    </r>
  </si>
  <si>
    <r>
      <rPr>
        <sz val="11"/>
        <rFont val="Book Antiqua"/>
        <family val="1"/>
      </rPr>
      <t>Room Cond.</t>
    </r>
  </si>
  <si>
    <t>18 deg F</t>
  </si>
  <si>
    <t>Difference</t>
  </si>
  <si>
    <t>XXXXX</t>
  </si>
  <si>
    <t>Item</t>
  </si>
  <si>
    <t>Area/Qty</t>
  </si>
  <si>
    <t>Sun gain/</t>
  </si>
  <si>
    <t>Factor</t>
  </si>
  <si>
    <t>Btu/hr</t>
  </si>
  <si>
    <t>By-pass factor</t>
  </si>
  <si>
    <t>Temp diff deg F</t>
  </si>
  <si>
    <t>VENTILATION</t>
  </si>
  <si>
    <t>Ventilation Air Quantity - Minimum</t>
  </si>
  <si>
    <t>SUN GAIN  - GLASS</t>
  </si>
  <si>
    <t>Total Volume of air</t>
  </si>
  <si>
    <t xml:space="preserve">5 CFM PER PERSON + </t>
  </si>
  <si>
    <t>0.06 CFM PER SQ FEET</t>
  </si>
  <si>
    <t>Glass - N</t>
  </si>
  <si>
    <t>Sq ft</t>
  </si>
  <si>
    <t>No of air changes per hour</t>
  </si>
  <si>
    <t xml:space="preserve">CFM/person </t>
  </si>
  <si>
    <t>Glass - E</t>
  </si>
  <si>
    <t>Ventilation air quantity cfm</t>
  </si>
  <si>
    <t>CFM for people</t>
  </si>
  <si>
    <t>Glass - W</t>
  </si>
  <si>
    <r>
      <rPr>
        <sz val="11"/>
        <rFont val="Book Antiqua"/>
        <family val="1"/>
      </rPr>
      <t>No.of Person</t>
    </r>
  </si>
  <si>
    <t>Glass- W</t>
  </si>
  <si>
    <t>CFm per sqft</t>
  </si>
  <si>
    <t>Glass - S</t>
  </si>
  <si>
    <t>With Air change Vent Air CFM Reqd</t>
  </si>
  <si>
    <t>CFM for Area basis</t>
  </si>
  <si>
    <t>Wall - N</t>
  </si>
  <si>
    <t>Total Air Quantity</t>
  </si>
  <si>
    <t>SOLAR &amp; TRANSMISSION GAIN-WALLS &amp; ROOF</t>
  </si>
  <si>
    <t>Wall - E</t>
  </si>
  <si>
    <t xml:space="preserve"> SAFETY 30%</t>
  </si>
  <si>
    <t>Wall - W</t>
  </si>
  <si>
    <t>MIN FA REQT</t>
  </si>
  <si>
    <t xml:space="preserve">Wall - S </t>
  </si>
  <si>
    <t>Roof - Exposed</t>
  </si>
  <si>
    <t>All glass</t>
  </si>
  <si>
    <t xml:space="preserve">P-WALL </t>
  </si>
  <si>
    <t>P-GLASS</t>
  </si>
  <si>
    <t>Partition wall</t>
  </si>
  <si>
    <t>N</t>
  </si>
  <si>
    <t>Partition glass</t>
  </si>
  <si>
    <t>E</t>
  </si>
  <si>
    <t>TRANSMISSION GAIN - EXCEPT WALLS &amp; ROOF</t>
  </si>
  <si>
    <t>Ceiling</t>
  </si>
  <si>
    <t>W</t>
  </si>
  <si>
    <t xml:space="preserve">All glass </t>
  </si>
  <si>
    <t>Floor</t>
  </si>
  <si>
    <t>S</t>
  </si>
  <si>
    <t>Out side air</t>
  </si>
  <si>
    <t>TOTAL</t>
  </si>
  <si>
    <t>People</t>
  </si>
  <si>
    <t>Equipment</t>
  </si>
  <si>
    <t>Lights</t>
  </si>
  <si>
    <t>INFILTRATOIN &amp; OUTSIDE AIR</t>
  </si>
  <si>
    <t>Tonnage</t>
  </si>
  <si>
    <r>
      <rPr>
        <sz val="11"/>
        <rFont val="Book Antiqua"/>
        <family val="1"/>
      </rPr>
      <t>Cfm</t>
    </r>
  </si>
  <si>
    <r>
      <t>Dehumidifed CFM</t>
    </r>
    <r>
      <rPr>
        <sz val="11"/>
        <rFont val="Book Antiqua"/>
        <family val="1"/>
      </rPr>
      <t/>
    </r>
  </si>
  <si>
    <t>INTERNAL HEAT</t>
  </si>
  <si>
    <t>RECOMMENDED TR</t>
  </si>
  <si>
    <t>Nos</t>
  </si>
  <si>
    <t>KW</t>
  </si>
  <si>
    <t>Watts</t>
  </si>
  <si>
    <t>Room sensible heat sub total</t>
  </si>
  <si>
    <t>DEHUMIDIFIED AIR QUANTITY</t>
  </si>
  <si>
    <t>S.A duct heat gain+fan gain+Safety factor</t>
  </si>
  <si>
    <t xml:space="preserve"> </t>
  </si>
  <si>
    <t>Room sensible heat - Summer</t>
  </si>
  <si>
    <t>Room sensible heat total</t>
  </si>
  <si>
    <t>Room total heat</t>
  </si>
  <si>
    <t>Effective sen. heat factor</t>
  </si>
  <si>
    <t>ROOM LATENT HEAT</t>
  </si>
  <si>
    <t>Indicated ADP</t>
  </si>
  <si>
    <t>Outside air</t>
  </si>
  <si>
    <t>Selected ADP</t>
  </si>
  <si>
    <t xml:space="preserve">Dehumidified rise in deg F  </t>
  </si>
  <si>
    <t xml:space="preserve">Steam </t>
  </si>
  <si>
    <t>kg/hr</t>
  </si>
  <si>
    <r>
      <rPr>
        <sz val="11"/>
        <rFont val="Book Antiqua"/>
        <family val="1"/>
      </rPr>
      <t>Dehumidifed CFM</t>
    </r>
  </si>
  <si>
    <t>Room Latent heat sub total</t>
  </si>
  <si>
    <t>Safety factor</t>
  </si>
  <si>
    <t>Room latent heat total</t>
  </si>
  <si>
    <t xml:space="preserve">Room total heat </t>
  </si>
  <si>
    <t xml:space="preserve">AS PER SPECIFICATION - TR </t>
  </si>
  <si>
    <t>AS PER SPECIFICATION AIR QTY IN CFM</t>
  </si>
  <si>
    <t xml:space="preserve">AS PER DRAWING - TR </t>
  </si>
  <si>
    <t>OUT SIDE AIR HEAT</t>
  </si>
  <si>
    <t>AS PER DRAWING AIR QTY IN CFM</t>
  </si>
  <si>
    <t xml:space="preserve">Sensible </t>
  </si>
  <si>
    <t>Latent</t>
  </si>
  <si>
    <t>Grand total heat ( Btu/hr)</t>
  </si>
  <si>
    <t>NOTE:</t>
  </si>
  <si>
    <t>THE FLOOR ABOVE &amp; BELOW THE CONDITION SPACE  ARE ASSUMED TO BE AIR CONDITIONED</t>
  </si>
  <si>
    <t>S.NO</t>
  </si>
  <si>
    <t>DESCRIPTION OF ROOM</t>
  </si>
  <si>
    <t>ROOM DIMENSION</t>
  </si>
  <si>
    <t>ROOM AREA</t>
  </si>
  <si>
    <t>EQUIPMENT LOAD(KW)</t>
  </si>
  <si>
    <t>NO OF PEOPLE</t>
  </si>
  <si>
    <t>RECOMMENDED TONNAGE</t>
  </si>
  <si>
    <t>L</t>
  </si>
  <si>
    <t>B</t>
  </si>
  <si>
    <t>H</t>
  </si>
  <si>
    <t>SQ FT</t>
  </si>
  <si>
    <t>DEHUMIDIFIED CFM</t>
  </si>
  <si>
    <t>LIGHT LOAD</t>
  </si>
  <si>
    <t>ACTUAL TONNAGE</t>
  </si>
  <si>
    <t>PSP HOSPITAL</t>
  </si>
  <si>
    <t>LOBBY</t>
  </si>
  <si>
    <t>GROUND FLOOR</t>
  </si>
  <si>
    <t>FIRST FLOOR</t>
  </si>
  <si>
    <t>AIRLOCK</t>
  </si>
  <si>
    <t>THIRD FLOOR</t>
  </si>
  <si>
    <t>SECOND FLOOR</t>
  </si>
  <si>
    <t>NO.OF FRESH AIR CHANGES</t>
  </si>
  <si>
    <t>FLOOR</t>
  </si>
  <si>
    <t>CSSD</t>
  </si>
  <si>
    <t>CSSD MANAGER</t>
  </si>
  <si>
    <t xml:space="preserve">WAITING  </t>
  </si>
  <si>
    <t>MEDICAL STORE</t>
  </si>
  <si>
    <t>CENTRAL RESEARCH LAB</t>
  </si>
  <si>
    <t>CENTRAL RESEARCH LAB FACULTY</t>
  </si>
  <si>
    <t>CENTRAL RESEARCH LAB E.LIBRARY</t>
  </si>
  <si>
    <t>CENTRAL RESEARCH LAB PREP.STORE</t>
  </si>
  <si>
    <t>PRIVATE ROOM 1</t>
  </si>
  <si>
    <t>PRIVATE ROOM 2</t>
  </si>
  <si>
    <t>PRIVATE ROOM 3</t>
  </si>
  <si>
    <t>PRIVATE ROOM 4</t>
  </si>
  <si>
    <t>PRIVATE ROOM 5</t>
  </si>
  <si>
    <t>PRIVATE ROOM 6</t>
  </si>
  <si>
    <t>PRIVATE ROOM 7</t>
  </si>
  <si>
    <t>COLD STORAGE</t>
  </si>
  <si>
    <t>PREPARATION ROOM</t>
  </si>
  <si>
    <t>DISINFECTION AIRLOCK</t>
  </si>
  <si>
    <t>PRE PCR</t>
  </si>
  <si>
    <t>PCR ASSAY ROOM</t>
  </si>
  <si>
    <t>POST PCR</t>
  </si>
  <si>
    <t>SKILL DEVELOPMENT LAB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</si>
  <si>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</si>
  <si>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</si>
  <si>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</si>
  <si>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</si>
  <si>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</si>
  <si>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</si>
  <si>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</si>
  <si>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</si>
  <si>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</si>
  <si>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</si>
  <si>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DEMONSTRATION OF SKILL</t>
  </si>
  <si>
    <t>PRIVATE ROOM 8</t>
  </si>
  <si>
    <t>PRIVATE ROOM 9</t>
  </si>
  <si>
    <t>PRIVATE ROOM 10</t>
  </si>
  <si>
    <t>PRIVATE ROOM 11</t>
  </si>
  <si>
    <t>PRIVATE ROOM 12</t>
  </si>
  <si>
    <t>PRIVATE ROOM 13</t>
  </si>
  <si>
    <t>PRIVATE ROOM 14</t>
  </si>
  <si>
    <t xml:space="preserve"> AC LOAD SUMMARY OF PSP HOSPITAL(SERVICE BLOCK)  - RITHVIK CONSULTANTS, CHENNAI</t>
  </si>
  <si>
    <t>GRAND TOTAL</t>
  </si>
  <si>
    <t>THE FLOOR ABOVE THE CONDITION SPACE  ARE ASSUMED TO BE NON AIR CONDITIONED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</si>
</sst>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9" x14ac:knownFonts="1">
    <font>
      <sz val="11"/>
      <color theme="1"/>
      <name val="Calibri"/>
      <family val="2"/>
      <scheme val="minor"/>
    </font>
    <font>
      <b/>
      <sz val="11"/>
      <name val="Book Antiqua"/>
      <family val="1"/>
    </font>
    <font>
      <sz val="11"/>
      <name val="Book Antiqua"/>
      <family val="1"/>
    </font>
    <font>
      <sz val="11"/>
      <color indexed="14"/>
      <name val="Book Antiqua"/>
      <family val="1"/>
    </font>
    <font>
      <sz val="9"/>
      <name val="Book Antiqua"/>
      <family val="1"/>
    </font>
    <font>
      <b/>
      <sz val="11"/>
      <color indexed="10"/>
      <name val="Book Antiqua"/>
      <family val="1"/>
    </font>
    <font>
      <b/>
      <sz val="10"/>
      <name val="Book Antiqua"/>
      <family val="1"/>
    </font>
    <font>
      <sz val="11"/>
      <name val="Arial"/>
      <family val="2"/>
    </font>
    <font>
      <sz val="10"/>
      <name val="Book Antiqua"/>
      <family val="1"/>
    </font>
    <font>
      <b/>
      <sz val="11"/>
      <name val="Arial"/>
      <family val="2"/>
    </font>
    <font>
      <b/>
      <sz val="12"/>
      <name val="Arial"/>
      <family val="2"/>
    </font>
    <font>
      <sz val="11"/>
      <color indexed="10"/>
      <name val="Book Antiqua"/>
      <family val="1"/>
    </font>
    <font>
      <sz val="11"/>
      <color indexed="12"/>
      <name val="Book Antiqua"/>
      <family val="1"/>
    </font>
    <font>
      <b/>
      <sz val="11"/>
      <color indexed="12"/>
      <name val="Book Antiqua"/>
      <family val="1"/>
    </font>
    <font>
      <sz val="12"/>
      <color indexed="12"/>
      <name val="Book Antiqua"/>
      <family val="1"/>
    </font>
    <font>
      <sz val="11"/>
      <color indexed="25"/>
      <name val="Book Antiqua"/>
      <family val="1"/>
    </font>
    <font>
      <u/>
      <sz val="9.6"/>
      <color indexed="12"/>
      <name val="Arial"/>
      <family val="2"/>
    </font>
    <font>
      <sz val="8"/>
      <name val="Calibri"/>
      <family val="2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sz val="9.6"/>
      <color theme="1"/>
      <name val="Arial"/>
      <family val="2"/>
    </font>
    <font>
      <sz val="9.6"/>
      <color theme="1"/>
      <name val="Book Antiqua"/>
      <family val="1"/>
    </font>
    <font>
      <b/>
      <sz val="11"/>
      <color rgb="FFFF0000"/>
      <name val="Book Antiqua"/>
      <family val="1"/>
    </font>
    <font>
      <b/>
      <sz val="11"/>
      <color rgb="FFFF0000"/>
      <name val="Arial"/>
      <family val="2"/>
    </font>
    <font>
      <b/>
      <sz val="16"/>
      <color theme="1"/>
      <name val="Book Antiqua"/>
      <family val="1"/>
    </font>
    <font>
      <b/>
      <sz val="11"/>
      <color theme="1"/>
      <name val="Calibri"/>
      <family val="2"/>
      <scheme val="minor"/>
    </font>
    <font>
      <b/>
      <sz val="9.6"/>
      <color theme="1"/>
      <name val="Arial"/>
      <family val="2"/>
    </font>
    <font>
      <b/>
      <sz val="14"/>
      <color theme="1"/>
      <name val="Book Antiqua"/>
      <family val="1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medium">
        <color indexed="64"/>
      </right>
      <top style="hair">
        <color indexed="8"/>
      </top>
      <bottom/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medium">
        <color indexed="64"/>
      </right>
      <top style="hair">
        <color indexed="8"/>
      </top>
      <bottom style="medium">
        <color indexed="64"/>
      </bottom>
      <diagonal/>
    </border>
    <border>
      <left style="hair">
        <color indexed="8"/>
      </left>
      <right/>
      <top style="hair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/>
      <top style="medium">
        <color indexed="8"/>
      </top>
      <bottom style="hair">
        <color indexed="8"/>
      </bottom>
      <diagonal/>
    </border>
    <border>
      <left style="medium">
        <color indexed="64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199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4" fontId="2" fillId="0" borderId="2" xfId="0" applyNumberFormat="1" applyFont="1" applyBorder="1" applyAlignment="1">
      <alignment horizontal="center"/>
    </xf>
    <xf numFmtId="164" fontId="2" fillId="0" borderId="0" xfId="0" applyNumberFormat="1" applyFont="1" applyBorder="1"/>
    <xf numFmtId="0" fontId="2" fillId="0" borderId="5" xfId="0" applyFont="1" applyBorder="1" applyAlignment="1">
      <alignment horizontal="left"/>
    </xf>
    <xf numFmtId="164" fontId="3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" fontId="2" fillId="0" borderId="3" xfId="0" applyNumberFormat="1" applyFont="1" applyBorder="1" applyAlignment="1">
      <alignment horizontal="left"/>
    </xf>
    <xf numFmtId="1" fontId="2" fillId="0" borderId="3" xfId="0" applyNumberFormat="1" applyFont="1" applyFill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6" fillId="0" borderId="3" xfId="0" applyFont="1" applyBorder="1" applyAlignment="1">
      <alignment horizontal="left" vertical="center" wrapText="1"/>
    </xf>
    <xf numFmtId="1" fontId="2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2" fillId="0" borderId="2" xfId="0" applyFont="1" applyBorder="1"/>
    <xf numFmtId="0" fontId="2" fillId="0" borderId="6" xfId="0" applyFont="1" applyBorder="1" applyAlignment="1">
      <alignment horizontal="right"/>
    </xf>
    <xf numFmtId="1" fontId="2" fillId="0" borderId="4" xfId="0" applyNumberFormat="1" applyFont="1" applyBorder="1" applyAlignment="1">
      <alignment horizontal="left"/>
    </xf>
    <xf numFmtId="0" fontId="2" fillId="2" borderId="2" xfId="0" applyFont="1" applyFill="1" applyBorder="1"/>
    <xf numFmtId="0" fontId="2" fillId="3" borderId="3" xfId="0" applyFont="1" applyFill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left"/>
    </xf>
    <xf numFmtId="0" fontId="1" fillId="2" borderId="2" xfId="0" applyFont="1" applyFill="1" applyBorder="1"/>
    <xf numFmtId="0" fontId="5" fillId="2" borderId="2" xfId="0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6" fillId="0" borderId="9" xfId="0" applyFont="1" applyBorder="1" applyAlignment="1"/>
    <xf numFmtId="0" fontId="6" fillId="0" borderId="10" xfId="0" applyFont="1" applyBorder="1" applyAlignment="1"/>
    <xf numFmtId="2" fontId="6" fillId="0" borderId="11" xfId="0" applyNumberFormat="1" applyFont="1" applyBorder="1" applyAlignment="1"/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1" fontId="5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left"/>
    </xf>
    <xf numFmtId="9" fontId="2" fillId="0" borderId="2" xfId="0" applyNumberFormat="1" applyFont="1" applyBorder="1"/>
    <xf numFmtId="1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2" fillId="3" borderId="6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2" fontId="2" fillId="3" borderId="3" xfId="0" applyNumberFormat="1" applyFont="1" applyFill="1" applyBorder="1" applyAlignment="1">
      <alignment horizontal="left"/>
    </xf>
    <xf numFmtId="2" fontId="2" fillId="0" borderId="4" xfId="0" applyNumberFormat="1" applyFon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164" fontId="2" fillId="0" borderId="6" xfId="0" applyNumberFormat="1" applyFont="1" applyBorder="1" applyAlignment="1">
      <alignment horizontal="right"/>
    </xf>
    <xf numFmtId="1" fontId="2" fillId="0" borderId="12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left"/>
    </xf>
    <xf numFmtId="1" fontId="11" fillId="0" borderId="4" xfId="0" applyNumberFormat="1" applyFont="1" applyBorder="1" applyAlignment="1">
      <alignment horizontal="left" wrapText="1"/>
    </xf>
    <xf numFmtId="1" fontId="12" fillId="0" borderId="4" xfId="0" applyNumberFormat="1" applyFont="1" applyBorder="1" applyAlignment="1">
      <alignment horizontal="left" wrapText="1"/>
    </xf>
    <xf numFmtId="1" fontId="2" fillId="0" borderId="0" xfId="0" applyNumberFormat="1" applyFont="1" applyBorder="1"/>
    <xf numFmtId="165" fontId="2" fillId="0" borderId="4" xfId="0" applyNumberFormat="1" applyFont="1" applyBorder="1" applyAlignment="1">
      <alignment horizontal="left" wrapText="1"/>
    </xf>
    <xf numFmtId="1" fontId="11" fillId="0" borderId="6" xfId="0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left" wrapText="1"/>
    </xf>
    <xf numFmtId="1" fontId="2" fillId="4" borderId="4" xfId="0" applyNumberFormat="1" applyFont="1" applyFill="1" applyBorder="1" applyAlignment="1">
      <alignment horizontal="left" wrapText="1"/>
    </xf>
    <xf numFmtId="164" fontId="13" fillId="0" borderId="4" xfId="0" applyNumberFormat="1" applyFont="1" applyFill="1" applyBorder="1" applyAlignment="1">
      <alignment horizontal="left"/>
    </xf>
    <xf numFmtId="0" fontId="2" fillId="0" borderId="13" xfId="0" applyFont="1" applyBorder="1" applyAlignment="1">
      <alignment horizontal="left"/>
    </xf>
    <xf numFmtId="1" fontId="12" fillId="0" borderId="6" xfId="0" applyNumberFormat="1" applyFont="1" applyBorder="1" applyAlignment="1">
      <alignment horizontal="right"/>
    </xf>
    <xf numFmtId="0" fontId="15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2" fontId="2" fillId="0" borderId="16" xfId="0" applyNumberFormat="1" applyFont="1" applyBorder="1" applyAlignment="1">
      <alignment horizontal="left"/>
    </xf>
    <xf numFmtId="2" fontId="2" fillId="0" borderId="17" xfId="0" applyNumberFormat="1" applyFont="1" applyBorder="1" applyAlignment="1">
      <alignment horizontal="left"/>
    </xf>
    <xf numFmtId="164" fontId="1" fillId="0" borderId="6" xfId="0" applyNumberFormat="1" applyFont="1" applyBorder="1" applyAlignment="1">
      <alignment horizontal="right"/>
    </xf>
    <xf numFmtId="1" fontId="2" fillId="0" borderId="18" xfId="0" applyNumberFormat="1" applyFont="1" applyBorder="1" applyAlignment="1">
      <alignment horizontal="left"/>
    </xf>
    <xf numFmtId="0" fontId="2" fillId="0" borderId="19" xfId="0" applyFont="1" applyBorder="1" applyAlignment="1">
      <alignment horizontal="right"/>
    </xf>
    <xf numFmtId="2" fontId="2" fillId="0" borderId="20" xfId="0" applyNumberFormat="1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1" fontId="18" fillId="0" borderId="2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1" fontId="18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/>
    </xf>
    <xf numFmtId="0" fontId="18" fillId="3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8" fillId="0" borderId="2" xfId="0" applyNumberFormat="1" applyFont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164" fontId="20" fillId="0" borderId="2" xfId="1" applyNumberFormat="1" applyFont="1" applyBorder="1" applyAlignment="1" applyProtection="1">
      <alignment horizontal="center" vertical="center"/>
    </xf>
    <xf numFmtId="164" fontId="19" fillId="0" borderId="2" xfId="0" applyNumberFormat="1" applyFont="1" applyBorder="1" applyAlignment="1">
      <alignment horizontal="center" vertical="center"/>
    </xf>
    <xf numFmtId="1" fontId="19" fillId="3" borderId="2" xfId="0" applyNumberFormat="1" applyFont="1" applyFill="1" applyBorder="1" applyAlignment="1">
      <alignment horizontal="center" vertical="center"/>
    </xf>
    <xf numFmtId="1" fontId="19" fillId="0" borderId="2" xfId="0" applyNumberFormat="1" applyFont="1" applyBorder="1" applyAlignment="1">
      <alignment horizontal="center" vertical="center"/>
    </xf>
    <xf numFmtId="164" fontId="21" fillId="0" borderId="2" xfId="1" applyNumberFormat="1" applyFont="1" applyBorder="1" applyAlignment="1" applyProtection="1">
      <alignment horizontal="center" vertical="center"/>
    </xf>
    <xf numFmtId="2" fontId="2" fillId="0" borderId="2" xfId="0" applyNumberFormat="1" applyFont="1" applyBorder="1" applyAlignment="1">
      <alignment horizontal="center"/>
    </xf>
    <xf numFmtId="164" fontId="18" fillId="0" borderId="2" xfId="0" applyNumberFormat="1" applyFont="1" applyBorder="1" applyAlignment="1">
      <alignment horizontal="center" vertical="center"/>
    </xf>
    <xf numFmtId="164" fontId="19" fillId="3" borderId="2" xfId="0" applyNumberFormat="1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164" fontId="19" fillId="0" borderId="0" xfId="0" applyNumberFormat="1" applyFont="1" applyBorder="1" applyAlignment="1">
      <alignment horizontal="center" vertical="center"/>
    </xf>
    <xf numFmtId="1" fontId="19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6" fillId="0" borderId="3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center"/>
    </xf>
    <xf numFmtId="164" fontId="26" fillId="0" borderId="2" xfId="1" applyNumberFormat="1" applyFont="1" applyBorder="1" applyAlignment="1" applyProtection="1">
      <alignment horizontal="center" vertical="center"/>
    </xf>
    <xf numFmtId="1" fontId="18" fillId="3" borderId="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" fontId="27" fillId="0" borderId="2" xfId="0" applyNumberFormat="1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18" fillId="0" borderId="12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0" fontId="18" fillId="0" borderId="4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2" fillId="0" borderId="27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0" fontId="2" fillId="0" borderId="29" xfId="0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0" fontId="2" fillId="0" borderId="31" xfId="0" applyFont="1" applyBorder="1" applyAlignment="1">
      <alignment horizontal="left"/>
    </xf>
    <xf numFmtId="0" fontId="2" fillId="0" borderId="3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6" fillId="0" borderId="34" xfId="0" applyFont="1" applyBorder="1" applyAlignment="1">
      <alignment horizontal="left"/>
    </xf>
    <xf numFmtId="0" fontId="6" fillId="0" borderId="35" xfId="0" applyFont="1" applyBorder="1" applyAlignment="1">
      <alignment horizontal="left"/>
    </xf>
    <xf numFmtId="0" fontId="22" fillId="0" borderId="36" xfId="0" applyFont="1" applyBorder="1" applyAlignment="1">
      <alignment horizontal="left" wrapText="1"/>
    </xf>
    <xf numFmtId="0" fontId="22" fillId="0" borderId="36" xfId="0" applyFont="1" applyBorder="1" applyAlignment="1">
      <alignment horizontal="left"/>
    </xf>
    <xf numFmtId="0" fontId="22" fillId="0" borderId="6" xfId="0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4" fillId="0" borderId="5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39" xfId="0" applyFont="1" applyBorder="1" applyAlignment="1">
      <alignment horizontal="left"/>
    </xf>
    <xf numFmtId="0" fontId="8" fillId="0" borderId="33" xfId="0" applyFont="1" applyBorder="1" applyAlignment="1">
      <alignment horizontal="left"/>
    </xf>
    <xf numFmtId="0" fontId="8" fillId="0" borderId="34" xfId="0" applyFont="1" applyBorder="1" applyAlignment="1">
      <alignment horizontal="left"/>
    </xf>
    <xf numFmtId="0" fontId="8" fillId="0" borderId="35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9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39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3" fillId="0" borderId="13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3" fillId="0" borderId="9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39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39" xfId="0" applyFont="1" applyBorder="1" applyAlignment="1">
      <alignment horizontal="left"/>
    </xf>
    <xf numFmtId="2" fontId="2" fillId="0" borderId="4" xfId="0" applyNumberFormat="1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1">
    <pageSetUpPr fitToPage="1"/>
  </sheetPr>
  <dimension ref="A1:N71"/>
  <sheetViews>
    <sheetView tabSelected="1" view="pageBreakPreview" zoomScale="85" zoomScaleNormal="70" zoomScaleSheetLayoutView="85" workbookViewId="0">
      <selection activeCell="I19" sqref="I19"/>
    </sheetView>
  </sheetViews>
  <sheetFormatPr defaultColWidth="9.109375" defaultRowHeight="14.4" x14ac:dyDescent="0.3"/>
  <cols>
    <col min="1" max="1" width="7.88671875" style="91" customWidth="1"/>
    <col min="2" max="2" width="12.109375" style="91" customWidth="1"/>
    <col min="3" max="3" width="34" style="91" customWidth="1"/>
    <col min="4" max="4" width="7.5546875" style="91" customWidth="1"/>
    <col min="5" max="5" width="7.6640625" style="91" customWidth="1"/>
    <col min="6" max="6" width="7.88671875" style="91" customWidth="1"/>
    <col min="7" max="7" width="14.44140625" style="112" customWidth="1"/>
    <col min="8" max="8" width="14.6640625" style="91" customWidth="1"/>
    <col min="9" max="9" width="11.6640625" style="91" customWidth="1"/>
    <col min="10" max="10" width="12.6640625" style="91" customWidth="1"/>
    <col min="11" max="11" width="19.109375" style="112" customWidth="1"/>
    <col min="12" max="12" width="19.109375" style="100" customWidth="1"/>
    <col min="13" max="13" width="19.88671875" style="91" customWidth="1"/>
    <col min="14" max="14" width="10.33203125" style="91" customWidth="1"/>
    <col min="15" max="16384" width="9.109375" style="91"/>
  </cols>
  <sheetData>
    <row r="1" spans="1:14" ht="27.75" customHeight="1" x14ac:dyDescent="0.3">
      <c r="A1" s="143" t="s">
        <v>186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</row>
    <row r="2" spans="1:14" ht="43.2" x14ac:dyDescent="0.3">
      <c r="A2" s="111" t="s">
        <v>123</v>
      </c>
      <c r="B2" s="111" t="s">
        <v>145</v>
      </c>
      <c r="C2" s="111" t="s">
        <v>124</v>
      </c>
      <c r="D2" s="142" t="s">
        <v>125</v>
      </c>
      <c r="E2" s="142"/>
      <c r="F2" s="142"/>
      <c r="G2" s="96" t="s">
        <v>126</v>
      </c>
      <c r="H2" s="95" t="s">
        <v>127</v>
      </c>
      <c r="I2" s="96" t="s">
        <v>128</v>
      </c>
      <c r="J2" s="95" t="s">
        <v>144</v>
      </c>
      <c r="K2" s="96" t="s">
        <v>134</v>
      </c>
      <c r="L2" s="101" t="s">
        <v>136</v>
      </c>
      <c r="M2" s="95" t="s">
        <v>129</v>
      </c>
      <c r="N2" s="95" t="s">
        <v>135</v>
      </c>
    </row>
    <row r="3" spans="1:14" ht="18" customHeight="1" x14ac:dyDescent="0.3">
      <c r="A3" s="111"/>
      <c r="B3" s="111"/>
      <c r="C3" s="98"/>
      <c r="D3" s="111" t="s">
        <v>130</v>
      </c>
      <c r="E3" s="111" t="s">
        <v>131</v>
      </c>
      <c r="F3" s="92" t="s">
        <v>132</v>
      </c>
      <c r="G3" s="94" t="s">
        <v>133</v>
      </c>
      <c r="H3" s="93"/>
      <c r="I3" s="94"/>
      <c r="J3" s="94"/>
      <c r="K3" s="94"/>
      <c r="L3" s="109"/>
      <c r="M3" s="111"/>
      <c r="N3" s="119"/>
    </row>
    <row r="4" spans="1:14" ht="18" customHeight="1" x14ac:dyDescent="0.3">
      <c r="A4" s="111"/>
      <c r="B4" s="111"/>
      <c r="C4" s="132" t="s">
        <v>139</v>
      </c>
      <c r="D4" s="111"/>
      <c r="E4" s="111"/>
      <c r="F4" s="92"/>
      <c r="G4" s="94"/>
      <c r="H4" s="93"/>
      <c r="I4" s="94"/>
      <c r="J4" s="94"/>
      <c r="K4" s="94"/>
      <c r="L4" s="109"/>
      <c r="M4" s="111"/>
      <c r="N4" s="119"/>
    </row>
    <row r="5" spans="1:14" ht="19.2" customHeight="1" x14ac:dyDescent="0.3">
      <c r="A5" s="120">
        <v>1</v>
      </c>
      <c r="B5" s="139" t="s">
        <v>139</v>
      </c>
      <c r="C5" s="102" t="s">
        <v>146</v>
      </c>
      <c r="D5" s="103">
        <f t="shared" ref="D5:D16" ca="1" si="0">INDIRECT("'"&amp;C5&amp;"'!N7")</f>
        <v>20.335999999999999</v>
      </c>
      <c r="E5" s="104">
        <f t="shared" ref="E5:E24" ca="1" si="1">INDIRECT("'"&amp;C5&amp;"'!N8")</f>
        <v>9.84</v>
      </c>
      <c r="F5" s="104">
        <f t="shared" ref="F5:F24" ca="1" si="2">INDIRECT("'"&amp;C5&amp;"'!N10")</f>
        <v>11.479999999999999</v>
      </c>
      <c r="G5" s="105">
        <f t="shared" ref="G5:G24" ca="1" si="3">INDIRECT("'"&amp;C5&amp;"'!N9")</f>
        <v>200.10623999999999</v>
      </c>
      <c r="H5" s="104">
        <v>0.5</v>
      </c>
      <c r="I5" s="106">
        <v>5</v>
      </c>
      <c r="J5" s="106">
        <f ca="1">INDIRECT("'"&amp;C5&amp;"'!l11")</f>
        <v>0</v>
      </c>
      <c r="K5" s="106">
        <f t="shared" ref="K5:K38" ca="1" si="4">INDIRECT("'"&amp;C5&amp;"'!N32")</f>
        <v>552.4581135130768</v>
      </c>
      <c r="L5" s="110">
        <f t="shared" ref="L5:L38" ca="1" si="5">INDIRECT("'"&amp;C5&amp;"'!N31")</f>
        <v>1.2604204605818758</v>
      </c>
      <c r="M5" s="104">
        <f t="shared" ref="M5:M38" ca="1" si="6">INDIRECT("'"&amp;C5&amp;"'!N34")</f>
        <v>1.5</v>
      </c>
      <c r="N5" s="104">
        <f t="shared" ref="N5:N38" ca="1" si="7">INDIRECT("'"&amp;C5&amp;"'!N28")</f>
        <v>200.10623999999999</v>
      </c>
    </row>
    <row r="6" spans="1:14" ht="20.100000000000001" customHeight="1" x14ac:dyDescent="0.3">
      <c r="A6" s="120">
        <v>2</v>
      </c>
      <c r="B6" s="141"/>
      <c r="C6" s="99" t="s">
        <v>147</v>
      </c>
      <c r="D6" s="103">
        <f t="shared" ca="1" si="0"/>
        <v>20.335999999999999</v>
      </c>
      <c r="E6" s="104">
        <f t="shared" ca="1" si="1"/>
        <v>9.84</v>
      </c>
      <c r="F6" s="104">
        <f t="shared" ca="1" si="2"/>
        <v>11.479999999999999</v>
      </c>
      <c r="G6" s="105">
        <f t="shared" ca="1" si="3"/>
        <v>200.10623999999999</v>
      </c>
      <c r="H6" s="104">
        <v>1</v>
      </c>
      <c r="I6" s="106">
        <v>4</v>
      </c>
      <c r="J6" s="106">
        <f t="shared" ref="J6:J52" ca="1" si="8">INDIRECT("'"&amp;C6&amp;"'!l11")</f>
        <v>0</v>
      </c>
      <c r="K6" s="106">
        <f t="shared" ca="1" si="4"/>
        <v>640.21116919880001</v>
      </c>
      <c r="L6" s="110">
        <f t="shared" ca="1" si="5"/>
        <v>1.3348835249152091</v>
      </c>
      <c r="M6" s="104">
        <f t="shared" ca="1" si="6"/>
        <v>1.5</v>
      </c>
      <c r="N6" s="104">
        <f t="shared" ca="1" si="7"/>
        <v>200.10623999999999</v>
      </c>
    </row>
    <row r="7" spans="1:14" s="128" customFormat="1" ht="19.5" customHeight="1" x14ac:dyDescent="0.3">
      <c r="A7" s="125"/>
      <c r="B7" s="95"/>
      <c r="C7" s="98" t="s">
        <v>80</v>
      </c>
      <c r="D7" s="126"/>
      <c r="E7" s="109"/>
      <c r="F7" s="109"/>
      <c r="G7" s="127">
        <f ca="1">SUM(G5:G6)</f>
        <v>400.21247999999997</v>
      </c>
      <c r="H7" s="127">
        <f t="shared" ref="H7:M7" si="9">SUM(H5:H6)</f>
        <v>1.5</v>
      </c>
      <c r="I7" s="127">
        <f t="shared" si="9"/>
        <v>9</v>
      </c>
      <c r="J7" s="127">
        <f t="shared" ca="1" si="9"/>
        <v>0</v>
      </c>
      <c r="K7" s="127">
        <f t="shared" ca="1" si="9"/>
        <v>1192.6692827118768</v>
      </c>
      <c r="L7" s="127">
        <f t="shared" ca="1" si="9"/>
        <v>2.5953039854970852</v>
      </c>
      <c r="M7" s="127">
        <f t="shared" ca="1" si="9"/>
        <v>3</v>
      </c>
      <c r="N7" s="109"/>
    </row>
    <row r="8" spans="1:14" ht="18" customHeight="1" x14ac:dyDescent="0.3">
      <c r="A8" s="121"/>
      <c r="B8" s="121"/>
      <c r="C8" s="133" t="s">
        <v>140</v>
      </c>
      <c r="D8" s="121"/>
      <c r="E8" s="121"/>
      <c r="F8" s="92"/>
      <c r="G8" s="94"/>
      <c r="H8" s="93"/>
      <c r="I8" s="94"/>
      <c r="J8" s="94"/>
      <c r="K8" s="94"/>
      <c r="L8" s="109"/>
      <c r="M8" s="121"/>
      <c r="N8" s="119"/>
    </row>
    <row r="9" spans="1:14" ht="20.100000000000001" customHeight="1" x14ac:dyDescent="0.3">
      <c r="A9" s="120">
        <v>3</v>
      </c>
      <c r="B9" s="139" t="s">
        <v>140</v>
      </c>
      <c r="C9" s="99" t="s">
        <v>148</v>
      </c>
      <c r="D9" s="103">
        <f ca="1">INDIRECT("'"&amp;C9&amp;"'!N7")</f>
        <v>19.68</v>
      </c>
      <c r="E9" s="104">
        <f t="shared" ca="1" si="1"/>
        <v>23.616</v>
      </c>
      <c r="F9" s="104">
        <f t="shared" ca="1" si="2"/>
        <v>11.479999999999999</v>
      </c>
      <c r="G9" s="105">
        <f t="shared" ca="1" si="3"/>
        <v>464.76288</v>
      </c>
      <c r="H9" s="104">
        <v>0.5</v>
      </c>
      <c r="I9" s="106">
        <v>6</v>
      </c>
      <c r="J9" s="106">
        <f t="shared" ca="1" si="8"/>
        <v>0</v>
      </c>
      <c r="K9" s="106">
        <f t="shared" ca="1" si="4"/>
        <v>655.71174881172089</v>
      </c>
      <c r="L9" s="110">
        <f t="shared" ca="1" si="5"/>
        <v>1.6245765008417763</v>
      </c>
      <c r="M9" s="104">
        <f t="shared" ca="1" si="6"/>
        <v>1.5</v>
      </c>
      <c r="N9" s="104">
        <f t="shared" ca="1" si="7"/>
        <v>464.76288</v>
      </c>
    </row>
    <row r="10" spans="1:14" ht="19.5" customHeight="1" x14ac:dyDescent="0.3">
      <c r="A10" s="120">
        <v>4</v>
      </c>
      <c r="B10" s="140"/>
      <c r="C10" s="99" t="s">
        <v>138</v>
      </c>
      <c r="D10" s="103">
        <f t="shared" ca="1" si="0"/>
        <v>30.504000000000001</v>
      </c>
      <c r="E10" s="104">
        <f t="shared" ca="1" si="1"/>
        <v>19.68</v>
      </c>
      <c r="F10" s="104">
        <f t="shared" ca="1" si="2"/>
        <v>11.479999999999999</v>
      </c>
      <c r="G10" s="105">
        <f t="shared" ca="1" si="3"/>
        <v>600.31871999999998</v>
      </c>
      <c r="H10" s="104">
        <v>0.5</v>
      </c>
      <c r="I10" s="106">
        <v>6</v>
      </c>
      <c r="J10" s="106">
        <f t="shared" ca="1" si="8"/>
        <v>0</v>
      </c>
      <c r="K10" s="106">
        <f t="shared" ca="1" si="4"/>
        <v>747.12712794941547</v>
      </c>
      <c r="L10" s="110">
        <f t="shared" ca="1" si="5"/>
        <v>1.976478240545628</v>
      </c>
      <c r="M10" s="104">
        <f t="shared" ca="1" si="6"/>
        <v>2</v>
      </c>
      <c r="N10" s="104">
        <f t="shared" ca="1" si="7"/>
        <v>600.31871999999998</v>
      </c>
    </row>
    <row r="11" spans="1:14" ht="19.5" customHeight="1" x14ac:dyDescent="0.3">
      <c r="A11" s="120">
        <v>5</v>
      </c>
      <c r="B11" s="140"/>
      <c r="C11" s="99" t="s">
        <v>149</v>
      </c>
      <c r="D11" s="103">
        <f t="shared" ref="D11" ca="1" si="10">INDIRECT("'"&amp;C11&amp;"'!N7")</f>
        <v>67.567999999999998</v>
      </c>
      <c r="E11" s="104">
        <f t="shared" ref="E11" ca="1" si="11">INDIRECT("'"&amp;C11&amp;"'!N8")</f>
        <v>38.704000000000001</v>
      </c>
      <c r="F11" s="104">
        <f t="shared" ref="F11" ca="1" si="12">INDIRECT("'"&amp;C11&amp;"'!N10")</f>
        <v>11.479999999999999</v>
      </c>
      <c r="G11" s="105">
        <f t="shared" ref="G11" ca="1" si="13">INDIRECT("'"&amp;C11&amp;"'!N9")</f>
        <v>2615.1518719999999</v>
      </c>
      <c r="H11" s="104">
        <v>10</v>
      </c>
      <c r="I11" s="106">
        <v>5</v>
      </c>
      <c r="J11" s="106">
        <f t="shared" ca="1" si="8"/>
        <v>0</v>
      </c>
      <c r="K11" s="106">
        <f t="shared" ca="1" si="4"/>
        <v>3854.5294394209936</v>
      </c>
      <c r="L11" s="110">
        <f t="shared" ca="1" si="5"/>
        <v>7.6584294509152553</v>
      </c>
      <c r="M11" s="104">
        <f t="shared" ca="1" si="6"/>
        <v>8</v>
      </c>
      <c r="N11" s="104">
        <f t="shared" ca="1" si="7"/>
        <v>2615.1518719999999</v>
      </c>
    </row>
    <row r="12" spans="1:14" customFormat="1" ht="20.100000000000001" customHeight="1" x14ac:dyDescent="0.3">
      <c r="A12" s="120">
        <v>6</v>
      </c>
      <c r="B12" s="140"/>
      <c r="C12" s="99" t="s">
        <v>141</v>
      </c>
      <c r="D12" s="103">
        <f t="shared" ca="1" si="0"/>
        <v>10.823999999999998</v>
      </c>
      <c r="E12" s="104">
        <f t="shared" ca="1" si="1"/>
        <v>9.5119999999999987</v>
      </c>
      <c r="F12" s="104">
        <f t="shared" ca="1" si="2"/>
        <v>11.479999999999999</v>
      </c>
      <c r="G12" s="105">
        <f t="shared" ca="1" si="3"/>
        <v>102.95788799999997</v>
      </c>
      <c r="H12" s="104">
        <v>0.5</v>
      </c>
      <c r="I12" s="106">
        <v>2</v>
      </c>
      <c r="J12" s="106">
        <f t="shared" ca="1" si="8"/>
        <v>0</v>
      </c>
      <c r="K12" s="106">
        <f t="shared" ca="1" si="4"/>
        <v>411.86223636192784</v>
      </c>
      <c r="L12" s="110">
        <f t="shared" ca="1" si="5"/>
        <v>0.85571811931411568</v>
      </c>
      <c r="M12" s="104">
        <f t="shared" ca="1" si="6"/>
        <v>1</v>
      </c>
      <c r="N12" s="104">
        <f t="shared" ca="1" si="7"/>
        <v>102.95788799999997</v>
      </c>
    </row>
    <row r="13" spans="1:14" ht="18" customHeight="1" x14ac:dyDescent="0.3">
      <c r="A13" s="120">
        <v>7</v>
      </c>
      <c r="B13" s="140"/>
      <c r="C13" s="99" t="s">
        <v>150</v>
      </c>
      <c r="D13" s="103">
        <f t="shared" ca="1" si="0"/>
        <v>45.591999999999999</v>
      </c>
      <c r="E13" s="104">
        <f t="shared" ca="1" si="1"/>
        <v>38.704000000000001</v>
      </c>
      <c r="F13" s="104">
        <f t="shared" ca="1" si="2"/>
        <v>11.479999999999999</v>
      </c>
      <c r="G13" s="105">
        <f t="shared" ca="1" si="3"/>
        <v>1764.592768</v>
      </c>
      <c r="H13" s="104">
        <v>10</v>
      </c>
      <c r="I13" s="106">
        <v>20</v>
      </c>
      <c r="J13" s="106">
        <f t="shared" ca="1" si="8"/>
        <v>0</v>
      </c>
      <c r="K13" s="106">
        <f t="shared" ca="1" si="4"/>
        <v>3636.1167049238816</v>
      </c>
      <c r="L13" s="110">
        <f t="shared" ca="1" si="5"/>
        <v>8.2189120759087082</v>
      </c>
      <c r="M13" s="104">
        <f t="shared" ca="1" si="6"/>
        <v>8.5</v>
      </c>
      <c r="N13" s="104">
        <f t="shared" ca="1" si="7"/>
        <v>1764.592768</v>
      </c>
    </row>
    <row r="14" spans="1:14" ht="28.8" x14ac:dyDescent="0.3">
      <c r="A14" s="120">
        <v>8</v>
      </c>
      <c r="B14" s="140"/>
      <c r="C14" s="102" t="s">
        <v>151</v>
      </c>
      <c r="D14" s="103">
        <f t="shared" ca="1" si="0"/>
        <v>19.68</v>
      </c>
      <c r="E14" s="104">
        <f t="shared" ca="1" si="1"/>
        <v>11.479999999999999</v>
      </c>
      <c r="F14" s="104">
        <f t="shared" ca="1" si="2"/>
        <v>11.479999999999999</v>
      </c>
      <c r="G14" s="105">
        <f t="shared" ca="1" si="3"/>
        <v>225.92639999999997</v>
      </c>
      <c r="H14" s="104">
        <v>1</v>
      </c>
      <c r="I14" s="106">
        <v>6</v>
      </c>
      <c r="J14" s="106">
        <f t="shared" ca="1" si="8"/>
        <v>0</v>
      </c>
      <c r="K14" s="106">
        <f t="shared" ca="1" si="4"/>
        <v>615.6856518118085</v>
      </c>
      <c r="L14" s="110">
        <f t="shared" ca="1" si="5"/>
        <v>1.569199422906419</v>
      </c>
      <c r="M14" s="104">
        <f t="shared" ca="1" si="6"/>
        <v>1.5</v>
      </c>
      <c r="N14" s="104">
        <f t="shared" ca="1" si="7"/>
        <v>225.92639999999997</v>
      </c>
    </row>
    <row r="15" spans="1:14" ht="29.4" customHeight="1" x14ac:dyDescent="0.3">
      <c r="A15" s="120">
        <v>9</v>
      </c>
      <c r="B15" s="140"/>
      <c r="C15" s="102" t="s">
        <v>152</v>
      </c>
      <c r="D15" s="103">
        <f t="shared" ca="1" si="0"/>
        <v>20.992000000000001</v>
      </c>
      <c r="E15" s="104">
        <f t="shared" ca="1" si="1"/>
        <v>19.68</v>
      </c>
      <c r="F15" s="104">
        <f t="shared" ca="1" si="2"/>
        <v>11.479999999999999</v>
      </c>
      <c r="G15" s="105">
        <f t="shared" ca="1" si="3"/>
        <v>413.12256000000002</v>
      </c>
      <c r="H15" s="104">
        <v>1</v>
      </c>
      <c r="I15" s="106">
        <v>8</v>
      </c>
      <c r="J15" s="106">
        <f t="shared" ca="1" si="8"/>
        <v>0</v>
      </c>
      <c r="K15" s="106">
        <f t="shared" ca="1" si="4"/>
        <v>687.1441880686782</v>
      </c>
      <c r="L15" s="110">
        <f t="shared" ca="1" si="5"/>
        <v>1.765287093219357</v>
      </c>
      <c r="M15" s="104">
        <f t="shared" ca="1" si="6"/>
        <v>2</v>
      </c>
      <c r="N15" s="104">
        <f t="shared" ca="1" si="7"/>
        <v>413.12256000000002</v>
      </c>
    </row>
    <row r="16" spans="1:14" ht="30.6" customHeight="1" x14ac:dyDescent="0.3">
      <c r="A16" s="120">
        <v>10</v>
      </c>
      <c r="B16" s="141"/>
      <c r="C16" s="102" t="s">
        <v>153</v>
      </c>
      <c r="D16" s="103">
        <f t="shared" ca="1" si="0"/>
        <v>19.023999999999997</v>
      </c>
      <c r="E16" s="104">
        <f t="shared" ca="1" si="1"/>
        <v>11.479999999999999</v>
      </c>
      <c r="F16" s="104">
        <f t="shared" ca="1" si="2"/>
        <v>11.479999999999999</v>
      </c>
      <c r="G16" s="105">
        <f t="shared" ca="1" si="3"/>
        <v>218.39551999999995</v>
      </c>
      <c r="H16" s="104">
        <v>1</v>
      </c>
      <c r="I16" s="106">
        <v>4</v>
      </c>
      <c r="J16" s="106">
        <f t="shared" ca="1" si="8"/>
        <v>0</v>
      </c>
      <c r="K16" s="106">
        <f t="shared" ca="1" si="4"/>
        <v>703.03456592511043</v>
      </c>
      <c r="L16" s="110">
        <f t="shared" ca="1" si="5"/>
        <v>1.4414404965762051</v>
      </c>
      <c r="M16" s="104">
        <f t="shared" ca="1" si="6"/>
        <v>1.5</v>
      </c>
      <c r="N16" s="104">
        <f t="shared" ca="1" si="7"/>
        <v>218.39551999999995</v>
      </c>
    </row>
    <row r="17" spans="1:14" s="128" customFormat="1" ht="19.5" customHeight="1" x14ac:dyDescent="0.3">
      <c r="A17" s="125"/>
      <c r="B17" s="95"/>
      <c r="C17" s="98" t="s">
        <v>80</v>
      </c>
      <c r="D17" s="126"/>
      <c r="E17" s="109"/>
      <c r="F17" s="109"/>
      <c r="G17" s="127">
        <f ca="1">SUM(G9:G16)</f>
        <v>6405.2286079999994</v>
      </c>
      <c r="H17" s="127">
        <f t="shared" ref="H17:N17" si="14">SUM(H9:H16)</f>
        <v>24.5</v>
      </c>
      <c r="I17" s="127">
        <f t="shared" si="14"/>
        <v>57</v>
      </c>
      <c r="J17" s="127">
        <f t="shared" ca="1" si="14"/>
        <v>0</v>
      </c>
      <c r="K17" s="127">
        <f t="shared" ca="1" si="14"/>
        <v>11311.211663273538</v>
      </c>
      <c r="L17" s="127">
        <f t="shared" ca="1" si="14"/>
        <v>25.110041400227463</v>
      </c>
      <c r="M17" s="127">
        <f t="shared" ca="1" si="14"/>
        <v>26</v>
      </c>
      <c r="N17" s="127">
        <f t="shared" ca="1" si="14"/>
        <v>6405.2286079999994</v>
      </c>
    </row>
    <row r="18" spans="1:14" ht="18" customHeight="1" x14ac:dyDescent="0.3">
      <c r="A18" s="121"/>
      <c r="B18" s="121"/>
      <c r="C18" s="134" t="s">
        <v>143</v>
      </c>
      <c r="D18" s="121"/>
      <c r="E18" s="121"/>
      <c r="F18" s="92"/>
      <c r="G18" s="94"/>
      <c r="H18" s="93"/>
      <c r="I18" s="94"/>
      <c r="J18" s="94"/>
      <c r="K18" s="94"/>
      <c r="L18" s="109"/>
      <c r="M18" s="121"/>
      <c r="N18" s="119"/>
    </row>
    <row r="19" spans="1:14" ht="25.8" customHeight="1" x14ac:dyDescent="0.3">
      <c r="A19" s="120">
        <v>11</v>
      </c>
      <c r="B19" s="139" t="s">
        <v>143</v>
      </c>
      <c r="C19" s="102" t="s">
        <v>154</v>
      </c>
      <c r="D19" s="103">
        <f t="shared" ref="D19:D24" ca="1" si="15">INDIRECT("'"&amp;C19&amp;"'!N7")</f>
        <v>34.767999999999994</v>
      </c>
      <c r="E19" s="104">
        <f t="shared" ca="1" si="1"/>
        <v>19.68</v>
      </c>
      <c r="F19" s="104">
        <f t="shared" ca="1" si="2"/>
        <v>11.479999999999999</v>
      </c>
      <c r="G19" s="105">
        <f t="shared" ca="1" si="3"/>
        <v>684.23423999999989</v>
      </c>
      <c r="H19" s="104">
        <v>1</v>
      </c>
      <c r="I19" s="106">
        <v>3</v>
      </c>
      <c r="J19" s="106">
        <f t="shared" ca="1" si="8"/>
        <v>2</v>
      </c>
      <c r="K19" s="106">
        <f t="shared" ca="1" si="4"/>
        <v>1204.2986951833545</v>
      </c>
      <c r="L19" s="110">
        <f t="shared" ca="1" si="5"/>
        <v>3.7353163954136663</v>
      </c>
      <c r="M19" s="104">
        <f t="shared" ca="1" si="6"/>
        <v>4</v>
      </c>
      <c r="N19" s="104">
        <f t="shared" ca="1" si="7"/>
        <v>684.23423999999989</v>
      </c>
    </row>
    <row r="20" spans="1:14" ht="20.100000000000001" customHeight="1" x14ac:dyDescent="0.3">
      <c r="A20" s="120">
        <v>12</v>
      </c>
      <c r="B20" s="140"/>
      <c r="C20" s="102" t="s">
        <v>155</v>
      </c>
      <c r="D20" s="103">
        <f t="shared" ca="1" si="15"/>
        <v>34.767999999999994</v>
      </c>
      <c r="E20" s="104">
        <f t="shared" ca="1" si="1"/>
        <v>19.023999999999997</v>
      </c>
      <c r="F20" s="104">
        <f t="shared" ca="1" si="2"/>
        <v>11.479999999999999</v>
      </c>
      <c r="G20" s="105">
        <f t="shared" ca="1" si="3"/>
        <v>661.42643199999975</v>
      </c>
      <c r="H20" s="104">
        <v>1</v>
      </c>
      <c r="I20" s="106">
        <v>3</v>
      </c>
      <c r="J20" s="106">
        <f t="shared" ca="1" si="8"/>
        <v>2</v>
      </c>
      <c r="K20" s="106">
        <f t="shared" ca="1" si="4"/>
        <v>748.2552298518757</v>
      </c>
      <c r="L20" s="110">
        <f t="shared" ca="1" si="5"/>
        <v>2.9732502139265442</v>
      </c>
      <c r="M20" s="104">
        <f t="shared" ca="1" si="6"/>
        <v>3</v>
      </c>
      <c r="N20" s="104">
        <f t="shared" ca="1" si="7"/>
        <v>661.42643199999975</v>
      </c>
    </row>
    <row r="21" spans="1:14" ht="20.100000000000001" customHeight="1" x14ac:dyDescent="0.3">
      <c r="A21" s="120">
        <v>13</v>
      </c>
      <c r="B21" s="140"/>
      <c r="C21" s="102" t="s">
        <v>156</v>
      </c>
      <c r="D21" s="103">
        <f t="shared" ca="1" si="15"/>
        <v>34.767999999999994</v>
      </c>
      <c r="E21" s="104">
        <f t="shared" ca="1" si="1"/>
        <v>19.187999999999999</v>
      </c>
      <c r="F21" s="104">
        <f t="shared" ca="1" si="2"/>
        <v>11.479999999999999</v>
      </c>
      <c r="G21" s="105">
        <f t="shared" ca="1" si="3"/>
        <v>667.12838399999987</v>
      </c>
      <c r="H21" s="104">
        <v>1</v>
      </c>
      <c r="I21" s="106">
        <v>3</v>
      </c>
      <c r="J21" s="106">
        <f t="shared" ca="1" si="8"/>
        <v>2</v>
      </c>
      <c r="K21" s="106">
        <f t="shared" ca="1" si="4"/>
        <v>1042.5875867345735</v>
      </c>
      <c r="L21" s="110">
        <f t="shared" ca="1" si="5"/>
        <v>3.4408271230983254</v>
      </c>
      <c r="M21" s="104">
        <f t="shared" ca="1" si="6"/>
        <v>3.5</v>
      </c>
      <c r="N21" s="104">
        <f t="shared" ca="1" si="7"/>
        <v>667.12838399999987</v>
      </c>
    </row>
    <row r="22" spans="1:14" ht="20.100000000000001" customHeight="1" x14ac:dyDescent="0.3">
      <c r="A22" s="120">
        <v>14</v>
      </c>
      <c r="B22" s="140"/>
      <c r="C22" s="102" t="s">
        <v>157</v>
      </c>
      <c r="D22" s="103">
        <f t="shared" ca="1" si="15"/>
        <v>34.767999999999994</v>
      </c>
      <c r="E22" s="104">
        <f t="shared" ca="1" si="1"/>
        <v>19.352</v>
      </c>
      <c r="F22" s="104">
        <f t="shared" ca="1" si="2"/>
        <v>11.479999999999999</v>
      </c>
      <c r="G22" s="105">
        <f t="shared" ca="1" si="3"/>
        <v>672.83033599999987</v>
      </c>
      <c r="H22" s="104">
        <v>1</v>
      </c>
      <c r="I22" s="106">
        <v>3</v>
      </c>
      <c r="J22" s="106">
        <f t="shared" ca="1" si="8"/>
        <v>2</v>
      </c>
      <c r="K22" s="106">
        <f t="shared" ca="1" si="4"/>
        <v>917.13868932173898</v>
      </c>
      <c r="L22" s="110">
        <f t="shared" ca="1" si="5"/>
        <v>3.2634185306701062</v>
      </c>
      <c r="M22" s="104">
        <f t="shared" ca="1" si="6"/>
        <v>3</v>
      </c>
      <c r="N22" s="104">
        <f t="shared" ca="1" si="7"/>
        <v>672.83033599999987</v>
      </c>
    </row>
    <row r="23" spans="1:14" ht="20.100000000000001" customHeight="1" x14ac:dyDescent="0.3">
      <c r="A23" s="120">
        <v>15</v>
      </c>
      <c r="B23" s="140"/>
      <c r="C23" s="102" t="s">
        <v>158</v>
      </c>
      <c r="D23" s="107">
        <f t="shared" ca="1" si="15"/>
        <v>34.767999999999994</v>
      </c>
      <c r="E23" s="104">
        <f t="shared" ca="1" si="1"/>
        <v>19.352</v>
      </c>
      <c r="F23" s="104">
        <f t="shared" ca="1" si="2"/>
        <v>11.479999999999999</v>
      </c>
      <c r="G23" s="105">
        <f t="shared" ca="1" si="3"/>
        <v>672.83033599999987</v>
      </c>
      <c r="H23" s="104">
        <v>1</v>
      </c>
      <c r="I23" s="106">
        <v>3</v>
      </c>
      <c r="J23" s="106">
        <f t="shared" ca="1" si="8"/>
        <v>2</v>
      </c>
      <c r="K23" s="106">
        <f t="shared" ca="1" si="4"/>
        <v>993.82905014648111</v>
      </c>
      <c r="L23" s="110">
        <f t="shared" ca="1" si="5"/>
        <v>3.381251736270106</v>
      </c>
      <c r="M23" s="104">
        <f t="shared" ca="1" si="6"/>
        <v>3.5</v>
      </c>
      <c r="N23" s="104">
        <f t="shared" ca="1" si="7"/>
        <v>672.83033599999987</v>
      </c>
    </row>
    <row r="24" spans="1:14" x14ac:dyDescent="0.3">
      <c r="A24" s="120">
        <v>16</v>
      </c>
      <c r="B24" s="140"/>
      <c r="C24" s="102" t="s">
        <v>159</v>
      </c>
      <c r="D24" s="104">
        <f t="shared" ca="1" si="15"/>
        <v>34.767999999999994</v>
      </c>
      <c r="E24" s="104">
        <f t="shared" ca="1" si="1"/>
        <v>19.352</v>
      </c>
      <c r="F24" s="104">
        <f t="shared" ca="1" si="2"/>
        <v>11.479999999999999</v>
      </c>
      <c r="G24" s="106">
        <f t="shared" ca="1" si="3"/>
        <v>672.83033599999987</v>
      </c>
      <c r="H24" s="104">
        <v>1</v>
      </c>
      <c r="I24" s="106">
        <v>3</v>
      </c>
      <c r="J24" s="106">
        <f t="shared" ca="1" si="8"/>
        <v>2</v>
      </c>
      <c r="K24" s="106">
        <f t="shared" ca="1" si="4"/>
        <v>1272.436026091498</v>
      </c>
      <c r="L24" s="104">
        <f t="shared" ca="1" si="5"/>
        <v>3.8093257826701059</v>
      </c>
      <c r="M24" s="104">
        <f t="shared" ca="1" si="6"/>
        <v>4</v>
      </c>
      <c r="N24" s="104">
        <f t="shared" ca="1" si="7"/>
        <v>672.83033599999987</v>
      </c>
    </row>
    <row r="25" spans="1:14" x14ac:dyDescent="0.3">
      <c r="A25" s="120">
        <v>17</v>
      </c>
      <c r="B25" s="140"/>
      <c r="C25" s="102" t="s">
        <v>160</v>
      </c>
      <c r="D25" s="107">
        <f t="shared" ref="D25:D52" ca="1" si="16">INDIRECT("'"&amp;C25&amp;"'!N7")</f>
        <v>30.175999999999995</v>
      </c>
      <c r="E25" s="104">
        <f t="shared" ref="E25:E52" ca="1" si="17">INDIRECT("'"&amp;C25&amp;"'!N8")</f>
        <v>19.352</v>
      </c>
      <c r="F25" s="104">
        <f t="shared" ref="F25:F52" ca="1" si="18">INDIRECT("'"&amp;C25&amp;"'!N10")</f>
        <v>11.479999999999999</v>
      </c>
      <c r="G25" s="105">
        <f t="shared" ref="G25:G52" ca="1" si="19">INDIRECT("'"&amp;C25&amp;"'!N9")</f>
        <v>583.9659519999999</v>
      </c>
      <c r="H25" s="104">
        <v>1</v>
      </c>
      <c r="I25" s="106">
        <v>3</v>
      </c>
      <c r="J25" s="106">
        <f t="shared" ca="1" si="8"/>
        <v>2</v>
      </c>
      <c r="K25" s="106">
        <f t="shared" ca="1" si="4"/>
        <v>1077.4261934101889</v>
      </c>
      <c r="L25" s="110">
        <f t="shared" ca="1" si="5"/>
        <v>3.2706070194593377</v>
      </c>
      <c r="M25" s="104">
        <f t="shared" ca="1" si="6"/>
        <v>3</v>
      </c>
      <c r="N25" s="104">
        <f t="shared" ca="1" si="7"/>
        <v>583.9659519999999</v>
      </c>
    </row>
    <row r="26" spans="1:14" x14ac:dyDescent="0.3">
      <c r="A26" s="120">
        <v>17</v>
      </c>
      <c r="B26" s="140"/>
      <c r="C26" s="102" t="s">
        <v>179</v>
      </c>
      <c r="D26" s="107">
        <f t="shared" ref="D26" ca="1" si="20">INDIRECT("'"&amp;C26&amp;"'!N7")</f>
        <v>30.175999999999995</v>
      </c>
      <c r="E26" s="104">
        <f t="shared" ref="E26" ca="1" si="21">INDIRECT("'"&amp;C26&amp;"'!N8")</f>
        <v>19.352</v>
      </c>
      <c r="F26" s="104">
        <f t="shared" ref="F26" ca="1" si="22">INDIRECT("'"&amp;C26&amp;"'!N10")</f>
        <v>11.479999999999999</v>
      </c>
      <c r="G26" s="105">
        <f t="shared" ref="G26" ca="1" si="23">INDIRECT("'"&amp;C26&amp;"'!N9")</f>
        <v>583.9659519999999</v>
      </c>
      <c r="H26" s="104">
        <v>1</v>
      </c>
      <c r="I26" s="106">
        <v>3</v>
      </c>
      <c r="J26" s="106">
        <f t="shared" ref="J26" ca="1" si="24">INDIRECT("'"&amp;C26&amp;"'!l11")</f>
        <v>2</v>
      </c>
      <c r="K26" s="106">
        <f t="shared" ref="K26" ca="1" si="25">INDIRECT("'"&amp;C26&amp;"'!N32")</f>
        <v>917.17322402562149</v>
      </c>
      <c r="L26" s="110">
        <f t="shared" ref="L26" ca="1" si="26">INDIRECT("'"&amp;C26&amp;"'!N31")</f>
        <v>3.0243815370593379</v>
      </c>
      <c r="M26" s="104">
        <f t="shared" ref="M26" ca="1" si="27">INDIRECT("'"&amp;C26&amp;"'!N34")</f>
        <v>3</v>
      </c>
      <c r="N26" s="104">
        <f t="shared" ref="N26" ca="1" si="28">INDIRECT("'"&amp;C26&amp;"'!N28")</f>
        <v>583.9659519999999</v>
      </c>
    </row>
    <row r="27" spans="1:14" x14ac:dyDescent="0.3">
      <c r="A27" s="120">
        <v>18</v>
      </c>
      <c r="B27" s="140"/>
      <c r="C27" s="102" t="s">
        <v>180</v>
      </c>
      <c r="D27" s="107">
        <f t="shared" ref="D27:D32" ca="1" si="29">INDIRECT("'"&amp;C27&amp;"'!N7")</f>
        <v>30.175999999999995</v>
      </c>
      <c r="E27" s="104">
        <f t="shared" ref="E27:E32" ca="1" si="30">INDIRECT("'"&amp;C27&amp;"'!N8")</f>
        <v>19.352</v>
      </c>
      <c r="F27" s="104">
        <f t="shared" ref="F27:F32" ca="1" si="31">INDIRECT("'"&amp;C27&amp;"'!N10")</f>
        <v>11.479999999999999</v>
      </c>
      <c r="G27" s="105">
        <f t="shared" ref="G27:G32" ca="1" si="32">INDIRECT("'"&amp;C27&amp;"'!N9")</f>
        <v>583.9659519999999</v>
      </c>
      <c r="H27" s="104">
        <v>1</v>
      </c>
      <c r="I27" s="106">
        <v>3</v>
      </c>
      <c r="J27" s="106">
        <f t="shared" ref="J27:J32" ca="1" si="33">INDIRECT("'"&amp;C27&amp;"'!l11")</f>
        <v>2</v>
      </c>
      <c r="K27" s="106">
        <f t="shared" ref="K27:K32" ca="1" si="34">INDIRECT("'"&amp;C27&amp;"'!N32")</f>
        <v>956.52127932084159</v>
      </c>
      <c r="L27" s="110">
        <f t="shared" ref="L27:L32" ca="1" si="35">INDIRECT("'"&amp;C27&amp;"'!N31")</f>
        <v>3.084839037059337</v>
      </c>
      <c r="M27" s="104">
        <f t="shared" ref="M27:M32" ca="1" si="36">INDIRECT("'"&amp;C27&amp;"'!N34")</f>
        <v>3</v>
      </c>
      <c r="N27" s="104">
        <f t="shared" ref="N27:N32" ca="1" si="37">INDIRECT("'"&amp;C27&amp;"'!N28")</f>
        <v>583.9659519999999</v>
      </c>
    </row>
    <row r="28" spans="1:14" x14ac:dyDescent="0.3">
      <c r="A28" s="120">
        <v>19</v>
      </c>
      <c r="B28" s="140"/>
      <c r="C28" s="102" t="s">
        <v>181</v>
      </c>
      <c r="D28" s="107">
        <f t="shared" ca="1" si="29"/>
        <v>30.175999999999995</v>
      </c>
      <c r="E28" s="104">
        <f t="shared" ca="1" si="30"/>
        <v>18.367999999999999</v>
      </c>
      <c r="F28" s="104">
        <f t="shared" ca="1" si="31"/>
        <v>11.479999999999999</v>
      </c>
      <c r="G28" s="105">
        <f t="shared" ca="1" si="32"/>
        <v>554.27276799999981</v>
      </c>
      <c r="H28" s="104">
        <v>1</v>
      </c>
      <c r="I28" s="106">
        <v>3</v>
      </c>
      <c r="J28" s="106">
        <f t="shared" ca="1" si="33"/>
        <v>2</v>
      </c>
      <c r="K28" s="106">
        <f t="shared" ca="1" si="34"/>
        <v>891.50843962128772</v>
      </c>
      <c r="L28" s="110">
        <f t="shared" ca="1" si="35"/>
        <v>2.9050584537715745</v>
      </c>
      <c r="M28" s="104">
        <f t="shared" ca="1" si="36"/>
        <v>3</v>
      </c>
      <c r="N28" s="104">
        <f t="shared" ca="1" si="37"/>
        <v>554.27276799999981</v>
      </c>
    </row>
    <row r="29" spans="1:14" x14ac:dyDescent="0.3">
      <c r="A29" s="120">
        <v>20</v>
      </c>
      <c r="B29" s="140"/>
      <c r="C29" s="102" t="s">
        <v>182</v>
      </c>
      <c r="D29" s="107">
        <f t="shared" ca="1" si="29"/>
        <v>30.175999999999995</v>
      </c>
      <c r="E29" s="104">
        <f t="shared" ca="1" si="30"/>
        <v>19.352</v>
      </c>
      <c r="F29" s="104">
        <f t="shared" ca="1" si="31"/>
        <v>11.479999999999999</v>
      </c>
      <c r="G29" s="105">
        <f t="shared" ca="1" si="32"/>
        <v>583.9659519999999</v>
      </c>
      <c r="H29" s="104">
        <v>1</v>
      </c>
      <c r="I29" s="106">
        <v>3</v>
      </c>
      <c r="J29" s="106">
        <f t="shared" ca="1" si="33"/>
        <v>2</v>
      </c>
      <c r="K29" s="106">
        <f t="shared" ca="1" si="34"/>
        <v>917.17322402562149</v>
      </c>
      <c r="L29" s="110">
        <f t="shared" ca="1" si="35"/>
        <v>3.0243815370593379</v>
      </c>
      <c r="M29" s="104">
        <f t="shared" ca="1" si="36"/>
        <v>3</v>
      </c>
      <c r="N29" s="104">
        <f t="shared" ca="1" si="37"/>
        <v>583.9659519999999</v>
      </c>
    </row>
    <row r="30" spans="1:14" x14ac:dyDescent="0.3">
      <c r="A30" s="120">
        <v>21</v>
      </c>
      <c r="B30" s="140"/>
      <c r="C30" s="102" t="s">
        <v>183</v>
      </c>
      <c r="D30" s="107">
        <f t="shared" ca="1" si="29"/>
        <v>30.175999999999995</v>
      </c>
      <c r="E30" s="104">
        <f t="shared" ca="1" si="30"/>
        <v>19.352</v>
      </c>
      <c r="F30" s="104">
        <f t="shared" ca="1" si="31"/>
        <v>11.479999999999999</v>
      </c>
      <c r="G30" s="105">
        <f t="shared" ca="1" si="32"/>
        <v>583.9659519999999</v>
      </c>
      <c r="H30" s="104">
        <v>1</v>
      </c>
      <c r="I30" s="106">
        <v>3</v>
      </c>
      <c r="J30" s="106">
        <f t="shared" ca="1" si="33"/>
        <v>2</v>
      </c>
      <c r="K30" s="106">
        <f t="shared" ca="1" si="34"/>
        <v>917.17322402562149</v>
      </c>
      <c r="L30" s="110">
        <f t="shared" ca="1" si="35"/>
        <v>3.0243815370593379</v>
      </c>
      <c r="M30" s="104">
        <f t="shared" ca="1" si="36"/>
        <v>3</v>
      </c>
      <c r="N30" s="104">
        <f t="shared" ca="1" si="37"/>
        <v>583.9659519999999</v>
      </c>
    </row>
    <row r="31" spans="1:14" x14ac:dyDescent="0.3">
      <c r="A31" s="120">
        <v>22</v>
      </c>
      <c r="B31" s="140"/>
      <c r="C31" s="102" t="s">
        <v>184</v>
      </c>
      <c r="D31" s="107">
        <f t="shared" ca="1" si="29"/>
        <v>30.175999999999995</v>
      </c>
      <c r="E31" s="104">
        <f t="shared" ca="1" si="30"/>
        <v>19.352</v>
      </c>
      <c r="F31" s="104">
        <f t="shared" ca="1" si="31"/>
        <v>11.479999999999999</v>
      </c>
      <c r="G31" s="105">
        <f t="shared" ca="1" si="32"/>
        <v>583.9659519999999</v>
      </c>
      <c r="H31" s="104">
        <v>1</v>
      </c>
      <c r="I31" s="106">
        <v>3</v>
      </c>
      <c r="J31" s="106">
        <f t="shared" ca="1" si="33"/>
        <v>2</v>
      </c>
      <c r="K31" s="106">
        <f t="shared" ca="1" si="34"/>
        <v>917.17322402562149</v>
      </c>
      <c r="L31" s="110">
        <f t="shared" ca="1" si="35"/>
        <v>3.0243815370593379</v>
      </c>
      <c r="M31" s="104">
        <f t="shared" ca="1" si="36"/>
        <v>3</v>
      </c>
      <c r="N31" s="104">
        <f t="shared" ca="1" si="37"/>
        <v>583.9659519999999</v>
      </c>
    </row>
    <row r="32" spans="1:14" x14ac:dyDescent="0.3">
      <c r="A32" s="120">
        <v>23</v>
      </c>
      <c r="B32" s="141"/>
      <c r="C32" s="102" t="s">
        <v>185</v>
      </c>
      <c r="D32" s="107">
        <f t="shared" ca="1" si="29"/>
        <v>30.175999999999995</v>
      </c>
      <c r="E32" s="104">
        <f t="shared" ca="1" si="30"/>
        <v>19.352</v>
      </c>
      <c r="F32" s="104">
        <f t="shared" ca="1" si="31"/>
        <v>11.479999999999999</v>
      </c>
      <c r="G32" s="105">
        <f t="shared" ca="1" si="32"/>
        <v>583.9659519999999</v>
      </c>
      <c r="H32" s="104">
        <v>1</v>
      </c>
      <c r="I32" s="106">
        <v>3</v>
      </c>
      <c r="J32" s="106">
        <f t="shared" ca="1" si="33"/>
        <v>2</v>
      </c>
      <c r="K32" s="106">
        <f t="shared" ca="1" si="34"/>
        <v>1286.3651346785418</v>
      </c>
      <c r="L32" s="110">
        <f t="shared" ca="1" si="35"/>
        <v>3.5916375239393372</v>
      </c>
      <c r="M32" s="104">
        <f t="shared" ca="1" si="36"/>
        <v>3.5</v>
      </c>
      <c r="N32" s="104">
        <f t="shared" ca="1" si="37"/>
        <v>583.9659519999999</v>
      </c>
    </row>
    <row r="33" spans="1:14" s="128" customFormat="1" ht="19.5" customHeight="1" x14ac:dyDescent="0.3">
      <c r="A33" s="125"/>
      <c r="B33" s="95"/>
      <c r="C33" s="98" t="s">
        <v>80</v>
      </c>
      <c r="D33" s="126"/>
      <c r="E33" s="109"/>
      <c r="F33" s="109"/>
      <c r="G33" s="127">
        <f ca="1">SUM(G19:G32)</f>
        <v>8673.3144959999972</v>
      </c>
      <c r="H33" s="127">
        <f t="shared" ref="H33:M33" si="38">SUM(H19:H32)</f>
        <v>14</v>
      </c>
      <c r="I33" s="127">
        <f t="shared" si="38"/>
        <v>42</v>
      </c>
      <c r="J33" s="127">
        <f t="shared" ca="1" si="38"/>
        <v>28</v>
      </c>
      <c r="K33" s="127">
        <f t="shared" ca="1" si="38"/>
        <v>14059.059220462867</v>
      </c>
      <c r="L33" s="127">
        <f t="shared" ca="1" si="38"/>
        <v>45.553057964515808</v>
      </c>
      <c r="M33" s="127">
        <f t="shared" ca="1" si="38"/>
        <v>45.5</v>
      </c>
      <c r="N33" s="109"/>
    </row>
    <row r="34" spans="1:14" ht="18" customHeight="1" x14ac:dyDescent="0.3">
      <c r="A34" s="121"/>
      <c r="B34" s="121"/>
      <c r="C34" s="135" t="s">
        <v>142</v>
      </c>
      <c r="D34" s="121"/>
      <c r="E34" s="121"/>
      <c r="F34" s="92"/>
      <c r="G34" s="94"/>
      <c r="H34" s="93"/>
      <c r="I34" s="94"/>
      <c r="J34" s="94"/>
      <c r="K34" s="94"/>
      <c r="L34" s="109"/>
      <c r="M34" s="121"/>
      <c r="N34" s="119"/>
    </row>
    <row r="35" spans="1:14" x14ac:dyDescent="0.3">
      <c r="A35" s="120">
        <v>18</v>
      </c>
      <c r="B35" s="139" t="s">
        <v>142</v>
      </c>
      <c r="C35" s="93" t="s">
        <v>161</v>
      </c>
      <c r="D35" s="104">
        <f t="shared" ca="1" si="16"/>
        <v>11.479999999999999</v>
      </c>
      <c r="E35" s="104">
        <f t="shared" ca="1" si="17"/>
        <v>9.84</v>
      </c>
      <c r="F35" s="104">
        <f t="shared" ca="1" si="18"/>
        <v>11.479999999999999</v>
      </c>
      <c r="G35" s="106">
        <f t="shared" ca="1" si="19"/>
        <v>112.96319999999999</v>
      </c>
      <c r="H35" s="104">
        <v>2</v>
      </c>
      <c r="I35" s="104">
        <v>3</v>
      </c>
      <c r="J35" s="106">
        <f t="shared" ca="1" si="8"/>
        <v>0</v>
      </c>
      <c r="K35" s="106">
        <f t="shared" ca="1" si="4"/>
        <v>891.53621879093998</v>
      </c>
      <c r="L35" s="104">
        <f t="shared" ca="1" si="5"/>
        <v>1.6814329357532096</v>
      </c>
      <c r="M35" s="104">
        <f t="shared" ca="1" si="6"/>
        <v>2</v>
      </c>
      <c r="N35" s="104">
        <f t="shared" ca="1" si="7"/>
        <v>112.96319999999999</v>
      </c>
    </row>
    <row r="36" spans="1:14" x14ac:dyDescent="0.3">
      <c r="A36" s="120">
        <v>19</v>
      </c>
      <c r="B36" s="140"/>
      <c r="C36" s="93" t="s">
        <v>162</v>
      </c>
      <c r="D36" s="107">
        <f t="shared" ca="1" si="16"/>
        <v>19.023999999999997</v>
      </c>
      <c r="E36" s="104">
        <f t="shared" ca="1" si="17"/>
        <v>18.04</v>
      </c>
      <c r="F36" s="104">
        <f t="shared" ca="1" si="18"/>
        <v>11.479999999999999</v>
      </c>
      <c r="G36" s="105">
        <f t="shared" ca="1" si="19"/>
        <v>343.19295999999991</v>
      </c>
      <c r="H36" s="104">
        <v>0.5</v>
      </c>
      <c r="I36" s="106">
        <v>4</v>
      </c>
      <c r="J36" s="106">
        <f t="shared" ca="1" si="8"/>
        <v>0</v>
      </c>
      <c r="K36" s="106">
        <f t="shared" ca="1" si="4"/>
        <v>1058.0612066224421</v>
      </c>
      <c r="L36" s="110">
        <f t="shared" ca="1" si="5"/>
        <v>2.1467745369359408</v>
      </c>
      <c r="M36" s="104">
        <f t="shared" ca="1" si="6"/>
        <v>2</v>
      </c>
      <c r="N36" s="104">
        <f t="shared" ca="1" si="7"/>
        <v>343.19295999999991</v>
      </c>
    </row>
    <row r="37" spans="1:14" x14ac:dyDescent="0.3">
      <c r="A37" s="120">
        <v>20</v>
      </c>
      <c r="B37" s="140"/>
      <c r="C37" s="93" t="s">
        <v>163</v>
      </c>
      <c r="D37" s="104">
        <f t="shared" ca="1" si="16"/>
        <v>19.023999999999997</v>
      </c>
      <c r="E37" s="104">
        <f t="shared" ca="1" si="17"/>
        <v>9.84</v>
      </c>
      <c r="F37" s="104">
        <f t="shared" ca="1" si="18"/>
        <v>11.479999999999999</v>
      </c>
      <c r="G37" s="106">
        <f t="shared" ca="1" si="19"/>
        <v>187.19615999999996</v>
      </c>
      <c r="H37" s="104">
        <v>0.2</v>
      </c>
      <c r="I37" s="104">
        <v>2</v>
      </c>
      <c r="J37" s="106">
        <f t="shared" ca="1" si="8"/>
        <v>0</v>
      </c>
      <c r="K37" s="106">
        <f t="shared" ca="1" si="4"/>
        <v>747.61005039307668</v>
      </c>
      <c r="L37" s="104">
        <f t="shared" ca="1" si="5"/>
        <v>1.4177852847529375</v>
      </c>
      <c r="M37" s="104">
        <f t="shared" ca="1" si="6"/>
        <v>1.5</v>
      </c>
      <c r="N37" s="104">
        <f t="shared" ca="1" si="7"/>
        <v>187.19615999999996</v>
      </c>
    </row>
    <row r="38" spans="1:14" x14ac:dyDescent="0.3">
      <c r="A38" s="120">
        <v>21</v>
      </c>
      <c r="B38" s="140"/>
      <c r="C38" s="93" t="s">
        <v>164</v>
      </c>
      <c r="D38" s="104">
        <f ca="1">INDIRECT("'"&amp;C38&amp;"'!N7")</f>
        <v>22.303999999999998</v>
      </c>
      <c r="E38" s="104">
        <f ca="1">INDIRECT("'"&amp;C38&amp;"'!N8")</f>
        <v>19.352</v>
      </c>
      <c r="F38" s="104">
        <f ca="1">INDIRECT("'"&amp;C38&amp;"'!N10")</f>
        <v>11.479999999999999</v>
      </c>
      <c r="G38" s="106">
        <f ca="1">INDIRECT("'"&amp;C38&amp;"'!N9")</f>
        <v>431.62700799999999</v>
      </c>
      <c r="H38" s="104">
        <v>2</v>
      </c>
      <c r="I38" s="104">
        <v>5</v>
      </c>
      <c r="J38" s="106">
        <f t="shared" ca="1" si="8"/>
        <v>0</v>
      </c>
      <c r="K38" s="106">
        <f t="shared" ca="1" si="4"/>
        <v>1348.4430390608277</v>
      </c>
      <c r="L38" s="104">
        <f t="shared" ca="1" si="5"/>
        <v>2.6104043797808347</v>
      </c>
      <c r="M38" s="104">
        <f t="shared" ca="1" si="6"/>
        <v>2.5</v>
      </c>
      <c r="N38" s="104">
        <f t="shared" ca="1" si="7"/>
        <v>431.62700799999999</v>
      </c>
    </row>
    <row r="39" spans="1:14" x14ac:dyDescent="0.3">
      <c r="A39" s="93">
        <v>22</v>
      </c>
      <c r="B39" s="140"/>
      <c r="C39" s="93" t="s">
        <v>165</v>
      </c>
      <c r="D39" s="104">
        <f t="shared" ca="1" si="16"/>
        <v>21.647999999999996</v>
      </c>
      <c r="E39" s="104">
        <f t="shared" ca="1" si="17"/>
        <v>19.352</v>
      </c>
      <c r="F39" s="104">
        <f t="shared" ca="1" si="18"/>
        <v>11.479999999999999</v>
      </c>
      <c r="G39" s="106">
        <f t="shared" ca="1" si="19"/>
        <v>418.93209599999994</v>
      </c>
      <c r="H39" s="104">
        <v>2</v>
      </c>
      <c r="I39" s="104">
        <v>5</v>
      </c>
      <c r="J39" s="106">
        <f t="shared" ca="1" si="8"/>
        <v>0</v>
      </c>
      <c r="K39" s="106">
        <f t="shared" ref="K39:K52" ca="1" si="39">INDIRECT("'"&amp;C39&amp;"'!N32")</f>
        <v>1194.882209650591</v>
      </c>
      <c r="L39" s="104">
        <f t="shared" ref="L39:L52" ca="1" si="40">INDIRECT("'"&amp;C39&amp;"'!N31")</f>
        <v>2.3674991817323785</v>
      </c>
      <c r="M39" s="104">
        <f t="shared" ref="M39:M52" ca="1" si="41">INDIRECT("'"&amp;C39&amp;"'!N34")</f>
        <v>2.5</v>
      </c>
      <c r="N39" s="104">
        <f t="shared" ref="N39:N52" ca="1" si="42">INDIRECT("'"&amp;C39&amp;"'!N28")</f>
        <v>418.93209599999994</v>
      </c>
    </row>
    <row r="40" spans="1:14" x14ac:dyDescent="0.3">
      <c r="A40" s="93">
        <v>23</v>
      </c>
      <c r="B40" s="140"/>
      <c r="C40" s="93" t="s">
        <v>166</v>
      </c>
      <c r="D40" s="107">
        <f t="shared" ca="1" si="16"/>
        <v>22.959999999999997</v>
      </c>
      <c r="E40" s="104">
        <f t="shared" ca="1" si="17"/>
        <v>20.007999999999999</v>
      </c>
      <c r="F40" s="104">
        <f t="shared" ca="1" si="18"/>
        <v>11.479999999999999</v>
      </c>
      <c r="G40" s="105">
        <f t="shared" ca="1" si="19"/>
        <v>459.38367999999991</v>
      </c>
      <c r="H40" s="104">
        <v>2</v>
      </c>
      <c r="I40" s="106">
        <v>5</v>
      </c>
      <c r="J40" s="106">
        <f t="shared" ca="1" si="8"/>
        <v>0</v>
      </c>
      <c r="K40" s="106">
        <f t="shared" ca="1" si="39"/>
        <v>1641.5785401663593</v>
      </c>
      <c r="L40" s="110">
        <f t="shared" ca="1" si="40"/>
        <v>3.0760233345030512</v>
      </c>
      <c r="M40" s="104">
        <f t="shared" ca="1" si="41"/>
        <v>3.5</v>
      </c>
      <c r="N40" s="104">
        <f t="shared" ca="1" si="42"/>
        <v>459.38367999999991</v>
      </c>
    </row>
    <row r="41" spans="1:14" x14ac:dyDescent="0.3">
      <c r="A41" s="93">
        <v>24</v>
      </c>
      <c r="B41" s="140"/>
      <c r="C41" s="93" t="s">
        <v>167</v>
      </c>
      <c r="D41" s="104">
        <f t="shared" ca="1" si="16"/>
        <v>73.143999999999991</v>
      </c>
      <c r="E41" s="104">
        <f t="shared" ca="1" si="17"/>
        <v>21.647999999999996</v>
      </c>
      <c r="F41" s="104">
        <f t="shared" ca="1" si="18"/>
        <v>11.479999999999999</v>
      </c>
      <c r="G41" s="106">
        <f t="shared" ca="1" si="19"/>
        <v>1583.4213119999995</v>
      </c>
      <c r="H41" s="104">
        <v>2</v>
      </c>
      <c r="I41" s="104">
        <v>20</v>
      </c>
      <c r="J41" s="106">
        <f t="shared" ca="1" si="8"/>
        <v>0</v>
      </c>
      <c r="K41" s="106">
        <f t="shared" ca="1" si="39"/>
        <v>1539.8994383291988</v>
      </c>
      <c r="L41" s="104">
        <f t="shared" ca="1" si="40"/>
        <v>4.8987593869826078</v>
      </c>
      <c r="M41" s="104">
        <f t="shared" ca="1" si="41"/>
        <v>5</v>
      </c>
      <c r="N41" s="104">
        <f t="shared" ca="1" si="42"/>
        <v>1583.4213119999995</v>
      </c>
    </row>
    <row r="42" spans="1:14" x14ac:dyDescent="0.3">
      <c r="A42" s="93">
        <v>25</v>
      </c>
      <c r="B42" s="140"/>
      <c r="C42" s="93" t="s">
        <v>168</v>
      </c>
      <c r="D42" s="107">
        <f t="shared" ca="1" si="16"/>
        <v>11.479999999999999</v>
      </c>
      <c r="E42" s="104">
        <f t="shared" ca="1" si="17"/>
        <v>16.071999999999999</v>
      </c>
      <c r="F42" s="104">
        <f t="shared" ca="1" si="18"/>
        <v>11.479999999999999</v>
      </c>
      <c r="G42" s="105">
        <f t="shared" ca="1" si="19"/>
        <v>184.50655999999998</v>
      </c>
      <c r="H42" s="104">
        <v>0.5</v>
      </c>
      <c r="I42" s="106">
        <v>3</v>
      </c>
      <c r="J42" s="106">
        <f t="shared" ca="1" si="8"/>
        <v>0</v>
      </c>
      <c r="K42" s="106">
        <f t="shared" ca="1" si="39"/>
        <v>565.64227995043393</v>
      </c>
      <c r="L42" s="110">
        <f t="shared" ca="1" si="40"/>
        <v>1.1513870998635756</v>
      </c>
      <c r="M42" s="104">
        <f t="shared" ca="1" si="41"/>
        <v>1</v>
      </c>
      <c r="N42" s="104">
        <f t="shared" ca="1" si="42"/>
        <v>184.50655999999998</v>
      </c>
    </row>
    <row r="43" spans="1:14" x14ac:dyDescent="0.3">
      <c r="A43" s="93">
        <v>26</v>
      </c>
      <c r="B43" s="140"/>
      <c r="C43" s="93" t="s">
        <v>169</v>
      </c>
      <c r="D43" s="104">
        <f t="shared" ca="1" si="16"/>
        <v>11.479999999999999</v>
      </c>
      <c r="E43" s="104">
        <f t="shared" ca="1" si="17"/>
        <v>9.5119999999999987</v>
      </c>
      <c r="F43" s="104">
        <f t="shared" ca="1" si="18"/>
        <v>11.479999999999999</v>
      </c>
      <c r="G43" s="106">
        <f t="shared" ca="1" si="19"/>
        <v>109.19775999999997</v>
      </c>
      <c r="H43" s="104">
        <v>0.5</v>
      </c>
      <c r="I43" s="106">
        <v>3</v>
      </c>
      <c r="J43" s="106">
        <f t="shared" ca="1" si="8"/>
        <v>0</v>
      </c>
      <c r="K43" s="106">
        <f t="shared" ca="1" si="39"/>
        <v>321.09079003065898</v>
      </c>
      <c r="L43" s="104">
        <f t="shared" ca="1" si="40"/>
        <v>0.73433830109476916</v>
      </c>
      <c r="M43" s="104">
        <f t="shared" ca="1" si="41"/>
        <v>1</v>
      </c>
      <c r="N43" s="104">
        <f t="shared" ca="1" si="42"/>
        <v>109.19775999999997</v>
      </c>
    </row>
    <row r="44" spans="1:14" x14ac:dyDescent="0.3">
      <c r="A44" s="93">
        <v>27</v>
      </c>
      <c r="B44" s="140"/>
      <c r="C44" s="93" t="s">
        <v>170</v>
      </c>
      <c r="D44" s="107">
        <f t="shared" ca="1" si="16"/>
        <v>11.479999999999999</v>
      </c>
      <c r="E44" s="104">
        <f t="shared" ca="1" si="17"/>
        <v>9.5119999999999987</v>
      </c>
      <c r="F44" s="104">
        <f t="shared" ca="1" si="18"/>
        <v>11.479999999999999</v>
      </c>
      <c r="G44" s="105">
        <f t="shared" ca="1" si="19"/>
        <v>109.19775999999997</v>
      </c>
      <c r="H44" s="104">
        <v>0.5</v>
      </c>
      <c r="I44" s="106">
        <v>3</v>
      </c>
      <c r="J44" s="106">
        <f t="shared" ca="1" si="8"/>
        <v>0</v>
      </c>
      <c r="K44" s="106">
        <f t="shared" ca="1" si="39"/>
        <v>323.68134766889699</v>
      </c>
      <c r="L44" s="110">
        <f t="shared" ca="1" si="40"/>
        <v>0.80687026709476894</v>
      </c>
      <c r="M44" s="104">
        <f t="shared" ca="1" si="41"/>
        <v>0.5</v>
      </c>
      <c r="N44" s="104">
        <f t="shared" ca="1" si="42"/>
        <v>109.19775999999997</v>
      </c>
    </row>
    <row r="45" spans="1:14" x14ac:dyDescent="0.3">
      <c r="A45" s="93">
        <v>28</v>
      </c>
      <c r="B45" s="140"/>
      <c r="C45" s="93" t="s">
        <v>171</v>
      </c>
      <c r="D45" s="104">
        <f t="shared" ca="1" si="16"/>
        <v>23.287999999999997</v>
      </c>
      <c r="E45" s="104">
        <f t="shared" ca="1" si="17"/>
        <v>9.5119999999999987</v>
      </c>
      <c r="F45" s="104">
        <f t="shared" ca="1" si="18"/>
        <v>11.479999999999999</v>
      </c>
      <c r="G45" s="106">
        <f t="shared" ca="1" si="19"/>
        <v>221.51545599999994</v>
      </c>
      <c r="H45" s="104">
        <v>0.5</v>
      </c>
      <c r="I45" s="106">
        <v>3</v>
      </c>
      <c r="J45" s="106">
        <f t="shared" ca="1" si="8"/>
        <v>0</v>
      </c>
      <c r="K45" s="106">
        <f t="shared" ca="1" si="39"/>
        <v>569.96342117247195</v>
      </c>
      <c r="L45" s="104">
        <f t="shared" ca="1" si="40"/>
        <v>1.1783226069065316</v>
      </c>
      <c r="M45" s="104">
        <f t="shared" ca="1" si="41"/>
        <v>1</v>
      </c>
      <c r="N45" s="104">
        <f t="shared" ca="1" si="42"/>
        <v>221.51545599999994</v>
      </c>
    </row>
    <row r="46" spans="1:14" x14ac:dyDescent="0.3">
      <c r="A46" s="93">
        <v>29</v>
      </c>
      <c r="B46" s="140"/>
      <c r="C46" s="93" t="s">
        <v>172</v>
      </c>
      <c r="D46" s="107">
        <f t="shared" ca="1" si="16"/>
        <v>23.287999999999997</v>
      </c>
      <c r="E46" s="104">
        <f t="shared" ca="1" si="17"/>
        <v>9.5119999999999987</v>
      </c>
      <c r="F46" s="104">
        <f t="shared" ca="1" si="18"/>
        <v>11.479999999999999</v>
      </c>
      <c r="G46" s="105">
        <f t="shared" ca="1" si="19"/>
        <v>221.51545599999994</v>
      </c>
      <c r="H46" s="104">
        <v>0.5</v>
      </c>
      <c r="I46" s="106">
        <v>3</v>
      </c>
      <c r="J46" s="106">
        <f t="shared" ca="1" si="8"/>
        <v>0</v>
      </c>
      <c r="K46" s="106">
        <f t="shared" ca="1" si="39"/>
        <v>569.96342117247195</v>
      </c>
      <c r="L46" s="110">
        <f t="shared" ca="1" si="40"/>
        <v>1.1783226069065316</v>
      </c>
      <c r="M46" s="104">
        <f t="shared" ca="1" si="41"/>
        <v>1</v>
      </c>
      <c r="N46" s="104">
        <f t="shared" ca="1" si="42"/>
        <v>221.51545599999994</v>
      </c>
    </row>
    <row r="47" spans="1:14" x14ac:dyDescent="0.3">
      <c r="A47" s="93">
        <v>30</v>
      </c>
      <c r="B47" s="140"/>
      <c r="C47" s="93" t="s">
        <v>173</v>
      </c>
      <c r="D47" s="104">
        <f t="shared" ca="1" si="16"/>
        <v>23.287999999999997</v>
      </c>
      <c r="E47" s="104">
        <f t="shared" ca="1" si="17"/>
        <v>9.5119999999999987</v>
      </c>
      <c r="F47" s="104">
        <f t="shared" ca="1" si="18"/>
        <v>11.479999999999999</v>
      </c>
      <c r="G47" s="106">
        <f t="shared" ca="1" si="19"/>
        <v>221.51545599999994</v>
      </c>
      <c r="H47" s="104">
        <v>0.5</v>
      </c>
      <c r="I47" s="106">
        <v>3</v>
      </c>
      <c r="J47" s="106">
        <f t="shared" ca="1" si="8"/>
        <v>0</v>
      </c>
      <c r="K47" s="106">
        <f t="shared" ca="1" si="39"/>
        <v>569.96342117247195</v>
      </c>
      <c r="L47" s="104">
        <f t="shared" ca="1" si="40"/>
        <v>1.1783226069065316</v>
      </c>
      <c r="M47" s="104">
        <f t="shared" ca="1" si="41"/>
        <v>1</v>
      </c>
      <c r="N47" s="104">
        <f t="shared" ca="1" si="42"/>
        <v>221.51545599999994</v>
      </c>
    </row>
    <row r="48" spans="1:14" x14ac:dyDescent="0.3">
      <c r="A48" s="93">
        <v>31</v>
      </c>
      <c r="B48" s="140"/>
      <c r="C48" s="93" t="s">
        <v>174</v>
      </c>
      <c r="D48" s="107">
        <f t="shared" ca="1" si="16"/>
        <v>23.287999999999997</v>
      </c>
      <c r="E48" s="104">
        <f t="shared" ca="1" si="17"/>
        <v>9.5119999999999987</v>
      </c>
      <c r="F48" s="104">
        <f t="shared" ca="1" si="18"/>
        <v>11.479999999999999</v>
      </c>
      <c r="G48" s="105">
        <f t="shared" ca="1" si="19"/>
        <v>221.51545599999994</v>
      </c>
      <c r="H48" s="104">
        <v>0.5</v>
      </c>
      <c r="I48" s="106">
        <v>3</v>
      </c>
      <c r="J48" s="106">
        <f t="shared" ca="1" si="8"/>
        <v>0</v>
      </c>
      <c r="K48" s="106">
        <f t="shared" ca="1" si="39"/>
        <v>569.96342117247195</v>
      </c>
      <c r="L48" s="110">
        <f t="shared" ca="1" si="40"/>
        <v>1.1783226069065316</v>
      </c>
      <c r="M48" s="104">
        <f t="shared" ca="1" si="41"/>
        <v>1</v>
      </c>
      <c r="N48" s="104">
        <f t="shared" ca="1" si="42"/>
        <v>221.51545599999994</v>
      </c>
    </row>
    <row r="49" spans="1:14" x14ac:dyDescent="0.3">
      <c r="A49" s="93">
        <v>32</v>
      </c>
      <c r="B49" s="140"/>
      <c r="C49" s="93" t="s">
        <v>175</v>
      </c>
      <c r="D49" s="104">
        <f t="shared" ca="1" si="16"/>
        <v>23.287999999999997</v>
      </c>
      <c r="E49" s="104">
        <f t="shared" ca="1" si="17"/>
        <v>9.5119999999999987</v>
      </c>
      <c r="F49" s="104">
        <f t="shared" ca="1" si="18"/>
        <v>11.479999999999999</v>
      </c>
      <c r="G49" s="106">
        <f t="shared" ca="1" si="19"/>
        <v>221.51545599999994</v>
      </c>
      <c r="H49" s="104">
        <v>0.5</v>
      </c>
      <c r="I49" s="106">
        <v>3</v>
      </c>
      <c r="J49" s="106">
        <f t="shared" ca="1" si="8"/>
        <v>0</v>
      </c>
      <c r="K49" s="106">
        <f t="shared" ca="1" si="39"/>
        <v>569.96342117247195</v>
      </c>
      <c r="L49" s="104">
        <f t="shared" ca="1" si="40"/>
        <v>1.1783226069065316</v>
      </c>
      <c r="M49" s="104">
        <f t="shared" ca="1" si="41"/>
        <v>1</v>
      </c>
      <c r="N49" s="104">
        <f t="shared" ca="1" si="42"/>
        <v>221.51545599999994</v>
      </c>
    </row>
    <row r="50" spans="1:14" x14ac:dyDescent="0.3">
      <c r="A50" s="93">
        <v>33</v>
      </c>
      <c r="B50" s="140"/>
      <c r="C50" s="93" t="s">
        <v>176</v>
      </c>
      <c r="D50" s="107">
        <f t="shared" ca="1" si="16"/>
        <v>23.287999999999997</v>
      </c>
      <c r="E50" s="104">
        <f t="shared" ca="1" si="17"/>
        <v>9.5119999999999987</v>
      </c>
      <c r="F50" s="104">
        <f t="shared" ca="1" si="18"/>
        <v>11.479999999999999</v>
      </c>
      <c r="G50" s="105">
        <f t="shared" ca="1" si="19"/>
        <v>221.51545599999994</v>
      </c>
      <c r="H50" s="104">
        <v>0.5</v>
      </c>
      <c r="I50" s="106">
        <v>3</v>
      </c>
      <c r="J50" s="106">
        <f t="shared" ca="1" si="8"/>
        <v>0</v>
      </c>
      <c r="K50" s="106">
        <f t="shared" ca="1" si="39"/>
        <v>756.57752770168133</v>
      </c>
      <c r="L50" s="110">
        <f t="shared" ca="1" si="40"/>
        <v>1.4650514493065314</v>
      </c>
      <c r="M50" s="104">
        <f t="shared" ca="1" si="41"/>
        <v>1.5</v>
      </c>
      <c r="N50" s="104">
        <f t="shared" ca="1" si="42"/>
        <v>221.51545599999994</v>
      </c>
    </row>
    <row r="51" spans="1:14" x14ac:dyDescent="0.3">
      <c r="A51" s="93">
        <v>34</v>
      </c>
      <c r="B51" s="140"/>
      <c r="C51" s="93" t="s">
        <v>177</v>
      </c>
      <c r="D51" s="104">
        <f t="shared" ca="1" si="16"/>
        <v>59.04</v>
      </c>
      <c r="E51" s="104">
        <f t="shared" ca="1" si="17"/>
        <v>23.287999999999997</v>
      </c>
      <c r="F51" s="104">
        <f t="shared" ca="1" si="18"/>
        <v>11.479999999999999</v>
      </c>
      <c r="G51" s="106">
        <f t="shared" ca="1" si="19"/>
        <v>1374.9235199999998</v>
      </c>
      <c r="H51" s="104">
        <v>1</v>
      </c>
      <c r="I51" s="106">
        <v>10</v>
      </c>
      <c r="J51" s="106">
        <f t="shared" ca="1" si="8"/>
        <v>0</v>
      </c>
      <c r="K51" s="106">
        <f t="shared" ca="1" si="39"/>
        <v>3236.1460280047709</v>
      </c>
      <c r="L51" s="104">
        <f t="shared" ca="1" si="40"/>
        <v>6.3299770991485866</v>
      </c>
      <c r="M51" s="104">
        <f t="shared" ca="1" si="41"/>
        <v>6.5</v>
      </c>
      <c r="N51" s="104">
        <f t="shared" ca="1" si="42"/>
        <v>1374.9235199999998</v>
      </c>
    </row>
    <row r="52" spans="1:14" x14ac:dyDescent="0.3">
      <c r="A52" s="93">
        <v>35</v>
      </c>
      <c r="B52" s="140"/>
      <c r="C52" s="93" t="s">
        <v>178</v>
      </c>
      <c r="D52" s="107">
        <f t="shared" ca="1" si="16"/>
        <v>45.264000000000003</v>
      </c>
      <c r="E52" s="104">
        <f t="shared" ca="1" si="17"/>
        <v>19.68</v>
      </c>
      <c r="F52" s="104">
        <f t="shared" ca="1" si="18"/>
        <v>11.479999999999999</v>
      </c>
      <c r="G52" s="105">
        <f t="shared" ca="1" si="19"/>
        <v>890.79552000000001</v>
      </c>
      <c r="H52" s="104">
        <v>2</v>
      </c>
      <c r="I52" s="106">
        <v>5</v>
      </c>
      <c r="J52" s="106">
        <f t="shared" ca="1" si="8"/>
        <v>0</v>
      </c>
      <c r="K52" s="106">
        <f t="shared" ca="1" si="39"/>
        <v>2813.600214308427</v>
      </c>
      <c r="L52" s="110">
        <f t="shared" ca="1" si="40"/>
        <v>5.2276557712500713</v>
      </c>
      <c r="M52" s="104">
        <f t="shared" ca="1" si="41"/>
        <v>5.5</v>
      </c>
      <c r="N52" s="104">
        <f t="shared" ca="1" si="42"/>
        <v>890.79552000000001</v>
      </c>
    </row>
    <row r="53" spans="1:14" s="128" customFormat="1" ht="19.5" customHeight="1" x14ac:dyDescent="0.3">
      <c r="A53" s="125"/>
      <c r="B53" s="95"/>
      <c r="C53" s="98" t="s">
        <v>80</v>
      </c>
      <c r="D53" s="126"/>
      <c r="E53" s="109"/>
      <c r="F53" s="109"/>
      <c r="G53" s="127">
        <f ca="1">SUM(G35:G52)</f>
        <v>7534.4302719999996</v>
      </c>
      <c r="H53" s="127">
        <f t="shared" ref="H53:M53" si="43">SUM(H35:H52)</f>
        <v>18.2</v>
      </c>
      <c r="I53" s="127">
        <f t="shared" si="43"/>
        <v>86</v>
      </c>
      <c r="J53" s="127">
        <f t="shared" ca="1" si="43"/>
        <v>0</v>
      </c>
      <c r="K53" s="127">
        <f t="shared" ca="1" si="43"/>
        <v>19288.565996540663</v>
      </c>
      <c r="L53" s="127">
        <f t="shared" ca="1" si="43"/>
        <v>39.805572062731919</v>
      </c>
      <c r="M53" s="127">
        <f t="shared" ca="1" si="43"/>
        <v>40</v>
      </c>
      <c r="N53" s="109"/>
    </row>
    <row r="54" spans="1:14" ht="19.5" customHeight="1" x14ac:dyDescent="0.3">
      <c r="A54" s="120"/>
      <c r="B54" s="95"/>
      <c r="C54" s="99"/>
      <c r="D54" s="103"/>
      <c r="E54" s="104"/>
      <c r="F54" s="104"/>
      <c r="G54" s="105"/>
      <c r="H54" s="105"/>
      <c r="I54" s="105"/>
      <c r="J54" s="105"/>
      <c r="K54" s="105"/>
      <c r="L54" s="105"/>
      <c r="M54" s="105"/>
      <c r="N54" s="104"/>
    </row>
    <row r="55" spans="1:14" s="131" customFormat="1" ht="18" x14ac:dyDescent="0.3">
      <c r="A55" s="129"/>
      <c r="B55" s="129"/>
      <c r="C55" s="129" t="s">
        <v>187</v>
      </c>
      <c r="D55" s="129"/>
      <c r="E55" s="129"/>
      <c r="F55" s="129"/>
      <c r="G55" s="130">
        <f ca="1">G7+G17+G33+G53</f>
        <v>23013.185855999996</v>
      </c>
      <c r="H55" s="130">
        <f t="shared" ref="H55:M55" si="44">H7+H17+H33+H53</f>
        <v>58.2</v>
      </c>
      <c r="I55" s="130">
        <f t="shared" si="44"/>
        <v>194</v>
      </c>
      <c r="J55" s="130">
        <f t="shared" ca="1" si="44"/>
        <v>28</v>
      </c>
      <c r="K55" s="130">
        <f t="shared" ca="1" si="44"/>
        <v>45851.506162988939</v>
      </c>
      <c r="L55" s="130">
        <f t="shared" ca="1" si="44"/>
        <v>113.06397541297227</v>
      </c>
      <c r="M55" s="130">
        <f t="shared" ca="1" si="44"/>
        <v>114.5</v>
      </c>
      <c r="N55" s="129"/>
    </row>
    <row r="56" spans="1:14" ht="43.2" x14ac:dyDescent="0.3">
      <c r="A56" s="121" t="s">
        <v>123</v>
      </c>
      <c r="B56" s="121" t="s">
        <v>145</v>
      </c>
      <c r="C56" s="121" t="s">
        <v>124</v>
      </c>
      <c r="D56" s="142" t="s">
        <v>125</v>
      </c>
      <c r="E56" s="142"/>
      <c r="F56" s="142"/>
      <c r="G56" s="96" t="s">
        <v>126</v>
      </c>
      <c r="H56" s="95" t="s">
        <v>127</v>
      </c>
      <c r="I56" s="96" t="s">
        <v>128</v>
      </c>
      <c r="J56" s="95" t="s">
        <v>144</v>
      </c>
      <c r="K56" s="96" t="s">
        <v>134</v>
      </c>
      <c r="L56" s="101" t="s">
        <v>136</v>
      </c>
      <c r="M56" s="95" t="s">
        <v>129</v>
      </c>
      <c r="N56" s="95" t="s">
        <v>135</v>
      </c>
    </row>
    <row r="57" spans="1:14" x14ac:dyDescent="0.3">
      <c r="A57" s="113"/>
      <c r="B57" s="113"/>
      <c r="C57" s="113"/>
      <c r="D57" s="113"/>
      <c r="E57" s="113"/>
      <c r="F57" s="113"/>
      <c r="G57" s="115"/>
      <c r="H57" s="113"/>
      <c r="I57" s="113"/>
      <c r="J57" s="113"/>
      <c r="K57" s="115"/>
      <c r="L57" s="114"/>
      <c r="M57" s="113"/>
      <c r="N57" s="113"/>
    </row>
    <row r="58" spans="1:14" x14ac:dyDescent="0.3">
      <c r="A58" s="113"/>
      <c r="B58" s="113"/>
      <c r="C58" s="113"/>
      <c r="D58" s="113"/>
      <c r="E58" s="113"/>
      <c r="F58" s="113"/>
      <c r="G58" s="115"/>
      <c r="H58" s="113"/>
      <c r="I58" s="113"/>
      <c r="J58" s="113"/>
      <c r="K58" s="115"/>
      <c r="L58" s="114"/>
      <c r="M58" s="113"/>
      <c r="N58" s="113"/>
    </row>
    <row r="59" spans="1:14" x14ac:dyDescent="0.3">
      <c r="A59" s="113"/>
      <c r="B59" s="113"/>
      <c r="C59" s="113"/>
      <c r="D59" s="113"/>
      <c r="E59" s="113"/>
      <c r="F59" s="113"/>
      <c r="G59" s="115"/>
      <c r="H59" s="113"/>
      <c r="I59" s="113"/>
      <c r="J59" s="113"/>
      <c r="K59" s="115"/>
      <c r="L59" s="114"/>
      <c r="M59" s="113"/>
      <c r="N59" s="113"/>
    </row>
    <row r="60" spans="1:14" x14ac:dyDescent="0.3">
      <c r="A60" s="113"/>
      <c r="B60" s="113"/>
      <c r="C60" s="113"/>
      <c r="D60" s="113"/>
      <c r="E60" s="113"/>
      <c r="F60" s="113"/>
      <c r="G60" s="115"/>
      <c r="H60" s="113"/>
      <c r="I60" s="113"/>
      <c r="J60" s="113"/>
      <c r="K60" s="115"/>
      <c r="L60" s="114"/>
      <c r="M60" s="113"/>
      <c r="N60" s="113"/>
    </row>
    <row r="61" spans="1:14" x14ac:dyDescent="0.3">
      <c r="A61" s="113"/>
      <c r="B61" s="113"/>
      <c r="C61" s="113"/>
      <c r="D61" s="113"/>
      <c r="E61" s="113"/>
      <c r="F61" s="113"/>
      <c r="G61" s="115"/>
      <c r="H61" s="113"/>
      <c r="I61" s="113"/>
      <c r="J61" s="113"/>
      <c r="K61" s="115"/>
      <c r="L61" s="114"/>
      <c r="M61" s="113"/>
      <c r="N61" s="113"/>
    </row>
    <row r="62" spans="1:14" x14ac:dyDescent="0.3">
      <c r="A62" s="113"/>
      <c r="B62" s="113"/>
      <c r="C62" s="113"/>
      <c r="D62" s="113"/>
      <c r="E62" s="113"/>
      <c r="F62" s="113"/>
      <c r="G62" s="115"/>
      <c r="H62" s="113"/>
      <c r="I62" s="113"/>
      <c r="J62" s="113"/>
      <c r="K62" s="115"/>
      <c r="L62" s="114"/>
      <c r="M62" s="113"/>
      <c r="N62" s="113"/>
    </row>
    <row r="63" spans="1:14" x14ac:dyDescent="0.3">
      <c r="A63" s="113"/>
      <c r="B63" s="113"/>
      <c r="C63" s="113"/>
      <c r="D63" s="113"/>
      <c r="E63" s="113"/>
      <c r="F63" s="113"/>
      <c r="G63" s="115"/>
      <c r="H63" s="113"/>
      <c r="I63" s="113"/>
      <c r="J63" s="113"/>
      <c r="K63" s="115"/>
      <c r="L63" s="114"/>
      <c r="M63" s="113"/>
      <c r="N63" s="113"/>
    </row>
    <row r="64" spans="1:14" x14ac:dyDescent="0.3">
      <c r="A64" s="113"/>
      <c r="B64" s="113"/>
      <c r="C64" s="113"/>
      <c r="D64" s="113"/>
      <c r="E64" s="113"/>
      <c r="F64" s="113"/>
      <c r="G64" s="115"/>
      <c r="H64" s="113"/>
      <c r="I64" s="113"/>
      <c r="J64" s="113"/>
      <c r="K64" s="115"/>
      <c r="L64" s="114"/>
      <c r="M64" s="113"/>
      <c r="N64" s="113"/>
    </row>
    <row r="65" spans="1:14" x14ac:dyDescent="0.3">
      <c r="A65" s="113"/>
      <c r="B65" s="113"/>
      <c r="C65" s="113"/>
      <c r="D65" s="113"/>
      <c r="E65" s="113"/>
      <c r="F65" s="113"/>
      <c r="G65" s="115"/>
      <c r="H65" s="113"/>
      <c r="I65" s="113"/>
      <c r="J65" s="113"/>
      <c r="K65" s="115"/>
      <c r="L65" s="114"/>
      <c r="M65" s="113"/>
      <c r="N65" s="113"/>
    </row>
    <row r="66" spans="1:14" x14ac:dyDescent="0.3">
      <c r="A66" s="113"/>
      <c r="B66" s="113"/>
      <c r="C66" s="113"/>
      <c r="D66" s="113"/>
      <c r="E66" s="113"/>
      <c r="F66" s="113"/>
      <c r="G66" s="115"/>
      <c r="H66" s="113"/>
      <c r="I66" s="113"/>
      <c r="J66" s="113"/>
      <c r="K66" s="115"/>
      <c r="L66" s="114"/>
      <c r="M66" s="113"/>
      <c r="N66" s="113"/>
    </row>
    <row r="67" spans="1:14" x14ac:dyDescent="0.3">
      <c r="A67" s="113"/>
      <c r="B67" s="113"/>
      <c r="C67" s="113"/>
      <c r="D67" s="113"/>
      <c r="E67" s="113"/>
      <c r="F67" s="113"/>
      <c r="G67" s="115"/>
      <c r="H67" s="113"/>
      <c r="I67" s="113"/>
      <c r="J67" s="113"/>
      <c r="K67" s="115"/>
      <c r="L67" s="114"/>
      <c r="M67" s="113"/>
      <c r="N67" s="113"/>
    </row>
    <row r="68" spans="1:14" x14ac:dyDescent="0.3">
      <c r="A68" s="113"/>
      <c r="B68" s="113"/>
      <c r="C68" s="113"/>
      <c r="D68" s="113"/>
      <c r="E68" s="113"/>
      <c r="F68" s="113"/>
      <c r="G68" s="115"/>
      <c r="H68" s="113"/>
      <c r="I68" s="113"/>
      <c r="J68" s="113"/>
      <c r="K68" s="115"/>
      <c r="L68" s="114"/>
      <c r="M68" s="113"/>
      <c r="N68" s="113"/>
    </row>
    <row r="69" spans="1:14" x14ac:dyDescent="0.3">
      <c r="A69" s="113"/>
      <c r="B69" s="113"/>
      <c r="C69" s="113"/>
      <c r="D69" s="113"/>
      <c r="E69" s="113"/>
      <c r="F69" s="113"/>
      <c r="G69" s="115"/>
      <c r="H69" s="113"/>
      <c r="I69" s="113"/>
      <c r="J69" s="113"/>
      <c r="K69" s="115"/>
      <c r="L69" s="114"/>
      <c r="M69" s="113"/>
      <c r="N69" s="113"/>
    </row>
    <row r="70" spans="1:14" x14ac:dyDescent="0.3">
      <c r="A70" s="113"/>
      <c r="B70" s="113"/>
      <c r="C70" s="113"/>
      <c r="D70" s="113"/>
      <c r="E70" s="113"/>
      <c r="F70" s="113"/>
      <c r="G70" s="115"/>
      <c r="H70" s="113"/>
      <c r="I70" s="113"/>
      <c r="J70" s="113"/>
      <c r="K70" s="115"/>
      <c r="L70" s="114"/>
      <c r="M70" s="113"/>
      <c r="N70" s="113"/>
    </row>
    <row r="71" spans="1:14" x14ac:dyDescent="0.3">
      <c r="A71" s="116"/>
      <c r="B71" s="116"/>
      <c r="C71" s="116"/>
      <c r="D71" s="116"/>
      <c r="E71" s="116"/>
      <c r="F71" s="116"/>
      <c r="G71" s="117"/>
      <c r="H71" s="116"/>
      <c r="I71" s="116"/>
      <c r="J71" s="116"/>
      <c r="K71" s="117"/>
      <c r="L71" s="118"/>
      <c r="M71" s="116"/>
      <c r="N71" s="116"/>
    </row>
  </sheetData>
  <mergeCells count="7">
    <mergeCell ref="B35:B52"/>
    <mergeCell ref="B19:B32"/>
    <mergeCell ref="D56:F56"/>
    <mergeCell ref="D2:F2"/>
    <mergeCell ref="A1:N1"/>
    <mergeCell ref="B5:B6"/>
    <mergeCell ref="B9:B16"/>
  </mergeCells>
  <phoneticPr fontId="17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scale="4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67"/>
  <sheetViews>
    <sheetView view="pageBreakPreview" zoomScale="70" zoomScaleNormal="100" zoomScaleSheetLayoutView="70" workbookViewId="0">
      <selection activeCell="N35" sqref="N35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6.4</v>
      </c>
      <c r="O3" s="7">
        <f>N3*3.28</f>
        <v>20.992000000000001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6</v>
      </c>
      <c r="O4" s="7">
        <f>N4*3.28</f>
        <v>19.68</v>
      </c>
      <c r="P4" s="8"/>
      <c r="Q4" s="8"/>
    </row>
    <row r="5" spans="1:19" x14ac:dyDescent="0.3">
      <c r="A5" s="9" t="s">
        <v>17</v>
      </c>
      <c r="B5" s="5"/>
      <c r="C5" s="162" t="s">
        <v>152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20.992000000000001</v>
      </c>
      <c r="D7" s="19">
        <f>+N8</f>
        <v>19.68</v>
      </c>
      <c r="E7" s="20">
        <f>+N9</f>
        <v>413.12256000000002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20.992000000000001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19.68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413.12256000000002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4742.6469887999992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0</v>
      </c>
      <c r="M11" s="25" t="s">
        <v>43</v>
      </c>
      <c r="N11" s="27">
        <v>0</v>
      </c>
      <c r="P11" s="36" t="s">
        <v>46</v>
      </c>
      <c r="Q11" s="37">
        <v>5</v>
      </c>
      <c r="R11" s="32"/>
    </row>
    <row r="12" spans="1:19" x14ac:dyDescent="0.3">
      <c r="A12" s="156" t="s">
        <v>47</v>
      </c>
      <c r="B12" s="157"/>
      <c r="C12" s="19">
        <f>+N12</f>
        <v>0</v>
      </c>
      <c r="D12" s="5" t="s">
        <v>44</v>
      </c>
      <c r="E12" s="5">
        <v>12</v>
      </c>
      <c r="F12" s="33">
        <v>0.56000000000000005</v>
      </c>
      <c r="G12" s="34">
        <f>F12*E12*C12</f>
        <v>0</v>
      </c>
      <c r="H12" s="9" t="s">
        <v>48</v>
      </c>
      <c r="I12" s="5"/>
      <c r="J12" s="5"/>
      <c r="K12" s="5"/>
      <c r="L12" s="31">
        <f>+Q17</f>
        <v>84.223559680000008</v>
      </c>
      <c r="M12" s="25" t="s">
        <v>47</v>
      </c>
      <c r="N12" s="38">
        <v>0</v>
      </c>
      <c r="P12" s="32" t="s">
        <v>49</v>
      </c>
      <c r="Q12" s="39">
        <f>+Q11*C35</f>
        <v>40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9" t="s">
        <v>51</v>
      </c>
      <c r="I13" s="19">
        <f>N26</f>
        <v>8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40</v>
      </c>
      <c r="D14" s="5" t="s">
        <v>44</v>
      </c>
      <c r="E14" s="5">
        <v>12</v>
      </c>
      <c r="F14" s="33">
        <v>0.56000000000000005</v>
      </c>
      <c r="G14" s="34">
        <f>F14*E14*C14</f>
        <v>268.8</v>
      </c>
      <c r="H14" s="41" t="s">
        <v>55</v>
      </c>
      <c r="I14" s="42"/>
      <c r="J14" s="42"/>
      <c r="K14" s="42"/>
      <c r="L14" s="43">
        <f>L11*L10/60</f>
        <v>0</v>
      </c>
      <c r="M14" s="25" t="s">
        <v>54</v>
      </c>
      <c r="N14" s="27">
        <f>5*4*2</f>
        <v>40</v>
      </c>
      <c r="P14" s="29" t="s">
        <v>56</v>
      </c>
      <c r="Q14" s="27">
        <f>+Q13*E7</f>
        <v>24.787353599999999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64.787353600000003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v>0</v>
      </c>
      <c r="O16" s="40"/>
      <c r="P16" s="48" t="s">
        <v>61</v>
      </c>
      <c r="Q16" s="27">
        <f>Q15*30%</f>
        <v>19.436206080000002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84.223559680000008</v>
      </c>
      <c r="R17" s="29"/>
    </row>
    <row r="18" spans="1:18" x14ac:dyDescent="0.3">
      <c r="A18" s="156" t="s">
        <v>60</v>
      </c>
      <c r="B18" s="157"/>
      <c r="C18" s="19">
        <f>+N16</f>
        <v>0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0</v>
      </c>
      <c r="H18" s="9"/>
      <c r="I18" s="5"/>
      <c r="J18" s="5"/>
      <c r="K18" s="5"/>
      <c r="L18" s="6"/>
      <c r="M18" s="25" t="s">
        <v>64</v>
      </c>
      <c r="N18" s="27">
        <f>N7*N10-N14</f>
        <v>200.98815999999999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9"/>
      <c r="I19" s="5"/>
      <c r="J19" s="5"/>
      <c r="K19" s="47"/>
      <c r="L19" s="31"/>
      <c r="M19" s="25" t="s">
        <v>65</v>
      </c>
      <c r="N19" s="27">
        <v>0</v>
      </c>
      <c r="O19" s="40"/>
      <c r="P19" s="2"/>
    </row>
    <row r="20" spans="1:18" x14ac:dyDescent="0.3">
      <c r="A20" s="156" t="s">
        <v>64</v>
      </c>
      <c r="B20" s="157"/>
      <c r="C20" s="19">
        <f>+N18</f>
        <v>200.98815999999999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2364.42471424</v>
      </c>
      <c r="H20" s="9"/>
      <c r="I20" s="5"/>
      <c r="J20" s="5"/>
      <c r="K20" s="47"/>
      <c r="L20" s="31"/>
      <c r="M20" s="25" t="s">
        <v>66</v>
      </c>
      <c r="N20" s="27">
        <f>+N11+N12+N13+N14</f>
        <v>40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0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0</v>
      </c>
      <c r="H21" s="9"/>
      <c r="I21" s="5"/>
      <c r="J21" s="21"/>
      <c r="K21" s="47"/>
      <c r="L21" s="31"/>
      <c r="M21" s="52" t="s">
        <v>69</v>
      </c>
      <c r="N21" s="53">
        <f>Q25</f>
        <v>0</v>
      </c>
      <c r="P21" s="49" t="s">
        <v>70</v>
      </c>
      <c r="Q21" s="27">
        <v>0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v>0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v>0</v>
      </c>
      <c r="R23" s="4">
        <v>0</v>
      </c>
    </row>
    <row r="24" spans="1:18" x14ac:dyDescent="0.3">
      <c r="A24" s="156" t="s">
        <v>76</v>
      </c>
      <c r="B24" s="157"/>
      <c r="C24" s="19">
        <f>N20</f>
        <v>40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1518.7199999999996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v>0</v>
      </c>
      <c r="R24" s="4">
        <v>0</v>
      </c>
    </row>
    <row r="25" spans="1:18" x14ac:dyDescent="0.3">
      <c r="A25" s="156" t="s">
        <v>69</v>
      </c>
      <c r="B25" s="157"/>
      <c r="C25" s="19">
        <f>+N21</f>
        <v>0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0</v>
      </c>
      <c r="H25" s="179"/>
      <c r="I25" s="180"/>
      <c r="J25" s="180"/>
      <c r="K25" s="180"/>
      <c r="L25" s="181"/>
      <c r="M25" s="25" t="s">
        <v>79</v>
      </c>
      <c r="N25" s="27">
        <f>C32</f>
        <v>84.223559680000008</v>
      </c>
      <c r="O25" s="57"/>
      <c r="P25" s="58" t="s">
        <v>80</v>
      </c>
      <c r="Q25" s="27">
        <f>SUM(Q21:Q24)</f>
        <v>0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SUMMARY!I15</f>
        <v>8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SUMMARY!H15</f>
        <v>1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413.12256000000002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1.765287093219357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84.223559680000008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366.7565440401408</v>
      </c>
      <c r="H32" s="9"/>
      <c r="I32" s="5"/>
      <c r="J32" s="5"/>
      <c r="K32" s="47"/>
      <c r="L32" s="63"/>
      <c r="M32" s="50" t="s">
        <v>87</v>
      </c>
      <c r="N32" s="46">
        <f>+L45</f>
        <v>687.1441880686782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2</v>
      </c>
    </row>
    <row r="35" spans="1:15" x14ac:dyDescent="0.3">
      <c r="A35" s="156" t="s">
        <v>81</v>
      </c>
      <c r="B35" s="157"/>
      <c r="C35" s="19">
        <f>I13</f>
        <v>8</v>
      </c>
      <c r="D35" s="5" t="s">
        <v>90</v>
      </c>
      <c r="E35" s="5">
        <v>240</v>
      </c>
      <c r="F35" s="5"/>
      <c r="G35" s="34">
        <f>E35*C35</f>
        <v>1920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1</v>
      </c>
      <c r="D36" s="5" t="s">
        <v>91</v>
      </c>
      <c r="E36" s="5">
        <v>3413</v>
      </c>
      <c r="F36" s="5">
        <v>1</v>
      </c>
      <c r="G36" s="34">
        <f>F36*E36*C36</f>
        <v>3413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413.12256000000002</v>
      </c>
      <c r="D37" s="5" t="s">
        <v>92</v>
      </c>
      <c r="E37" s="5">
        <v>3.4129999999999998</v>
      </c>
      <c r="F37" s="5"/>
      <c r="G37" s="34">
        <f>+E37*C37</f>
        <v>1409.9872972799999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11261.68855556014</v>
      </c>
      <c r="H39" s="156" t="s">
        <v>97</v>
      </c>
      <c r="I39" s="157"/>
      <c r="J39" s="157"/>
      <c r="K39" s="157"/>
      <c r="L39" s="69">
        <f>G41</f>
        <v>12669.399625005157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1407.7110694450175</v>
      </c>
      <c r="H40" s="156" t="s">
        <v>99</v>
      </c>
      <c r="I40" s="157"/>
      <c r="J40" s="157"/>
      <c r="K40" s="157"/>
      <c r="L40" s="70">
        <f>G50</f>
        <v>14653.464516831169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12669.399625005157</v>
      </c>
      <c r="H41" s="156" t="s">
        <v>100</v>
      </c>
      <c r="I41" s="157"/>
      <c r="J41" s="157"/>
      <c r="K41" s="157"/>
      <c r="L41" s="72">
        <f>L39/L40</f>
        <v>0.8646009693102209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84.223559680000008</v>
      </c>
      <c r="D44" s="5" t="s">
        <v>86</v>
      </c>
      <c r="E44" s="5">
        <f>+L7</f>
        <v>76.2</v>
      </c>
      <c r="F44" s="5">
        <v>0.68</v>
      </c>
      <c r="G44" s="34">
        <f>F44*E44*C44*B44</f>
        <v>523.69535620546571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8</v>
      </c>
      <c r="D45" s="5" t="s">
        <v>90</v>
      </c>
      <c r="E45" s="5">
        <v>160</v>
      </c>
      <c r="F45" s="5"/>
      <c r="G45" s="30">
        <f>E45*C45</f>
        <v>1280</v>
      </c>
      <c r="H45" s="156" t="s">
        <v>108</v>
      </c>
      <c r="I45" s="157"/>
      <c r="J45" s="157"/>
      <c r="K45" s="157"/>
      <c r="L45" s="77">
        <f>L39/(L44*1.08)</f>
        <v>687.1441880686782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1803.6953562054657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180.36953562054657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1984.0648918260122</v>
      </c>
      <c r="H49" s="9" t="s">
        <v>113</v>
      </c>
      <c r="I49" s="79"/>
      <c r="J49" s="79"/>
      <c r="K49" s="79"/>
      <c r="L49" s="55">
        <f>N34</f>
        <v>2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14653.464516831169</v>
      </c>
      <c r="H50" s="156" t="s">
        <v>114</v>
      </c>
      <c r="I50" s="157"/>
      <c r="J50" s="157"/>
      <c r="K50" s="157"/>
      <c r="L50" s="31">
        <f>L45</f>
        <v>687.1441880686782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1.765287093219357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687.1441880686782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84.223559680000008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2689.5479896276993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84.223559680000008</v>
      </c>
      <c r="D55" s="5" t="s">
        <v>86</v>
      </c>
      <c r="E55" s="5">
        <f>+L7</f>
        <v>76.2</v>
      </c>
      <c r="F55" s="5">
        <v>0.68</v>
      </c>
      <c r="G55" s="34">
        <f>F55*E55*C55*B55</f>
        <v>3840.4326121734152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21183.445118632284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1.765287093219357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x14ac:dyDescent="0.3">
      <c r="B63" s="17" t="s">
        <v>122</v>
      </c>
      <c r="G63" s="17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pageSetUpPr fitToPage="1"/>
  </sheetPr>
  <dimension ref="A1:S67"/>
  <sheetViews>
    <sheetView view="pageBreakPreview" zoomScale="70" zoomScaleNormal="100" zoomScaleSheetLayoutView="70" workbookViewId="0">
      <selection activeCell="N35" sqref="N35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5.8</v>
      </c>
      <c r="O3" s="7">
        <f>N3*3.28</f>
        <v>19.023999999999997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3.5</v>
      </c>
      <c r="O4" s="7">
        <f>N4*3.28</f>
        <v>11.479999999999999</v>
      </c>
      <c r="P4" s="8"/>
      <c r="Q4" s="8"/>
    </row>
    <row r="5" spans="1:19" x14ac:dyDescent="0.3">
      <c r="A5" s="9" t="s">
        <v>17</v>
      </c>
      <c r="B5" s="5"/>
      <c r="C5" s="162" t="s">
        <v>153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19.023999999999997</v>
      </c>
      <c r="D7" s="19">
        <f>+N8</f>
        <v>11.479999999999999</v>
      </c>
      <c r="E7" s="20">
        <f>+N9</f>
        <v>218.39551999999995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19.023999999999997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11.479999999999999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218.39551999999995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2507.1805695999992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0</v>
      </c>
      <c r="M11" s="25" t="s">
        <v>43</v>
      </c>
      <c r="N11" s="27">
        <v>0</v>
      </c>
      <c r="P11" s="36" t="s">
        <v>46</v>
      </c>
      <c r="Q11" s="37">
        <v>5</v>
      </c>
      <c r="R11" s="32"/>
    </row>
    <row r="12" spans="1:19" x14ac:dyDescent="0.3">
      <c r="A12" s="156" t="s">
        <v>47</v>
      </c>
      <c r="B12" s="157"/>
      <c r="C12" s="19">
        <f>+N12</f>
        <v>40</v>
      </c>
      <c r="D12" s="5" t="s">
        <v>44</v>
      </c>
      <c r="E12" s="5">
        <v>12</v>
      </c>
      <c r="F12" s="33">
        <v>0.56000000000000005</v>
      </c>
      <c r="G12" s="34">
        <f>F12*E12*C12</f>
        <v>268.8</v>
      </c>
      <c r="H12" s="9" t="s">
        <v>48</v>
      </c>
      <c r="I12" s="5"/>
      <c r="J12" s="5"/>
      <c r="K12" s="5"/>
      <c r="L12" s="31">
        <f>+Q17</f>
        <v>43.034850559999995</v>
      </c>
      <c r="M12" s="25" t="s">
        <v>47</v>
      </c>
      <c r="N12" s="38">
        <f>5*4*2</f>
        <v>40</v>
      </c>
      <c r="P12" s="32" t="s">
        <v>49</v>
      </c>
      <c r="Q12" s="39">
        <f>+Q11*C35</f>
        <v>20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9" t="s">
        <v>51</v>
      </c>
      <c r="I13" s="19">
        <f>N26</f>
        <v>4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20</v>
      </c>
      <c r="D14" s="5" t="s">
        <v>44</v>
      </c>
      <c r="E14" s="5">
        <v>12</v>
      </c>
      <c r="F14" s="33">
        <v>0.56000000000000005</v>
      </c>
      <c r="G14" s="34">
        <f>F14*E14*C14</f>
        <v>134.4</v>
      </c>
      <c r="H14" s="41" t="s">
        <v>55</v>
      </c>
      <c r="I14" s="42"/>
      <c r="J14" s="42"/>
      <c r="K14" s="42"/>
      <c r="L14" s="43">
        <f>L11*L10/60</f>
        <v>0</v>
      </c>
      <c r="M14" s="25" t="s">
        <v>54</v>
      </c>
      <c r="N14" s="27">
        <f>5*4</f>
        <v>20</v>
      </c>
      <c r="P14" s="29" t="s">
        <v>56</v>
      </c>
      <c r="Q14" s="27">
        <f>+Q13*E7</f>
        <v>13.103731199999997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33.103731199999999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f>N7*N10-N12</f>
        <v>178.39551999999995</v>
      </c>
      <c r="O16" s="40"/>
      <c r="P16" s="48" t="s">
        <v>61</v>
      </c>
      <c r="Q16" s="27">
        <f>Q15*30%</f>
        <v>9.9311193599999985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43.034850559999995</v>
      </c>
      <c r="R17" s="29"/>
    </row>
    <row r="18" spans="1:18" x14ac:dyDescent="0.3">
      <c r="A18" s="156" t="s">
        <v>60</v>
      </c>
      <c r="B18" s="157"/>
      <c r="C18" s="19">
        <f>+N16</f>
        <v>178.39551999999995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2219.9538508799992</v>
      </c>
      <c r="H18" s="9"/>
      <c r="I18" s="5"/>
      <c r="J18" s="5"/>
      <c r="K18" s="5"/>
      <c r="L18" s="6"/>
      <c r="M18" s="25" t="s">
        <v>64</v>
      </c>
      <c r="N18" s="27">
        <f>N8*N10-N14</f>
        <v>111.79039999999998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9"/>
      <c r="I19" s="5"/>
      <c r="J19" s="5"/>
      <c r="K19" s="47"/>
      <c r="L19" s="31"/>
      <c r="M19" s="25" t="s">
        <v>65</v>
      </c>
      <c r="N19" s="27">
        <v>0</v>
      </c>
      <c r="O19" s="40"/>
      <c r="P19" s="2"/>
    </row>
    <row r="20" spans="1:18" x14ac:dyDescent="0.3">
      <c r="A20" s="156" t="s">
        <v>64</v>
      </c>
      <c r="B20" s="157"/>
      <c r="C20" s="19">
        <f>+N18</f>
        <v>111.79039999999998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1315.1022655999996</v>
      </c>
      <c r="H20" s="9"/>
      <c r="I20" s="5"/>
      <c r="J20" s="5"/>
      <c r="K20" s="47"/>
      <c r="L20" s="31"/>
      <c r="M20" s="25" t="s">
        <v>66</v>
      </c>
      <c r="N20" s="27">
        <f>+N11+N12+N13+N14</f>
        <v>60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0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0</v>
      </c>
      <c r="H21" s="9"/>
      <c r="I21" s="5"/>
      <c r="J21" s="21"/>
      <c r="K21" s="47"/>
      <c r="L21" s="31"/>
      <c r="M21" s="52" t="s">
        <v>69</v>
      </c>
      <c r="N21" s="53">
        <f>Q25</f>
        <v>0</v>
      </c>
      <c r="P21" s="49" t="s">
        <v>70</v>
      </c>
      <c r="Q21" s="27">
        <v>0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v>0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v>0</v>
      </c>
      <c r="R23" s="4">
        <v>0</v>
      </c>
    </row>
    <row r="24" spans="1:18" x14ac:dyDescent="0.3">
      <c r="A24" s="156" t="s">
        <v>76</v>
      </c>
      <c r="B24" s="157"/>
      <c r="C24" s="19">
        <f>N20</f>
        <v>60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2278.0799999999995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v>0</v>
      </c>
      <c r="R24" s="4">
        <v>0</v>
      </c>
    </row>
    <row r="25" spans="1:18" x14ac:dyDescent="0.3">
      <c r="A25" s="156" t="s">
        <v>69</v>
      </c>
      <c r="B25" s="157"/>
      <c r="C25" s="19">
        <f>+N21</f>
        <v>0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0</v>
      </c>
      <c r="H25" s="179"/>
      <c r="I25" s="180"/>
      <c r="J25" s="180"/>
      <c r="K25" s="180"/>
      <c r="L25" s="181"/>
      <c r="M25" s="25" t="s">
        <v>79</v>
      </c>
      <c r="N25" s="27">
        <f>C32</f>
        <v>43.034850559999995</v>
      </c>
      <c r="O25" s="57"/>
      <c r="P25" s="58" t="s">
        <v>80</v>
      </c>
      <c r="Q25" s="27">
        <f>SUM(Q21:Q24)</f>
        <v>0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SUMMARY!I16</f>
        <v>4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SUMMARY!H16</f>
        <v>1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218.39551999999995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1.4414404965762051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43.034850559999995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187.39783885455356</v>
      </c>
      <c r="H32" s="9"/>
      <c r="I32" s="5"/>
      <c r="J32" s="5"/>
      <c r="K32" s="47"/>
      <c r="L32" s="63"/>
      <c r="M32" s="50" t="s">
        <v>87</v>
      </c>
      <c r="N32" s="46">
        <f>+L45</f>
        <v>703.03456592511043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1.5</v>
      </c>
    </row>
    <row r="35" spans="1:15" x14ac:dyDescent="0.3">
      <c r="A35" s="156" t="s">
        <v>81</v>
      </c>
      <c r="B35" s="157"/>
      <c r="C35" s="19">
        <f>I13</f>
        <v>4</v>
      </c>
      <c r="D35" s="5" t="s">
        <v>90</v>
      </c>
      <c r="E35" s="5">
        <v>240</v>
      </c>
      <c r="F35" s="5"/>
      <c r="G35" s="34">
        <f>E35*C35</f>
        <v>960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1</v>
      </c>
      <c r="D36" s="5" t="s">
        <v>91</v>
      </c>
      <c r="E36" s="5">
        <v>3413</v>
      </c>
      <c r="F36" s="5">
        <v>1</v>
      </c>
      <c r="G36" s="34">
        <f>F36*E36*C36</f>
        <v>3413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218.39551999999995</v>
      </c>
      <c r="D37" s="5" t="s">
        <v>92</v>
      </c>
      <c r="E37" s="5">
        <v>3.4129999999999998</v>
      </c>
      <c r="F37" s="5"/>
      <c r="G37" s="34">
        <f>+E37*C37</f>
        <v>745.38390975999982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11522.117865094551</v>
      </c>
      <c r="H39" s="156" t="s">
        <v>97</v>
      </c>
      <c r="I39" s="157"/>
      <c r="J39" s="157"/>
      <c r="K39" s="157"/>
      <c r="L39" s="69">
        <f>G41</f>
        <v>12962.38259823137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1440.2647331368189</v>
      </c>
      <c r="H40" s="156" t="s">
        <v>99</v>
      </c>
      <c r="I40" s="157"/>
      <c r="J40" s="157"/>
      <c r="K40" s="157"/>
      <c r="L40" s="70">
        <f>G50</f>
        <v>13960.728582024809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12962.38259823137</v>
      </c>
      <c r="H41" s="156" t="s">
        <v>100</v>
      </c>
      <c r="I41" s="157"/>
      <c r="J41" s="157"/>
      <c r="K41" s="157"/>
      <c r="L41" s="72">
        <f>L39/L40</f>
        <v>0.92848897692353516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43.034850559999995</v>
      </c>
      <c r="D44" s="5" t="s">
        <v>86</v>
      </c>
      <c r="E44" s="5">
        <f>+L7</f>
        <v>76.2</v>
      </c>
      <c r="F44" s="5">
        <v>0.68</v>
      </c>
      <c r="G44" s="34">
        <f>F44*E44*C44*B44</f>
        <v>267.58725799403521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4</v>
      </c>
      <c r="D45" s="5" t="s">
        <v>90</v>
      </c>
      <c r="E45" s="5">
        <v>160</v>
      </c>
      <c r="F45" s="5"/>
      <c r="G45" s="30">
        <f>E45*C45</f>
        <v>640</v>
      </c>
      <c r="H45" s="156" t="s">
        <v>108</v>
      </c>
      <c r="I45" s="157"/>
      <c r="J45" s="157"/>
      <c r="K45" s="157"/>
      <c r="L45" s="77">
        <f>L39/(L44*1.08)</f>
        <v>703.03456592511043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907.58725799403521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90.758725799403521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998.34598379343879</v>
      </c>
      <c r="H49" s="9" t="s">
        <v>113</v>
      </c>
      <c r="I49" s="79"/>
      <c r="J49" s="79"/>
      <c r="K49" s="79"/>
      <c r="L49" s="55">
        <f>N34</f>
        <v>1.5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13960.728582024809</v>
      </c>
      <c r="H50" s="156" t="s">
        <v>114</v>
      </c>
      <c r="I50" s="157"/>
      <c r="J50" s="157"/>
      <c r="K50" s="157"/>
      <c r="L50" s="31">
        <f>L45</f>
        <v>703.03456592511043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1.4414404965762051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703.03456592511043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43.034850559999995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1374.2508182667261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43.034850559999995</v>
      </c>
      <c r="D55" s="5" t="s">
        <v>86</v>
      </c>
      <c r="E55" s="5">
        <f>+L7</f>
        <v>76.2</v>
      </c>
      <c r="F55" s="5">
        <v>0.68</v>
      </c>
      <c r="G55" s="34">
        <f>F55*E55*C55*B55</f>
        <v>1962.306558622925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17297.285958914461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1.4414404965762051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x14ac:dyDescent="0.3">
      <c r="B63" s="17" t="s">
        <v>122</v>
      </c>
      <c r="G63" s="17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tabColor theme="5" tint="0.59999389629810485"/>
    <pageSetUpPr fitToPage="1"/>
  </sheetPr>
  <dimension ref="A1:S67"/>
  <sheetViews>
    <sheetView view="pageBreakPreview" zoomScale="70" zoomScaleNormal="100" zoomScaleSheetLayoutView="70" workbookViewId="0">
      <selection activeCell="N35" sqref="N35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10.6</v>
      </c>
      <c r="O3" s="7">
        <f>N3*3.28</f>
        <v>34.767999999999994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6</v>
      </c>
      <c r="O4" s="7">
        <f>N4*3.28</f>
        <v>19.68</v>
      </c>
      <c r="P4" s="8"/>
      <c r="Q4" s="8"/>
    </row>
    <row r="5" spans="1:19" x14ac:dyDescent="0.3">
      <c r="A5" s="9" t="s">
        <v>17</v>
      </c>
      <c r="B5" s="5"/>
      <c r="C5" s="162" t="s">
        <v>154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34.767999999999994</v>
      </c>
      <c r="D7" s="19">
        <f>+N8</f>
        <v>19.68</v>
      </c>
      <c r="E7" s="20">
        <f>+N9</f>
        <v>684.23423999999989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34.767999999999994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19.68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684.23423999999989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7855.0090751999978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2</v>
      </c>
      <c r="M11" s="25" t="s">
        <v>43</v>
      </c>
      <c r="N11" s="27">
        <v>0</v>
      </c>
      <c r="P11" s="36" t="s">
        <v>46</v>
      </c>
      <c r="Q11" s="37">
        <v>7.5</v>
      </c>
      <c r="R11" s="32"/>
    </row>
    <row r="12" spans="1:19" x14ac:dyDescent="0.3">
      <c r="A12" s="156" t="s">
        <v>47</v>
      </c>
      <c r="B12" s="157"/>
      <c r="C12" s="19">
        <f>+N12</f>
        <v>0</v>
      </c>
      <c r="D12" s="5" t="s">
        <v>44</v>
      </c>
      <c r="E12" s="5">
        <v>12</v>
      </c>
      <c r="F12" s="33">
        <v>0.56000000000000005</v>
      </c>
      <c r="G12" s="34">
        <f>F12*E12*C12</f>
        <v>0</v>
      </c>
      <c r="H12" s="9" t="s">
        <v>48</v>
      </c>
      <c r="I12" s="5"/>
      <c r="J12" s="5"/>
      <c r="K12" s="5"/>
      <c r="L12" s="31">
        <f>+Q17</f>
        <v>82.620270719999979</v>
      </c>
      <c r="M12" s="25" t="s">
        <v>47</v>
      </c>
      <c r="N12" s="38">
        <v>0</v>
      </c>
      <c r="P12" s="32" t="s">
        <v>49</v>
      </c>
      <c r="Q12" s="39">
        <f>+Q11*C35</f>
        <v>22.5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9" t="s">
        <v>51</v>
      </c>
      <c r="I13" s="19">
        <f>N26</f>
        <v>3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261.83363583999994</v>
      </c>
      <c r="M14" s="25" t="s">
        <v>54</v>
      </c>
      <c r="N14" s="27">
        <v>0</v>
      </c>
      <c r="P14" s="29" t="s">
        <v>56</v>
      </c>
      <c r="Q14" s="27">
        <f>+Q13*E7</f>
        <v>41.054054399999991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63.554054399999991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v>0</v>
      </c>
      <c r="O16" s="40"/>
      <c r="P16" s="48" t="s">
        <v>61</v>
      </c>
      <c r="Q16" s="27">
        <f>Q15*30%</f>
        <v>19.066216319999995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f>N8*N10-N13</f>
        <v>225.92639999999997</v>
      </c>
      <c r="O17" s="40"/>
      <c r="P17" s="28" t="s">
        <v>63</v>
      </c>
      <c r="Q17" s="49">
        <f>SUM(Q15:Q16)</f>
        <v>82.620270719999979</v>
      </c>
      <c r="R17" s="29"/>
    </row>
    <row r="18" spans="1:18" x14ac:dyDescent="0.3">
      <c r="A18" s="156" t="s">
        <v>60</v>
      </c>
      <c r="B18" s="157"/>
      <c r="C18" s="19">
        <f>+N16</f>
        <v>0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0</v>
      </c>
      <c r="H18" s="9"/>
      <c r="I18" s="5"/>
      <c r="J18" s="5"/>
      <c r="K18" s="5"/>
      <c r="L18" s="6"/>
      <c r="M18" s="25" t="s">
        <v>64</v>
      </c>
      <c r="N18" s="27">
        <f>(O7-N14)*N13</f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225.92639999999997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2350.5382655999992</v>
      </c>
      <c r="H19" s="9"/>
      <c r="I19" s="5"/>
      <c r="J19" s="5"/>
      <c r="K19" s="47"/>
      <c r="L19" s="31"/>
      <c r="M19" s="25" t="s">
        <v>65</v>
      </c>
      <c r="N19" s="27">
        <v>0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9"/>
      <c r="I20" s="5"/>
      <c r="J20" s="5"/>
      <c r="K20" s="47"/>
      <c r="L20" s="31"/>
      <c r="M20" s="25" t="s">
        <v>66</v>
      </c>
      <c r="N20" s="27">
        <f>+N11+N12+N13+N14</f>
        <v>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0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0</v>
      </c>
      <c r="H21" s="9"/>
      <c r="I21" s="5"/>
      <c r="J21" s="21"/>
      <c r="K21" s="47"/>
      <c r="L21" s="31"/>
      <c r="M21" s="52" t="s">
        <v>69</v>
      </c>
      <c r="N21" s="53">
        <f>Q25</f>
        <v>854.75487999999984</v>
      </c>
      <c r="P21" s="49" t="s">
        <v>70</v>
      </c>
      <c r="Q21" s="27">
        <f>N7*N10</f>
        <v>399.13663999999989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f>N8*N10</f>
        <v>225.92639999999997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f>2.6*3.28*N10</f>
        <v>97.901439999999994</v>
      </c>
      <c r="R23" s="4">
        <v>0</v>
      </c>
    </row>
    <row r="24" spans="1:18" x14ac:dyDescent="0.3">
      <c r="A24" s="156" t="s">
        <v>76</v>
      </c>
      <c r="B24" s="157"/>
      <c r="C24" s="19">
        <f>N20</f>
        <v>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0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f>3.5*3.28*N10</f>
        <v>131.79039999999998</v>
      </c>
      <c r="R24" s="4">
        <v>0</v>
      </c>
    </row>
    <row r="25" spans="1:18" x14ac:dyDescent="0.3">
      <c r="A25" s="156" t="s">
        <v>69</v>
      </c>
      <c r="B25" s="157"/>
      <c r="C25" s="19">
        <f>+N21</f>
        <v>854.75487999999984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9778.3958271999963</v>
      </c>
      <c r="H25" s="179"/>
      <c r="I25" s="180"/>
      <c r="J25" s="180"/>
      <c r="K25" s="180"/>
      <c r="L25" s="181"/>
      <c r="M25" s="25" t="s">
        <v>79</v>
      </c>
      <c r="N25" s="27">
        <f>C32</f>
        <v>261.83363583999994</v>
      </c>
      <c r="O25" s="57"/>
      <c r="P25" s="58" t="s">
        <v>80</v>
      </c>
      <c r="Q25" s="27">
        <f>SUM(Q21:Q24)</f>
        <v>854.75487999999984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SUMMARY!I19</f>
        <v>3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SUMMARY!H19</f>
        <v>1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684.23423999999989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3.7353163954136663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261.83363583999994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1140.1702772834299</v>
      </c>
      <c r="H32" s="9"/>
      <c r="I32" s="5"/>
      <c r="J32" s="5"/>
      <c r="K32" s="47"/>
      <c r="L32" s="63"/>
      <c r="M32" s="50" t="s">
        <v>87</v>
      </c>
      <c r="N32" s="46">
        <f>+L45</f>
        <v>1204.2986951833545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4</v>
      </c>
    </row>
    <row r="35" spans="1:15" x14ac:dyDescent="0.3">
      <c r="A35" s="156" t="s">
        <v>81</v>
      </c>
      <c r="B35" s="157"/>
      <c r="C35" s="19">
        <f>I13</f>
        <v>3</v>
      </c>
      <c r="D35" s="5" t="s">
        <v>90</v>
      </c>
      <c r="E35" s="5">
        <v>240</v>
      </c>
      <c r="F35" s="5"/>
      <c r="G35" s="34">
        <f>E35*C35</f>
        <v>720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1</v>
      </c>
      <c r="D36" s="5" t="s">
        <v>91</v>
      </c>
      <c r="E36" s="5">
        <v>3413</v>
      </c>
      <c r="F36" s="5">
        <v>1</v>
      </c>
      <c r="G36" s="34">
        <f>F36*E36*C36</f>
        <v>3413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684.23423999999989</v>
      </c>
      <c r="D37" s="5" t="s">
        <v>92</v>
      </c>
      <c r="E37" s="5">
        <v>3.4129999999999998</v>
      </c>
      <c r="F37" s="5"/>
      <c r="G37" s="34">
        <f>+E37*C37</f>
        <v>2335.2914611199994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19737.395831203426</v>
      </c>
      <c r="H39" s="156" t="s">
        <v>97</v>
      </c>
      <c r="I39" s="157"/>
      <c r="J39" s="157"/>
      <c r="K39" s="157"/>
      <c r="L39" s="69">
        <f>G41</f>
        <v>22204.570310103856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2467.1744789004283</v>
      </c>
      <c r="H40" s="156" t="s">
        <v>99</v>
      </c>
      <c r="I40" s="157"/>
      <c r="J40" s="157"/>
      <c r="K40" s="157"/>
      <c r="L40" s="70">
        <f>G50</f>
        <v>24523.436971162333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22204.570310103856</v>
      </c>
      <c r="H41" s="156" t="s">
        <v>100</v>
      </c>
      <c r="I41" s="157"/>
      <c r="J41" s="157"/>
      <c r="K41" s="157"/>
      <c r="L41" s="72">
        <f>L39/L40</f>
        <v>0.90544283561128547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261.83363583999994</v>
      </c>
      <c r="D44" s="5" t="s">
        <v>86</v>
      </c>
      <c r="E44" s="5">
        <f>+L7</f>
        <v>76.2</v>
      </c>
      <c r="F44" s="5">
        <v>0.68</v>
      </c>
      <c r="G44" s="34">
        <f>F44*E44*C44*B44</f>
        <v>1628.0606009622525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3</v>
      </c>
      <c r="D45" s="5" t="s">
        <v>90</v>
      </c>
      <c r="E45" s="5">
        <v>160</v>
      </c>
      <c r="F45" s="5"/>
      <c r="G45" s="30">
        <f>E45*C45</f>
        <v>480</v>
      </c>
      <c r="H45" s="156" t="s">
        <v>108</v>
      </c>
      <c r="I45" s="157"/>
      <c r="J45" s="157"/>
      <c r="K45" s="157"/>
      <c r="L45" s="77">
        <f>L39/(L44*1.08)</f>
        <v>1204.2986951833545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2108.0606009622525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210.80606009622525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2318.8666610584778</v>
      </c>
      <c r="H49" s="9" t="s">
        <v>113</v>
      </c>
      <c r="I49" s="79"/>
      <c r="J49" s="79"/>
      <c r="K49" s="79"/>
      <c r="L49" s="55">
        <f>N34</f>
        <v>4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24523.436971162333</v>
      </c>
      <c r="H50" s="156" t="s">
        <v>114</v>
      </c>
      <c r="I50" s="157"/>
      <c r="J50" s="157"/>
      <c r="K50" s="157"/>
      <c r="L50" s="31">
        <f>L45</f>
        <v>1204.2986951833545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3.7353163954136663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1204.2986951833545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261.83363583999994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8361.2487000784859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261.83363583999994</v>
      </c>
      <c r="D55" s="5" t="s">
        <v>86</v>
      </c>
      <c r="E55" s="5">
        <f>+L7</f>
        <v>76.2</v>
      </c>
      <c r="F55" s="5">
        <v>0.68</v>
      </c>
      <c r="G55" s="34">
        <f>F55*E55*C55*B55</f>
        <v>11939.111073723185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44823.796744963998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3.7353163954136663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x14ac:dyDescent="0.3">
      <c r="B63" s="17" t="s">
        <v>122</v>
      </c>
      <c r="G63" s="17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pageSetUpPr fitToPage="1"/>
  </sheetPr>
  <dimension ref="A1:S67"/>
  <sheetViews>
    <sheetView view="pageBreakPreview" zoomScale="70" zoomScaleNormal="100" zoomScaleSheetLayoutView="70" workbookViewId="0">
      <selection activeCell="N35" sqref="N35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10.6</v>
      </c>
      <c r="O3" s="7">
        <f>N3*3.28</f>
        <v>34.767999999999994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5.8</v>
      </c>
      <c r="O4" s="7">
        <f>N4*3.28</f>
        <v>19.023999999999997</v>
      </c>
      <c r="P4" s="8"/>
      <c r="Q4" s="8"/>
    </row>
    <row r="5" spans="1:19" x14ac:dyDescent="0.3">
      <c r="A5" s="9" t="s">
        <v>17</v>
      </c>
      <c r="B5" s="5"/>
      <c r="C5" s="162" t="s">
        <v>155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34.767999999999994</v>
      </c>
      <c r="D7" s="19">
        <f>+N8</f>
        <v>19.023999999999997</v>
      </c>
      <c r="E7" s="20">
        <f>+N9</f>
        <v>661.42643199999975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34.767999999999994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19.023999999999997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661.42643199999975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7593.1754393599958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2</v>
      </c>
      <c r="M11" s="25" t="s">
        <v>43</v>
      </c>
      <c r="N11" s="27">
        <v>0</v>
      </c>
      <c r="P11" s="36" t="s">
        <v>46</v>
      </c>
      <c r="Q11" s="37">
        <v>7.5</v>
      </c>
      <c r="R11" s="32"/>
    </row>
    <row r="12" spans="1:19" x14ac:dyDescent="0.3">
      <c r="A12" s="156" t="s">
        <v>47</v>
      </c>
      <c r="B12" s="157"/>
      <c r="C12" s="19">
        <f>+N12</f>
        <v>0</v>
      </c>
      <c r="D12" s="5" t="s">
        <v>44</v>
      </c>
      <c r="E12" s="5">
        <v>12</v>
      </c>
      <c r="F12" s="33">
        <v>0.56000000000000005</v>
      </c>
      <c r="G12" s="34">
        <f>F12*E12*C12</f>
        <v>0</v>
      </c>
      <c r="H12" s="9" t="s">
        <v>48</v>
      </c>
      <c r="I12" s="5"/>
      <c r="J12" s="5"/>
      <c r="K12" s="5"/>
      <c r="L12" s="31">
        <f>+Q17</f>
        <v>80.841261695999975</v>
      </c>
      <c r="M12" s="25" t="s">
        <v>47</v>
      </c>
      <c r="N12" s="38">
        <v>0</v>
      </c>
      <c r="P12" s="32" t="s">
        <v>49</v>
      </c>
      <c r="Q12" s="39">
        <f>+Q11*C35</f>
        <v>22.5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9" t="s">
        <v>51</v>
      </c>
      <c r="I13" s="19">
        <f>N26</f>
        <v>3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253.10584797866653</v>
      </c>
      <c r="M14" s="25" t="s">
        <v>54</v>
      </c>
      <c r="N14" s="27">
        <v>0</v>
      </c>
      <c r="P14" s="29" t="s">
        <v>56</v>
      </c>
      <c r="Q14" s="27">
        <f>+Q13*E7</f>
        <v>39.685585919999987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62.185585919999987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v>0</v>
      </c>
      <c r="O16" s="40"/>
      <c r="P16" s="48" t="s">
        <v>61</v>
      </c>
      <c r="Q16" s="27">
        <f>Q15*30%</f>
        <v>18.655675775999995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f>N8*N10-N13</f>
        <v>218.39551999999995</v>
      </c>
      <c r="O17" s="40"/>
      <c r="P17" s="28" t="s">
        <v>63</v>
      </c>
      <c r="Q17" s="49">
        <f>SUM(Q15:Q16)</f>
        <v>80.841261695999975</v>
      </c>
      <c r="R17" s="29"/>
    </row>
    <row r="18" spans="1:18" x14ac:dyDescent="0.3">
      <c r="A18" s="156" t="s">
        <v>60</v>
      </c>
      <c r="B18" s="157"/>
      <c r="C18" s="19">
        <f>+N16</f>
        <v>0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0</v>
      </c>
      <c r="H18" s="9"/>
      <c r="I18" s="5"/>
      <c r="J18" s="5"/>
      <c r="K18" s="5"/>
      <c r="L18" s="6"/>
      <c r="M18" s="25" t="s">
        <v>64</v>
      </c>
      <c r="N18" s="27"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218.39551999999995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2272.1869900799988</v>
      </c>
      <c r="H19" s="9"/>
      <c r="I19" s="5"/>
      <c r="J19" s="5"/>
      <c r="K19" s="47"/>
      <c r="L19" s="31"/>
      <c r="M19" s="25" t="s">
        <v>65</v>
      </c>
      <c r="N19" s="27">
        <v>0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9"/>
      <c r="I20" s="5"/>
      <c r="J20" s="5"/>
      <c r="K20" s="47"/>
      <c r="L20" s="31"/>
      <c r="M20" s="25" t="s">
        <v>66</v>
      </c>
      <c r="N20" s="27">
        <f>+N11+N12+N13+N14</f>
        <v>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0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0</v>
      </c>
      <c r="H21" s="9"/>
      <c r="I21" s="5"/>
      <c r="J21" s="21"/>
      <c r="K21" s="47"/>
      <c r="L21" s="31"/>
      <c r="M21" s="52" t="s">
        <v>69</v>
      </c>
      <c r="N21" s="53">
        <f>Q25</f>
        <v>218.39551999999995</v>
      </c>
      <c r="P21" s="49" t="s">
        <v>70</v>
      </c>
      <c r="Q21" s="27">
        <v>0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f>N8*N10</f>
        <v>218.39551999999995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v>0</v>
      </c>
      <c r="R23" s="4">
        <v>0</v>
      </c>
    </row>
    <row r="24" spans="1:18" x14ac:dyDescent="0.3">
      <c r="A24" s="156" t="s">
        <v>76</v>
      </c>
      <c r="B24" s="157"/>
      <c r="C24" s="19">
        <f>N20</f>
        <v>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0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v>0</v>
      </c>
      <c r="R24" s="4">
        <v>0</v>
      </c>
    </row>
    <row r="25" spans="1:18" x14ac:dyDescent="0.3">
      <c r="A25" s="156" t="s">
        <v>69</v>
      </c>
      <c r="B25" s="157"/>
      <c r="C25" s="19">
        <f>+N21</f>
        <v>218.39551999999995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2498.4447487999987</v>
      </c>
      <c r="H25" s="179"/>
      <c r="I25" s="180"/>
      <c r="J25" s="180"/>
      <c r="K25" s="180"/>
      <c r="L25" s="181"/>
      <c r="M25" s="25" t="s">
        <v>79</v>
      </c>
      <c r="N25" s="27">
        <f>C32</f>
        <v>253.10584797866653</v>
      </c>
      <c r="O25" s="57"/>
      <c r="P25" s="58" t="s">
        <v>80</v>
      </c>
      <c r="Q25" s="27">
        <f>SUM(Q21:Q24)</f>
        <v>218.39551999999995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SUMMARY!I20</f>
        <v>3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SUMMARY!H20</f>
        <v>1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661.42643199999975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2.9732502139265442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253.10584797866653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1102.1646013739821</v>
      </c>
      <c r="H32" s="9"/>
      <c r="I32" s="5"/>
      <c r="J32" s="5"/>
      <c r="K32" s="47"/>
      <c r="L32" s="63"/>
      <c r="M32" s="50" t="s">
        <v>87</v>
      </c>
      <c r="N32" s="46">
        <f>+L45</f>
        <v>748.2552298518757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3</v>
      </c>
    </row>
    <row r="35" spans="1:15" x14ac:dyDescent="0.3">
      <c r="A35" s="156" t="s">
        <v>81</v>
      </c>
      <c r="B35" s="157"/>
      <c r="C35" s="19">
        <f>I13</f>
        <v>3</v>
      </c>
      <c r="D35" s="5" t="s">
        <v>90</v>
      </c>
      <c r="E35" s="5">
        <v>240</v>
      </c>
      <c r="F35" s="5"/>
      <c r="G35" s="34">
        <f>E35*C35</f>
        <v>720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1</v>
      </c>
      <c r="D36" s="5" t="s">
        <v>91</v>
      </c>
      <c r="E36" s="5">
        <v>3413</v>
      </c>
      <c r="F36" s="5">
        <v>1</v>
      </c>
      <c r="G36" s="34">
        <f>F36*E36*C36</f>
        <v>3413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661.42643199999975</v>
      </c>
      <c r="D37" s="5" t="s">
        <v>92</v>
      </c>
      <c r="E37" s="5">
        <v>3.4129999999999998</v>
      </c>
      <c r="F37" s="5"/>
      <c r="G37" s="34">
        <f>+E37*C37</f>
        <v>2257.448412415999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12263.244752669978</v>
      </c>
      <c r="H39" s="156" t="s">
        <v>97</v>
      </c>
      <c r="I39" s="157"/>
      <c r="J39" s="157"/>
      <c r="K39" s="157"/>
      <c r="L39" s="69">
        <f>G41</f>
        <v>13796.150346753726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1532.9055940837472</v>
      </c>
      <c r="H40" s="156" t="s">
        <v>99</v>
      </c>
      <c r="I40" s="157"/>
      <c r="J40" s="157"/>
      <c r="K40" s="157"/>
      <c r="L40" s="70">
        <f>G50</f>
        <v>16055.321452443586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13796.150346753726</v>
      </c>
      <c r="H41" s="156" t="s">
        <v>100</v>
      </c>
      <c r="I41" s="157"/>
      <c r="J41" s="157"/>
      <c r="K41" s="157"/>
      <c r="L41" s="72">
        <f>L39/L40</f>
        <v>0.85928832926941989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253.10584797866653</v>
      </c>
      <c r="D44" s="5" t="s">
        <v>86</v>
      </c>
      <c r="E44" s="5">
        <f>+L7</f>
        <v>76.2</v>
      </c>
      <c r="F44" s="5">
        <v>0.68</v>
      </c>
      <c r="G44" s="34">
        <f>F44*E44*C44*B44</f>
        <v>1573.7919142635103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3</v>
      </c>
      <c r="D45" s="5" t="s">
        <v>90</v>
      </c>
      <c r="E45" s="5">
        <v>160</v>
      </c>
      <c r="F45" s="5"/>
      <c r="G45" s="30">
        <f>E45*C45</f>
        <v>480</v>
      </c>
      <c r="H45" s="156" t="s">
        <v>108</v>
      </c>
      <c r="I45" s="157"/>
      <c r="J45" s="157"/>
      <c r="K45" s="157"/>
      <c r="L45" s="77">
        <f>L39/(L44*1.08)</f>
        <v>748.2552298518757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2053.7919142635101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205.37919142635101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2259.1711056898612</v>
      </c>
      <c r="H49" s="9" t="s">
        <v>113</v>
      </c>
      <c r="I49" s="79"/>
      <c r="J49" s="79"/>
      <c r="K49" s="79"/>
      <c r="L49" s="55">
        <f>N34</f>
        <v>3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16055.321452443586</v>
      </c>
      <c r="H50" s="156" t="s">
        <v>114</v>
      </c>
      <c r="I50" s="157"/>
      <c r="J50" s="157"/>
      <c r="K50" s="157"/>
      <c r="L50" s="31">
        <f>L45</f>
        <v>748.2552298518757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2.9732502139265442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748.2552298518757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253.10584797866653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8082.5404100758687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253.10584797866653</v>
      </c>
      <c r="D55" s="5" t="s">
        <v>86</v>
      </c>
      <c r="E55" s="5">
        <f>+L7</f>
        <v>76.2</v>
      </c>
      <c r="F55" s="5">
        <v>0.68</v>
      </c>
      <c r="G55" s="34">
        <f>F55*E55*C55*B55</f>
        <v>11541.140704599075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35679.002567118529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2.9732502139265442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x14ac:dyDescent="0.3">
      <c r="B63" s="17" t="s">
        <v>122</v>
      </c>
      <c r="G63" s="17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pageSetUpPr fitToPage="1"/>
  </sheetPr>
  <dimension ref="A1:S67"/>
  <sheetViews>
    <sheetView view="pageBreakPreview" zoomScale="70" zoomScaleNormal="100" zoomScaleSheetLayoutView="70" workbookViewId="0">
      <selection activeCell="N35" sqref="N35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10.6</v>
      </c>
      <c r="O3" s="7">
        <f>N3*3.28</f>
        <v>34.767999999999994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5.85</v>
      </c>
      <c r="O4" s="7">
        <f>N4*3.28</f>
        <v>19.187999999999999</v>
      </c>
      <c r="P4" s="8"/>
      <c r="Q4" s="8"/>
    </row>
    <row r="5" spans="1:19" x14ac:dyDescent="0.3">
      <c r="A5" s="9" t="s">
        <v>17</v>
      </c>
      <c r="B5" s="5"/>
      <c r="C5" s="162" t="s">
        <v>156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34.767999999999994</v>
      </c>
      <c r="D7" s="19">
        <f>+N8</f>
        <v>19.187999999999999</v>
      </c>
      <c r="E7" s="20">
        <f>+N9</f>
        <v>667.12838399999987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34.767999999999994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19.187999999999999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667.12838399999987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7658.6338483199979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2</v>
      </c>
      <c r="M11" s="25" t="s">
        <v>43</v>
      </c>
      <c r="N11" s="27">
        <v>0</v>
      </c>
      <c r="P11" s="36" t="s">
        <v>46</v>
      </c>
      <c r="Q11" s="37">
        <v>7.5</v>
      </c>
      <c r="R11" s="32"/>
    </row>
    <row r="12" spans="1:19" x14ac:dyDescent="0.3">
      <c r="A12" s="156" t="s">
        <v>47</v>
      </c>
      <c r="B12" s="157"/>
      <c r="C12" s="19">
        <f>+N12</f>
        <v>0</v>
      </c>
      <c r="D12" s="5" t="s">
        <v>44</v>
      </c>
      <c r="E12" s="5">
        <v>12</v>
      </c>
      <c r="F12" s="33">
        <v>0.56000000000000005</v>
      </c>
      <c r="G12" s="34">
        <f>F12*E12*C12</f>
        <v>0</v>
      </c>
      <c r="H12" s="9" t="s">
        <v>48</v>
      </c>
      <c r="I12" s="5"/>
      <c r="J12" s="5"/>
      <c r="K12" s="5"/>
      <c r="L12" s="31">
        <f>+Q17</f>
        <v>81.28601395199999</v>
      </c>
      <c r="M12" s="25" t="s">
        <v>47</v>
      </c>
      <c r="N12" s="38">
        <v>0</v>
      </c>
      <c r="P12" s="32" t="s">
        <v>49</v>
      </c>
      <c r="Q12" s="39">
        <f>+Q11*C35</f>
        <v>22.5</v>
      </c>
      <c r="R12" s="32"/>
    </row>
    <row r="13" spans="1:19" x14ac:dyDescent="0.3">
      <c r="A13" s="156" t="s">
        <v>50</v>
      </c>
      <c r="B13" s="157"/>
      <c r="C13" s="19">
        <f>+N13</f>
        <v>40</v>
      </c>
      <c r="D13" s="5" t="s">
        <v>44</v>
      </c>
      <c r="E13" s="5">
        <v>163</v>
      </c>
      <c r="F13" s="33">
        <v>0.56000000000000005</v>
      </c>
      <c r="G13" s="34">
        <f>F13*E13*C13</f>
        <v>3651.2000000000007</v>
      </c>
      <c r="H13" s="9" t="s">
        <v>51</v>
      </c>
      <c r="I13" s="19">
        <f>N26</f>
        <v>3</v>
      </c>
      <c r="J13" s="5"/>
      <c r="K13" s="5"/>
      <c r="L13" s="31">
        <f>+J13*I13</f>
        <v>0</v>
      </c>
      <c r="M13" s="25" t="s">
        <v>52</v>
      </c>
      <c r="N13" s="27">
        <f>5*4*2</f>
        <v>40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255.28779494399993</v>
      </c>
      <c r="M14" s="25" t="s">
        <v>54</v>
      </c>
      <c r="N14" s="27">
        <v>0</v>
      </c>
      <c r="P14" s="29" t="s">
        <v>56</v>
      </c>
      <c r="Q14" s="27">
        <f>+Q13*E7</f>
        <v>40.027703039999992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62.527703039999992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v>0</v>
      </c>
      <c r="O16" s="40"/>
      <c r="P16" s="48" t="s">
        <v>61</v>
      </c>
      <c r="Q16" s="27">
        <f>Q15*30%</f>
        <v>18.758310911999995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f>N8*N10-N13</f>
        <v>180.27823999999995</v>
      </c>
      <c r="O17" s="40"/>
      <c r="P17" s="28" t="s">
        <v>63</v>
      </c>
      <c r="Q17" s="49">
        <f>SUM(Q15:Q16)</f>
        <v>81.28601395199999</v>
      </c>
      <c r="R17" s="29"/>
    </row>
    <row r="18" spans="1:18" x14ac:dyDescent="0.3">
      <c r="A18" s="156" t="s">
        <v>60</v>
      </c>
      <c r="B18" s="157"/>
      <c r="C18" s="19">
        <f>+N16</f>
        <v>0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0</v>
      </c>
      <c r="H18" s="9"/>
      <c r="I18" s="5"/>
      <c r="J18" s="5"/>
      <c r="K18" s="5"/>
      <c r="L18" s="6"/>
      <c r="M18" s="25" t="s">
        <v>64</v>
      </c>
      <c r="N18" s="27"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180.27823999999995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1875.6148089599992</v>
      </c>
      <c r="H19" s="9"/>
      <c r="I19" s="5"/>
      <c r="J19" s="5"/>
      <c r="K19" s="47"/>
      <c r="L19" s="31"/>
      <c r="M19" s="25" t="s">
        <v>65</v>
      </c>
      <c r="N19" s="27">
        <v>0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9"/>
      <c r="I20" s="5"/>
      <c r="J20" s="5"/>
      <c r="K20" s="47"/>
      <c r="L20" s="31"/>
      <c r="M20" s="25" t="s">
        <v>66</v>
      </c>
      <c r="N20" s="27">
        <f>+N11+N12+N13+N14</f>
        <v>40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0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0</v>
      </c>
      <c r="H21" s="9"/>
      <c r="I21" s="5"/>
      <c r="J21" s="21"/>
      <c r="K21" s="47"/>
      <c r="L21" s="31"/>
      <c r="M21" s="52" t="s">
        <v>69</v>
      </c>
      <c r="N21" s="53">
        <f>Q25</f>
        <v>220.27823999999995</v>
      </c>
      <c r="P21" s="49" t="s">
        <v>70</v>
      </c>
      <c r="Q21" s="27">
        <v>0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f>N8*N10</f>
        <v>220.27823999999995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v>0</v>
      </c>
      <c r="R23" s="4">
        <v>0</v>
      </c>
    </row>
    <row r="24" spans="1:18" x14ac:dyDescent="0.3">
      <c r="A24" s="156" t="s">
        <v>76</v>
      </c>
      <c r="B24" s="157"/>
      <c r="C24" s="19">
        <f>N20</f>
        <v>40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1518.7199999999996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v>0</v>
      </c>
      <c r="R24" s="4">
        <v>0</v>
      </c>
    </row>
    <row r="25" spans="1:18" x14ac:dyDescent="0.3">
      <c r="A25" s="156" t="s">
        <v>69</v>
      </c>
      <c r="B25" s="157"/>
      <c r="C25" s="19">
        <f>+N21</f>
        <v>220.27823999999995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2519.983065599999</v>
      </c>
      <c r="H25" s="179"/>
      <c r="I25" s="180"/>
      <c r="J25" s="180"/>
      <c r="K25" s="180"/>
      <c r="L25" s="181"/>
      <c r="M25" s="25" t="s">
        <v>79</v>
      </c>
      <c r="N25" s="27">
        <f>C32</f>
        <v>255.28779494399993</v>
      </c>
      <c r="O25" s="57"/>
      <c r="P25" s="58" t="s">
        <v>80</v>
      </c>
      <c r="Q25" s="27">
        <f>SUM(Q21:Q24)</f>
        <v>220.27823999999995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SUMMARY!I21</f>
        <v>3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SUMMARY!H21</f>
        <v>1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667.12838399999987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3.4408271230983254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255.28779494399993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1111.6660203513443</v>
      </c>
      <c r="H32" s="9"/>
      <c r="I32" s="5"/>
      <c r="J32" s="5"/>
      <c r="K32" s="47"/>
      <c r="L32" s="63"/>
      <c r="M32" s="50" t="s">
        <v>87</v>
      </c>
      <c r="N32" s="46">
        <f>+L45</f>
        <v>1042.5875867345735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3.5</v>
      </c>
    </row>
    <row r="35" spans="1:15" x14ac:dyDescent="0.3">
      <c r="A35" s="156" t="s">
        <v>81</v>
      </c>
      <c r="B35" s="157"/>
      <c r="C35" s="19">
        <f>I13</f>
        <v>3</v>
      </c>
      <c r="D35" s="5" t="s">
        <v>90</v>
      </c>
      <c r="E35" s="5">
        <v>240</v>
      </c>
      <c r="F35" s="5"/>
      <c r="G35" s="34">
        <f>E35*C35</f>
        <v>720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1</v>
      </c>
      <c r="D36" s="5" t="s">
        <v>91</v>
      </c>
      <c r="E36" s="5">
        <v>3413</v>
      </c>
      <c r="F36" s="5">
        <v>1</v>
      </c>
      <c r="G36" s="34">
        <f>F36*E36*C36</f>
        <v>3413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667.12838399999987</v>
      </c>
      <c r="D37" s="5" t="s">
        <v>92</v>
      </c>
      <c r="E37" s="5">
        <v>3.4129999999999998</v>
      </c>
      <c r="F37" s="5"/>
      <c r="G37" s="34">
        <f>+E37*C37</f>
        <v>2276.9091745919995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17087.093069503342</v>
      </c>
      <c r="H39" s="156" t="s">
        <v>97</v>
      </c>
      <c r="I39" s="157"/>
      <c r="J39" s="157"/>
      <c r="K39" s="157"/>
      <c r="L39" s="69">
        <f>G41</f>
        <v>19222.97970319126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2135.8866336879178</v>
      </c>
      <c r="H40" s="156" t="s">
        <v>99</v>
      </c>
      <c r="I40" s="157"/>
      <c r="J40" s="157"/>
      <c r="K40" s="157"/>
      <c r="L40" s="70">
        <f>G50</f>
        <v>21497.074697723277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19222.97970319126</v>
      </c>
      <c r="H41" s="156" t="s">
        <v>100</v>
      </c>
      <c r="I41" s="157"/>
      <c r="J41" s="157"/>
      <c r="K41" s="157"/>
      <c r="L41" s="72">
        <f>L39/L40</f>
        <v>0.8942137464511456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255.28779494399993</v>
      </c>
      <c r="D44" s="5" t="s">
        <v>86</v>
      </c>
      <c r="E44" s="5">
        <f>+L7</f>
        <v>76.2</v>
      </c>
      <c r="F44" s="5">
        <v>0.68</v>
      </c>
      <c r="G44" s="34">
        <f>F44*E44*C44*B44</f>
        <v>1587.3590859381959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3</v>
      </c>
      <c r="D45" s="5" t="s">
        <v>90</v>
      </c>
      <c r="E45" s="5">
        <v>160</v>
      </c>
      <c r="F45" s="5"/>
      <c r="G45" s="30">
        <f>E45*C45</f>
        <v>480</v>
      </c>
      <c r="H45" s="156" t="s">
        <v>108</v>
      </c>
      <c r="I45" s="157"/>
      <c r="J45" s="157"/>
      <c r="K45" s="157"/>
      <c r="L45" s="77">
        <f>L39/(L44*1.08)</f>
        <v>1042.5875867345735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2067.3590859381957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206.73590859381957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2274.0949945320153</v>
      </c>
      <c r="H49" s="9" t="s">
        <v>113</v>
      </c>
      <c r="I49" s="79"/>
      <c r="J49" s="79"/>
      <c r="K49" s="79"/>
      <c r="L49" s="55">
        <f>N34</f>
        <v>3.5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21497.074697723277</v>
      </c>
      <c r="H50" s="156" t="s">
        <v>114</v>
      </c>
      <c r="I50" s="157"/>
      <c r="J50" s="157"/>
      <c r="K50" s="157"/>
      <c r="L50" s="31">
        <f>L45</f>
        <v>1042.5875867345735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3.4408271230983254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1042.5875867345735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255.28779494399993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8152.2174825765251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255.28779494399993</v>
      </c>
      <c r="D55" s="5" t="s">
        <v>86</v>
      </c>
      <c r="E55" s="5">
        <f>+L7</f>
        <v>76.2</v>
      </c>
      <c r="F55" s="5">
        <v>0.68</v>
      </c>
      <c r="G55" s="34">
        <f>F55*E55*C55*B55</f>
        <v>11640.633296880103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41289.925477179902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3.4408271230983254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x14ac:dyDescent="0.3">
      <c r="B63" s="17" t="s">
        <v>122</v>
      </c>
      <c r="G63" s="17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>
    <pageSetUpPr fitToPage="1"/>
  </sheetPr>
  <dimension ref="A1:S67"/>
  <sheetViews>
    <sheetView view="pageBreakPreview" zoomScale="70" zoomScaleNormal="100" zoomScaleSheetLayoutView="70" workbookViewId="0">
      <selection activeCell="N35" sqref="N35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10.6</v>
      </c>
      <c r="O3" s="7">
        <f>N3*3.28</f>
        <v>34.767999999999994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5.9</v>
      </c>
      <c r="O4" s="7">
        <f>N4*3.28</f>
        <v>19.352</v>
      </c>
      <c r="P4" s="8"/>
      <c r="Q4" s="8"/>
    </row>
    <row r="5" spans="1:19" x14ac:dyDescent="0.3">
      <c r="A5" s="9" t="s">
        <v>17</v>
      </c>
      <c r="B5" s="5"/>
      <c r="C5" s="162" t="s">
        <v>157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34.767999999999994</v>
      </c>
      <c r="D7" s="19">
        <f>+N8</f>
        <v>19.352</v>
      </c>
      <c r="E7" s="20">
        <f>+N9</f>
        <v>672.83033599999987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34.767999999999994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19.352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672.83033599999987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7724.0922572799973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2</v>
      </c>
      <c r="M11" s="25" t="s">
        <v>43</v>
      </c>
      <c r="N11" s="27">
        <v>0</v>
      </c>
      <c r="P11" s="36" t="s">
        <v>46</v>
      </c>
      <c r="Q11" s="37">
        <v>7.5</v>
      </c>
      <c r="R11" s="32"/>
    </row>
    <row r="12" spans="1:19" x14ac:dyDescent="0.3">
      <c r="A12" s="156" t="s">
        <v>47</v>
      </c>
      <c r="B12" s="157"/>
      <c r="C12" s="19">
        <f>+N12</f>
        <v>0</v>
      </c>
      <c r="D12" s="5" t="s">
        <v>44</v>
      </c>
      <c r="E12" s="5">
        <v>12</v>
      </c>
      <c r="F12" s="33">
        <v>0.56000000000000005</v>
      </c>
      <c r="G12" s="34">
        <f>F12*E12*C12</f>
        <v>0</v>
      </c>
      <c r="H12" s="9" t="s">
        <v>48</v>
      </c>
      <c r="I12" s="5"/>
      <c r="J12" s="5"/>
      <c r="K12" s="5"/>
      <c r="L12" s="31">
        <f>+Q17</f>
        <v>81.730766207999977</v>
      </c>
      <c r="M12" s="25" t="s">
        <v>47</v>
      </c>
      <c r="N12" s="38">
        <v>0</v>
      </c>
      <c r="P12" s="32" t="s">
        <v>49</v>
      </c>
      <c r="Q12" s="39">
        <f>+Q11*C35</f>
        <v>22.5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9" t="s">
        <v>51</v>
      </c>
      <c r="I13" s="19">
        <f>N26</f>
        <v>3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257.46974190933327</v>
      </c>
      <c r="M14" s="25" t="s">
        <v>54</v>
      </c>
      <c r="N14" s="27">
        <v>0</v>
      </c>
      <c r="P14" s="29" t="s">
        <v>56</v>
      </c>
      <c r="Q14" s="27">
        <f>+Q13*E7</f>
        <v>40.369820159999989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62.869820159999989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v>0</v>
      </c>
      <c r="O16" s="40"/>
      <c r="P16" s="48" t="s">
        <v>61</v>
      </c>
      <c r="Q16" s="27">
        <f>Q15*30%</f>
        <v>18.860946047999995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f>N8*N10-N13</f>
        <v>222.16095999999999</v>
      </c>
      <c r="O17" s="40"/>
      <c r="P17" s="28" t="s">
        <v>63</v>
      </c>
      <c r="Q17" s="49">
        <f>SUM(Q15:Q16)</f>
        <v>81.730766207999977</v>
      </c>
      <c r="R17" s="29"/>
    </row>
    <row r="18" spans="1:18" x14ac:dyDescent="0.3">
      <c r="A18" s="156" t="s">
        <v>60</v>
      </c>
      <c r="B18" s="157"/>
      <c r="C18" s="19">
        <f>+N16</f>
        <v>0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0</v>
      </c>
      <c r="H18" s="9"/>
      <c r="I18" s="5"/>
      <c r="J18" s="5"/>
      <c r="K18" s="5"/>
      <c r="L18" s="6"/>
      <c r="M18" s="25" t="s">
        <v>64</v>
      </c>
      <c r="N18" s="27">
        <f>(O7-N14)*N13</f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222.16095999999999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2311.3626278399993</v>
      </c>
      <c r="H19" s="9"/>
      <c r="I19" s="5"/>
      <c r="J19" s="5"/>
      <c r="K19" s="47"/>
      <c r="L19" s="31"/>
      <c r="M19" s="25" t="s">
        <v>65</v>
      </c>
      <c r="N19" s="27">
        <v>0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9"/>
      <c r="I20" s="5"/>
      <c r="J20" s="5"/>
      <c r="K20" s="47"/>
      <c r="L20" s="31"/>
      <c r="M20" s="25" t="s">
        <v>66</v>
      </c>
      <c r="N20" s="27">
        <f>+N11+N12+N13+N14</f>
        <v>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0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0</v>
      </c>
      <c r="H21" s="9"/>
      <c r="I21" s="5"/>
      <c r="J21" s="21"/>
      <c r="K21" s="47"/>
      <c r="L21" s="31"/>
      <c r="M21" s="52" t="s">
        <v>69</v>
      </c>
      <c r="N21" s="53">
        <f>Q25</f>
        <v>451.85279999999995</v>
      </c>
      <c r="P21" s="49" t="s">
        <v>70</v>
      </c>
      <c r="Q21" s="27">
        <v>0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f>N8*N10</f>
        <v>222.16095999999999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f>2.6*3.28*N10</f>
        <v>97.901439999999994</v>
      </c>
      <c r="R23" s="4">
        <v>0</v>
      </c>
    </row>
    <row r="24" spans="1:18" x14ac:dyDescent="0.3">
      <c r="A24" s="156" t="s">
        <v>76</v>
      </c>
      <c r="B24" s="157"/>
      <c r="C24" s="19">
        <f>N20</f>
        <v>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0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f>3.5*3.28*N10</f>
        <v>131.79039999999998</v>
      </c>
      <c r="R24" s="4">
        <v>0</v>
      </c>
    </row>
    <row r="25" spans="1:18" x14ac:dyDescent="0.3">
      <c r="A25" s="156" t="s">
        <v>69</v>
      </c>
      <c r="B25" s="157"/>
      <c r="C25" s="19">
        <f>+N21</f>
        <v>451.85279999999995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5169.196031999998</v>
      </c>
      <c r="H25" s="179"/>
      <c r="I25" s="180"/>
      <c r="J25" s="180"/>
      <c r="K25" s="180"/>
      <c r="L25" s="181"/>
      <c r="M25" s="25" t="s">
        <v>79</v>
      </c>
      <c r="N25" s="27">
        <f>C32</f>
        <v>257.46974190933327</v>
      </c>
      <c r="O25" s="57"/>
      <c r="P25" s="58" t="s">
        <v>80</v>
      </c>
      <c r="Q25" s="27">
        <f>SUM(Q21:Q24)</f>
        <v>451.85279999999995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SUMMARY!I22</f>
        <v>3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SUMMARY!H22</f>
        <v>1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672.83033599999987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3.2634185306701062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257.46974190933327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1121.1674393287062</v>
      </c>
      <c r="H32" s="9"/>
      <c r="I32" s="5"/>
      <c r="J32" s="5"/>
      <c r="K32" s="47"/>
      <c r="L32" s="63"/>
      <c r="M32" s="50" t="s">
        <v>87</v>
      </c>
      <c r="N32" s="46">
        <f>+L45</f>
        <v>917.13868932173898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3</v>
      </c>
    </row>
    <row r="35" spans="1:15" x14ac:dyDescent="0.3">
      <c r="A35" s="156" t="s">
        <v>81</v>
      </c>
      <c r="B35" s="157"/>
      <c r="C35" s="19">
        <f>I13</f>
        <v>3</v>
      </c>
      <c r="D35" s="5" t="s">
        <v>90</v>
      </c>
      <c r="E35" s="5">
        <v>240</v>
      </c>
      <c r="F35" s="5"/>
      <c r="G35" s="34">
        <f>E35*C35</f>
        <v>720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1</v>
      </c>
      <c r="D36" s="5" t="s">
        <v>91</v>
      </c>
      <c r="E36" s="5">
        <v>3413</v>
      </c>
      <c r="F36" s="5">
        <v>1</v>
      </c>
      <c r="G36" s="34">
        <f>F36*E36*C36</f>
        <v>3413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672.83033599999987</v>
      </c>
      <c r="D37" s="5" t="s">
        <v>92</v>
      </c>
      <c r="E37" s="5">
        <v>3.4129999999999998</v>
      </c>
      <c r="F37" s="5"/>
      <c r="G37" s="34">
        <f>+E37*C37</f>
        <v>2296.3699367679997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15031.096035936704</v>
      </c>
      <c r="H39" s="156" t="s">
        <v>97</v>
      </c>
      <c r="I39" s="157"/>
      <c r="J39" s="157"/>
      <c r="K39" s="157"/>
      <c r="L39" s="69">
        <f>G41</f>
        <v>16909.983040428793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1878.887004492088</v>
      </c>
      <c r="H40" s="156" t="s">
        <v>99</v>
      </c>
      <c r="I40" s="157"/>
      <c r="J40" s="157"/>
      <c r="K40" s="157"/>
      <c r="L40" s="70">
        <f>G50</f>
        <v>19199.001923802964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16909.983040428793</v>
      </c>
      <c r="H41" s="156" t="s">
        <v>100</v>
      </c>
      <c r="I41" s="157"/>
      <c r="J41" s="157"/>
      <c r="K41" s="157"/>
      <c r="L41" s="72">
        <f>L39/L40</f>
        <v>0.88077406875321784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257.46974190933327</v>
      </c>
      <c r="D44" s="5" t="s">
        <v>86</v>
      </c>
      <c r="E44" s="5">
        <f>+L7</f>
        <v>76.2</v>
      </c>
      <c r="F44" s="5">
        <v>0.68</v>
      </c>
      <c r="G44" s="34">
        <f>F44*E44*C44*B44</f>
        <v>1600.9262576128815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3</v>
      </c>
      <c r="D45" s="5" t="s">
        <v>90</v>
      </c>
      <c r="E45" s="5">
        <v>160</v>
      </c>
      <c r="F45" s="5"/>
      <c r="G45" s="30">
        <f>E45*C45</f>
        <v>480</v>
      </c>
      <c r="H45" s="156" t="s">
        <v>108</v>
      </c>
      <c r="I45" s="157"/>
      <c r="J45" s="157"/>
      <c r="K45" s="157"/>
      <c r="L45" s="77">
        <f>L39/(L44*1.08)</f>
        <v>917.13868932173898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2080.9262576128813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208.09262576128813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2289.0188833741695</v>
      </c>
      <c r="H49" s="9" t="s">
        <v>113</v>
      </c>
      <c r="I49" s="79"/>
      <c r="J49" s="79"/>
      <c r="K49" s="79"/>
      <c r="L49" s="55">
        <f>N34</f>
        <v>3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19199.001923802964</v>
      </c>
      <c r="H50" s="156" t="s">
        <v>114</v>
      </c>
      <c r="I50" s="157"/>
      <c r="J50" s="157"/>
      <c r="K50" s="157"/>
      <c r="L50" s="31">
        <f>L45</f>
        <v>917.13868932173898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3.2634185306701062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917.13868932173898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257.46974190933327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8221.8945550771787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257.46974190933327</v>
      </c>
      <c r="D55" s="5" t="s">
        <v>86</v>
      </c>
      <c r="E55" s="5">
        <f>+L7</f>
        <v>76.2</v>
      </c>
      <c r="F55" s="5">
        <v>0.68</v>
      </c>
      <c r="G55" s="34">
        <f>F55*E55*C55*B55</f>
        <v>11740.125889161131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39161.022368041275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3.2634185306701062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x14ac:dyDescent="0.3">
      <c r="B63" s="17" t="s">
        <v>122</v>
      </c>
      <c r="G63" s="17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>
    <pageSetUpPr fitToPage="1"/>
  </sheetPr>
  <dimension ref="A1:S67"/>
  <sheetViews>
    <sheetView view="pageBreakPreview" zoomScale="70" zoomScaleNormal="100" zoomScaleSheetLayoutView="70" workbookViewId="0">
      <selection activeCell="N35" sqref="N35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10.6</v>
      </c>
      <c r="O3" s="7">
        <f>N3*3.28</f>
        <v>34.767999999999994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5.9</v>
      </c>
      <c r="O4" s="7">
        <f>N4*3.28</f>
        <v>19.352</v>
      </c>
      <c r="P4" s="8"/>
      <c r="Q4" s="8"/>
    </row>
    <row r="5" spans="1:19" x14ac:dyDescent="0.3">
      <c r="A5" s="9" t="s">
        <v>17</v>
      </c>
      <c r="B5" s="5"/>
      <c r="C5" s="162" t="s">
        <v>158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34.767999999999994</v>
      </c>
      <c r="D7" s="19">
        <f>+N8</f>
        <v>19.352</v>
      </c>
      <c r="E7" s="20">
        <f>+N9</f>
        <v>672.83033599999987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34.767999999999994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19.352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672.83033599999987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7724.0922572799973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2</v>
      </c>
      <c r="M11" s="25" t="s">
        <v>43</v>
      </c>
      <c r="N11" s="27">
        <v>0</v>
      </c>
      <c r="P11" s="36" t="s">
        <v>46</v>
      </c>
      <c r="Q11" s="37">
        <v>7.5</v>
      </c>
      <c r="R11" s="32"/>
    </row>
    <row r="12" spans="1:19" x14ac:dyDescent="0.3">
      <c r="A12" s="156" t="s">
        <v>47</v>
      </c>
      <c r="B12" s="157"/>
      <c r="C12" s="19">
        <f>+N12</f>
        <v>0</v>
      </c>
      <c r="D12" s="5" t="s">
        <v>44</v>
      </c>
      <c r="E12" s="5">
        <v>12</v>
      </c>
      <c r="F12" s="33">
        <v>0.56000000000000005</v>
      </c>
      <c r="G12" s="34">
        <f>F12*E12*C12</f>
        <v>0</v>
      </c>
      <c r="H12" s="9" t="s">
        <v>48</v>
      </c>
      <c r="I12" s="5"/>
      <c r="J12" s="5"/>
      <c r="K12" s="5"/>
      <c r="L12" s="31">
        <f>+Q17</f>
        <v>81.730766207999977</v>
      </c>
      <c r="M12" s="25" t="s">
        <v>47</v>
      </c>
      <c r="N12" s="38">
        <v>0</v>
      </c>
      <c r="P12" s="32" t="s">
        <v>49</v>
      </c>
      <c r="Q12" s="39">
        <f>+Q11*C35</f>
        <v>22.5</v>
      </c>
      <c r="R12" s="32"/>
    </row>
    <row r="13" spans="1:19" x14ac:dyDescent="0.3">
      <c r="A13" s="156" t="s">
        <v>50</v>
      </c>
      <c r="B13" s="157"/>
      <c r="C13" s="19">
        <f>+N13</f>
        <v>20</v>
      </c>
      <c r="D13" s="5" t="s">
        <v>44</v>
      </c>
      <c r="E13" s="5">
        <v>163</v>
      </c>
      <c r="F13" s="33">
        <v>0.56000000000000005</v>
      </c>
      <c r="G13" s="34">
        <f>F13*E13*C13</f>
        <v>1825.6000000000004</v>
      </c>
      <c r="H13" s="9" t="s">
        <v>51</v>
      </c>
      <c r="I13" s="19">
        <f>N26</f>
        <v>3</v>
      </c>
      <c r="J13" s="5"/>
      <c r="K13" s="5"/>
      <c r="L13" s="31">
        <f>+J13*I13</f>
        <v>0</v>
      </c>
      <c r="M13" s="25" t="s">
        <v>52</v>
      </c>
      <c r="N13" s="27">
        <f>5*4</f>
        <v>20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257.46974190933327</v>
      </c>
      <c r="M14" s="25" t="s">
        <v>54</v>
      </c>
      <c r="N14" s="27">
        <v>0</v>
      </c>
      <c r="P14" s="29" t="s">
        <v>56</v>
      </c>
      <c r="Q14" s="27">
        <f>+Q13*E7</f>
        <v>40.369820159999989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62.869820159999989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v>0</v>
      </c>
      <c r="O16" s="40"/>
      <c r="P16" s="48" t="s">
        <v>61</v>
      </c>
      <c r="Q16" s="27">
        <f>Q15*30%</f>
        <v>18.860946047999995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f>N8*N10-N13</f>
        <v>202.16095999999999</v>
      </c>
      <c r="O17" s="40"/>
      <c r="P17" s="28" t="s">
        <v>63</v>
      </c>
      <c r="Q17" s="49">
        <f>SUM(Q15:Q16)</f>
        <v>81.730766207999977</v>
      </c>
      <c r="R17" s="29"/>
    </row>
    <row r="18" spans="1:18" x14ac:dyDescent="0.3">
      <c r="A18" s="156" t="s">
        <v>60</v>
      </c>
      <c r="B18" s="157"/>
      <c r="C18" s="19">
        <f>+N16</f>
        <v>0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0</v>
      </c>
      <c r="H18" s="9"/>
      <c r="I18" s="5"/>
      <c r="J18" s="5"/>
      <c r="K18" s="5"/>
      <c r="L18" s="6"/>
      <c r="M18" s="25" t="s">
        <v>64</v>
      </c>
      <c r="N18" s="27"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202.16095999999999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2103.2826278399993</v>
      </c>
      <c r="H19" s="9"/>
      <c r="I19" s="5"/>
      <c r="J19" s="5"/>
      <c r="K19" s="47"/>
      <c r="L19" s="31"/>
      <c r="M19" s="25" t="s">
        <v>65</v>
      </c>
      <c r="N19" s="27">
        <v>0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9"/>
      <c r="I20" s="5"/>
      <c r="J20" s="5"/>
      <c r="K20" s="47"/>
      <c r="L20" s="31"/>
      <c r="M20" s="25" t="s">
        <v>66</v>
      </c>
      <c r="N20" s="27">
        <f>+N11+N12+N13+N14</f>
        <v>20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0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0</v>
      </c>
      <c r="H21" s="9"/>
      <c r="I21" s="5"/>
      <c r="J21" s="21"/>
      <c r="K21" s="47"/>
      <c r="L21" s="31"/>
      <c r="M21" s="52" t="s">
        <v>69</v>
      </c>
      <c r="N21" s="53">
        <f>Q25</f>
        <v>353.95135999999997</v>
      </c>
      <c r="P21" s="49" t="s">
        <v>70</v>
      </c>
      <c r="Q21" s="27">
        <v>0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f>N8*N10</f>
        <v>222.16095999999999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v>0</v>
      </c>
      <c r="R23" s="4">
        <v>0</v>
      </c>
    </row>
    <row r="24" spans="1:18" x14ac:dyDescent="0.3">
      <c r="A24" s="156" t="s">
        <v>76</v>
      </c>
      <c r="B24" s="157"/>
      <c r="C24" s="19">
        <f>N20</f>
        <v>20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759.35999999999979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f>3.5*3.28*N10</f>
        <v>131.79039999999998</v>
      </c>
      <c r="R24" s="4">
        <v>0</v>
      </c>
    </row>
    <row r="25" spans="1:18" x14ac:dyDescent="0.3">
      <c r="A25" s="156" t="s">
        <v>69</v>
      </c>
      <c r="B25" s="157"/>
      <c r="C25" s="19">
        <f>+N21</f>
        <v>353.95135999999997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4049.2035583999987</v>
      </c>
      <c r="H25" s="179"/>
      <c r="I25" s="180"/>
      <c r="J25" s="180"/>
      <c r="K25" s="180"/>
      <c r="L25" s="181"/>
      <c r="M25" s="25" t="s">
        <v>79</v>
      </c>
      <c r="N25" s="27">
        <f>C32</f>
        <v>257.46974190933327</v>
      </c>
      <c r="O25" s="57"/>
      <c r="P25" s="58" t="s">
        <v>80</v>
      </c>
      <c r="Q25" s="27">
        <f>SUM(Q21:Q24)</f>
        <v>353.95135999999997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SUMMARY!I23</f>
        <v>3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SUMMARY!H23</f>
        <v>1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672.83033599999987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3.381251736270106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257.46974190933327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1121.1674393287062</v>
      </c>
      <c r="H32" s="9"/>
      <c r="I32" s="5"/>
      <c r="J32" s="5"/>
      <c r="K32" s="47"/>
      <c r="L32" s="63"/>
      <c r="M32" s="50" t="s">
        <v>87</v>
      </c>
      <c r="N32" s="46">
        <f>+L45</f>
        <v>993.82905014648111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3.5</v>
      </c>
    </row>
    <row r="35" spans="1:15" x14ac:dyDescent="0.3">
      <c r="A35" s="156" t="s">
        <v>81</v>
      </c>
      <c r="B35" s="157"/>
      <c r="C35" s="19">
        <f>I13</f>
        <v>3</v>
      </c>
      <c r="D35" s="5" t="s">
        <v>90</v>
      </c>
      <c r="E35" s="5">
        <v>240</v>
      </c>
      <c r="F35" s="5"/>
      <c r="G35" s="34">
        <f>E35*C35</f>
        <v>720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1</v>
      </c>
      <c r="D36" s="5" t="s">
        <v>91</v>
      </c>
      <c r="E36" s="5">
        <v>3413</v>
      </c>
      <c r="F36" s="5">
        <v>1</v>
      </c>
      <c r="G36" s="34">
        <f>F36*E36*C36</f>
        <v>3413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672.83033599999987</v>
      </c>
      <c r="D37" s="5" t="s">
        <v>92</v>
      </c>
      <c r="E37" s="5">
        <v>3.4129999999999998</v>
      </c>
      <c r="F37" s="5"/>
      <c r="G37" s="34">
        <f>+E37*C37</f>
        <v>2296.3699367679997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16287.983562336705</v>
      </c>
      <c r="H39" s="156" t="s">
        <v>97</v>
      </c>
      <c r="I39" s="157"/>
      <c r="J39" s="157"/>
      <c r="K39" s="157"/>
      <c r="L39" s="69">
        <f>G41</f>
        <v>18323.981507628792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2035.9979452920882</v>
      </c>
      <c r="H40" s="156" t="s">
        <v>99</v>
      </c>
      <c r="I40" s="157"/>
      <c r="J40" s="157"/>
      <c r="K40" s="157"/>
      <c r="L40" s="70">
        <f>G50</f>
        <v>20613.000391002963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18323.981507628792</v>
      </c>
      <c r="H41" s="156" t="s">
        <v>100</v>
      </c>
      <c r="I41" s="157"/>
      <c r="J41" s="157"/>
      <c r="K41" s="157"/>
      <c r="L41" s="72">
        <f>L39/L40</f>
        <v>0.88895265900381648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257.46974190933327</v>
      </c>
      <c r="D44" s="5" t="s">
        <v>86</v>
      </c>
      <c r="E44" s="5">
        <f>+L7</f>
        <v>76.2</v>
      </c>
      <c r="F44" s="5">
        <v>0.68</v>
      </c>
      <c r="G44" s="34">
        <f>F44*E44*C44*B44</f>
        <v>1600.9262576128815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3</v>
      </c>
      <c r="D45" s="5" t="s">
        <v>90</v>
      </c>
      <c r="E45" s="5">
        <v>160</v>
      </c>
      <c r="F45" s="5"/>
      <c r="G45" s="30">
        <f>E45*C45</f>
        <v>480</v>
      </c>
      <c r="H45" s="156" t="s">
        <v>108</v>
      </c>
      <c r="I45" s="157"/>
      <c r="J45" s="157"/>
      <c r="K45" s="157"/>
      <c r="L45" s="77">
        <f>L39/(L44*1.08)</f>
        <v>993.82905014648111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2080.9262576128813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208.09262576128813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2289.0188833741695</v>
      </c>
      <c r="H49" s="9" t="s">
        <v>113</v>
      </c>
      <c r="I49" s="79"/>
      <c r="J49" s="79"/>
      <c r="K49" s="79"/>
      <c r="L49" s="55">
        <f>N34</f>
        <v>3.5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20613.000391002963</v>
      </c>
      <c r="H50" s="156" t="s">
        <v>114</v>
      </c>
      <c r="I50" s="157"/>
      <c r="J50" s="157"/>
      <c r="K50" s="157"/>
      <c r="L50" s="31">
        <f>L45</f>
        <v>993.82905014648111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3.381251736270106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993.82905014648111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257.46974190933327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8221.8945550771787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257.46974190933327</v>
      </c>
      <c r="D55" s="5" t="s">
        <v>86</v>
      </c>
      <c r="E55" s="5">
        <f>+L7</f>
        <v>76.2</v>
      </c>
      <c r="F55" s="5">
        <v>0.68</v>
      </c>
      <c r="G55" s="34">
        <f>F55*E55*C55*B55</f>
        <v>11740.125889161131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40575.020835241274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3.381251736270106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x14ac:dyDescent="0.3">
      <c r="B63" s="17" t="s">
        <v>122</v>
      </c>
      <c r="G63" s="17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>
    <pageSetUpPr fitToPage="1"/>
  </sheetPr>
  <dimension ref="A1:S67"/>
  <sheetViews>
    <sheetView view="pageBreakPreview" zoomScale="70" zoomScaleNormal="100" zoomScaleSheetLayoutView="70" workbookViewId="0">
      <selection activeCell="N35" sqref="N35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10.6</v>
      </c>
      <c r="O3" s="7">
        <f>N3*3.28</f>
        <v>34.767999999999994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5.9</v>
      </c>
      <c r="O4" s="7">
        <f>N4*3.28</f>
        <v>19.352</v>
      </c>
      <c r="P4" s="8"/>
      <c r="Q4" s="8"/>
    </row>
    <row r="5" spans="1:19" x14ac:dyDescent="0.3">
      <c r="A5" s="9" t="s">
        <v>17</v>
      </c>
      <c r="B5" s="5"/>
      <c r="C5" s="162" t="s">
        <v>159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34.767999999999994</v>
      </c>
      <c r="D7" s="19">
        <f>+N8</f>
        <v>19.352</v>
      </c>
      <c r="E7" s="20">
        <f>+N9</f>
        <v>672.83033599999987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34.767999999999994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19.352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672.83033599999987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7724.0922572799973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2</v>
      </c>
      <c r="M11" s="25" t="s">
        <v>43</v>
      </c>
      <c r="N11" s="27">
        <v>0</v>
      </c>
      <c r="P11" s="36" t="s">
        <v>46</v>
      </c>
      <c r="Q11" s="37">
        <v>7.5</v>
      </c>
      <c r="R11" s="32"/>
    </row>
    <row r="12" spans="1:19" x14ac:dyDescent="0.3">
      <c r="A12" s="156" t="s">
        <v>47</v>
      </c>
      <c r="B12" s="157"/>
      <c r="C12" s="19">
        <f>+N12</f>
        <v>0</v>
      </c>
      <c r="D12" s="5" t="s">
        <v>44</v>
      </c>
      <c r="E12" s="5">
        <v>12</v>
      </c>
      <c r="F12" s="33">
        <v>0.56000000000000005</v>
      </c>
      <c r="G12" s="34">
        <f>F12*E12*C12</f>
        <v>0</v>
      </c>
      <c r="H12" s="9" t="s">
        <v>48</v>
      </c>
      <c r="I12" s="5"/>
      <c r="J12" s="5"/>
      <c r="K12" s="5"/>
      <c r="L12" s="31">
        <f>+Q17</f>
        <v>81.730766207999977</v>
      </c>
      <c r="M12" s="25" t="s">
        <v>47</v>
      </c>
      <c r="N12" s="38">
        <v>0</v>
      </c>
      <c r="P12" s="32" t="s">
        <v>49</v>
      </c>
      <c r="Q12" s="39">
        <f>+Q11*C35</f>
        <v>22.5</v>
      </c>
      <c r="R12" s="32"/>
    </row>
    <row r="13" spans="1:19" x14ac:dyDescent="0.3">
      <c r="A13" s="156" t="s">
        <v>50</v>
      </c>
      <c r="B13" s="157"/>
      <c r="C13" s="19">
        <f>+N13</f>
        <v>20</v>
      </c>
      <c r="D13" s="5" t="s">
        <v>44</v>
      </c>
      <c r="E13" s="5">
        <v>163</v>
      </c>
      <c r="F13" s="33">
        <v>0.56000000000000005</v>
      </c>
      <c r="G13" s="34">
        <f>F13*E13*C13</f>
        <v>1825.6000000000004</v>
      </c>
      <c r="H13" s="9" t="s">
        <v>51</v>
      </c>
      <c r="I13" s="19">
        <f>N26</f>
        <v>3</v>
      </c>
      <c r="J13" s="5"/>
      <c r="K13" s="5"/>
      <c r="L13" s="31">
        <f>+J13*I13</f>
        <v>0</v>
      </c>
      <c r="M13" s="25" t="s">
        <v>52</v>
      </c>
      <c r="N13" s="27">
        <f>5*4</f>
        <v>20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257.46974190933327</v>
      </c>
      <c r="M14" s="25" t="s">
        <v>54</v>
      </c>
      <c r="N14" s="27">
        <v>0</v>
      </c>
      <c r="P14" s="29" t="s">
        <v>56</v>
      </c>
      <c r="Q14" s="27">
        <f>+Q13*E7</f>
        <v>40.369820159999989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62.869820159999989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v>0</v>
      </c>
      <c r="O16" s="40"/>
      <c r="P16" s="48" t="s">
        <v>61</v>
      </c>
      <c r="Q16" s="27">
        <f>Q15*30%</f>
        <v>18.860946047999995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f>N8*N10-N13</f>
        <v>202.16095999999999</v>
      </c>
      <c r="O17" s="40"/>
      <c r="P17" s="28" t="s">
        <v>63</v>
      </c>
      <c r="Q17" s="49">
        <f>SUM(Q15:Q16)</f>
        <v>81.730766207999977</v>
      </c>
      <c r="R17" s="29"/>
    </row>
    <row r="18" spans="1:18" x14ac:dyDescent="0.3">
      <c r="A18" s="156" t="s">
        <v>60</v>
      </c>
      <c r="B18" s="157"/>
      <c r="C18" s="19">
        <f>+N16</f>
        <v>0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0</v>
      </c>
      <c r="H18" s="9"/>
      <c r="I18" s="5"/>
      <c r="J18" s="5"/>
      <c r="K18" s="5"/>
      <c r="L18" s="6"/>
      <c r="M18" s="25" t="s">
        <v>64</v>
      </c>
      <c r="N18" s="27"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202.16095999999999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2103.2826278399993</v>
      </c>
      <c r="H19" s="9"/>
      <c r="I19" s="5"/>
      <c r="J19" s="5"/>
      <c r="K19" s="47"/>
      <c r="L19" s="31"/>
      <c r="M19" s="25" t="s">
        <v>65</v>
      </c>
      <c r="N19" s="27">
        <v>0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9"/>
      <c r="I20" s="5"/>
      <c r="J20" s="5"/>
      <c r="K20" s="47"/>
      <c r="L20" s="31"/>
      <c r="M20" s="25" t="s">
        <v>66</v>
      </c>
      <c r="N20" s="27">
        <f>+N11+N12+N13+N14</f>
        <v>20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0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0</v>
      </c>
      <c r="H21" s="9"/>
      <c r="I21" s="5"/>
      <c r="J21" s="21"/>
      <c r="K21" s="47"/>
      <c r="L21" s="31"/>
      <c r="M21" s="52" t="s">
        <v>69</v>
      </c>
      <c r="N21" s="53">
        <f>Q25</f>
        <v>753.08799999999985</v>
      </c>
      <c r="P21" s="49" t="s">
        <v>70</v>
      </c>
      <c r="Q21" s="27">
        <f>3.5*3.28*N10</f>
        <v>131.79039999999998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f>N8*N10</f>
        <v>222.16095999999999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v>0</v>
      </c>
      <c r="R23" s="4">
        <v>0</v>
      </c>
    </row>
    <row r="24" spans="1:18" x14ac:dyDescent="0.3">
      <c r="A24" s="156" t="s">
        <v>76</v>
      </c>
      <c r="B24" s="157"/>
      <c r="C24" s="19">
        <f>N20</f>
        <v>20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759.35999999999979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f>N7*N10</f>
        <v>399.13663999999989</v>
      </c>
      <c r="R24" s="4">
        <v>0</v>
      </c>
    </row>
    <row r="25" spans="1:18" x14ac:dyDescent="0.3">
      <c r="A25" s="156" t="s">
        <v>69</v>
      </c>
      <c r="B25" s="157"/>
      <c r="C25" s="19">
        <f>+N21</f>
        <v>753.08799999999985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8615.3267199999973</v>
      </c>
      <c r="H25" s="179"/>
      <c r="I25" s="180"/>
      <c r="J25" s="180"/>
      <c r="K25" s="180"/>
      <c r="L25" s="181"/>
      <c r="M25" s="25" t="s">
        <v>79</v>
      </c>
      <c r="N25" s="27">
        <f>C32</f>
        <v>257.46974190933327</v>
      </c>
      <c r="O25" s="57"/>
      <c r="P25" s="58" t="s">
        <v>80</v>
      </c>
      <c r="Q25" s="27">
        <f>SUM(Q21:Q24)</f>
        <v>753.08799999999985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SUMMARY!I24</f>
        <v>3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SUMMARY!H24</f>
        <v>1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672.83033599999987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3.8093257826701059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257.46974190933327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1121.1674393287062</v>
      </c>
      <c r="H32" s="9"/>
      <c r="I32" s="5"/>
      <c r="J32" s="5"/>
      <c r="K32" s="47"/>
      <c r="L32" s="63"/>
      <c r="M32" s="50" t="s">
        <v>87</v>
      </c>
      <c r="N32" s="46">
        <f>+L45</f>
        <v>1272.436026091498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4</v>
      </c>
    </row>
    <row r="35" spans="1:15" x14ac:dyDescent="0.3">
      <c r="A35" s="156" t="s">
        <v>81</v>
      </c>
      <c r="B35" s="157"/>
      <c r="C35" s="19">
        <f>I13</f>
        <v>3</v>
      </c>
      <c r="D35" s="5" t="s">
        <v>90</v>
      </c>
      <c r="E35" s="5">
        <v>240</v>
      </c>
      <c r="F35" s="5"/>
      <c r="G35" s="34">
        <f>E35*C35</f>
        <v>720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1</v>
      </c>
      <c r="D36" s="5" t="s">
        <v>91</v>
      </c>
      <c r="E36" s="5">
        <v>3413</v>
      </c>
      <c r="F36" s="5">
        <v>1</v>
      </c>
      <c r="G36" s="34">
        <f>F36*E36*C36</f>
        <v>3413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672.83033599999987</v>
      </c>
      <c r="D37" s="5" t="s">
        <v>92</v>
      </c>
      <c r="E37" s="5">
        <v>3.4129999999999998</v>
      </c>
      <c r="F37" s="5"/>
      <c r="G37" s="34">
        <f>+E37*C37</f>
        <v>2296.3699367679997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20854.1067239367</v>
      </c>
      <c r="H39" s="156" t="s">
        <v>97</v>
      </c>
      <c r="I39" s="157"/>
      <c r="J39" s="157"/>
      <c r="K39" s="157"/>
      <c r="L39" s="69">
        <f>G41</f>
        <v>23460.870064428789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2606.7633404920875</v>
      </c>
      <c r="H40" s="156" t="s">
        <v>99</v>
      </c>
      <c r="I40" s="157"/>
      <c r="J40" s="157"/>
      <c r="K40" s="157"/>
      <c r="L40" s="70">
        <f>G50</f>
        <v>25749.88894780296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23460.870064428789</v>
      </c>
      <c r="H41" s="156" t="s">
        <v>100</v>
      </c>
      <c r="I41" s="157"/>
      <c r="J41" s="157"/>
      <c r="K41" s="157"/>
      <c r="L41" s="72">
        <f>L39/L40</f>
        <v>0.91110567940645526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257.46974190933327</v>
      </c>
      <c r="D44" s="5" t="s">
        <v>86</v>
      </c>
      <c r="E44" s="5">
        <f>+L7</f>
        <v>76.2</v>
      </c>
      <c r="F44" s="5">
        <v>0.68</v>
      </c>
      <c r="G44" s="34">
        <f>F44*E44*C44*B44</f>
        <v>1600.9262576128815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3</v>
      </c>
      <c r="D45" s="5" t="s">
        <v>90</v>
      </c>
      <c r="E45" s="5">
        <v>160</v>
      </c>
      <c r="F45" s="5"/>
      <c r="G45" s="30">
        <f>E45*C45</f>
        <v>480</v>
      </c>
      <c r="H45" s="156" t="s">
        <v>108</v>
      </c>
      <c r="I45" s="157"/>
      <c r="J45" s="157"/>
      <c r="K45" s="157"/>
      <c r="L45" s="77">
        <f>L39/(L44*1.08)</f>
        <v>1272.436026091498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2080.9262576128813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208.09262576128813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2289.0188833741695</v>
      </c>
      <c r="H49" s="9" t="s">
        <v>113</v>
      </c>
      <c r="I49" s="79"/>
      <c r="J49" s="79"/>
      <c r="K49" s="79"/>
      <c r="L49" s="55">
        <f>N34</f>
        <v>4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25749.88894780296</v>
      </c>
      <c r="H50" s="156" t="s">
        <v>114</v>
      </c>
      <c r="I50" s="157"/>
      <c r="J50" s="157"/>
      <c r="K50" s="157"/>
      <c r="L50" s="31">
        <f>L45</f>
        <v>1272.436026091498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3.8093257826701059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1272.436026091498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257.46974190933327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8221.8945550771787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257.46974190933327</v>
      </c>
      <c r="D55" s="5" t="s">
        <v>86</v>
      </c>
      <c r="E55" s="5">
        <f>+L7</f>
        <v>76.2</v>
      </c>
      <c r="F55" s="5">
        <v>0.68</v>
      </c>
      <c r="G55" s="34">
        <f>F55*E55*C55*B55</f>
        <v>11740.125889161131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45711.909392041271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3.8093257826701059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x14ac:dyDescent="0.3">
      <c r="B63" s="17" t="s">
        <v>122</v>
      </c>
      <c r="G63" s="17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>
    <pageSetUpPr fitToPage="1"/>
  </sheetPr>
  <dimension ref="A1:S67"/>
  <sheetViews>
    <sheetView view="pageBreakPreview" zoomScale="85" zoomScaleNormal="100" zoomScaleSheetLayoutView="85" workbookViewId="0">
      <selection activeCell="N35" sqref="N35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9.1999999999999993</v>
      </c>
      <c r="O3" s="7">
        <f>N3*3.28</f>
        <v>30.175999999999995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5.9</v>
      </c>
      <c r="O4" s="7">
        <f>N4*3.28</f>
        <v>19.352</v>
      </c>
      <c r="P4" s="8"/>
      <c r="Q4" s="8"/>
    </row>
    <row r="5" spans="1:19" x14ac:dyDescent="0.3">
      <c r="A5" s="9" t="s">
        <v>17</v>
      </c>
      <c r="B5" s="5"/>
      <c r="C5" s="162" t="s">
        <v>160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30.175999999999995</v>
      </c>
      <c r="D7" s="19">
        <f>+N8</f>
        <v>19.352</v>
      </c>
      <c r="E7" s="20">
        <f>+N9</f>
        <v>583.9659519999999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30.175999999999995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19.352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583.9659519999999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6703.9291289599978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2</v>
      </c>
      <c r="M11" s="25" t="s">
        <v>43</v>
      </c>
      <c r="N11" s="27">
        <v>0</v>
      </c>
      <c r="P11" s="36" t="s">
        <v>46</v>
      </c>
      <c r="Q11" s="37">
        <v>7.5</v>
      </c>
      <c r="R11" s="32"/>
    </row>
    <row r="12" spans="1:19" x14ac:dyDescent="0.3">
      <c r="A12" s="156" t="s">
        <v>47</v>
      </c>
      <c r="B12" s="157"/>
      <c r="C12" s="19">
        <f>+N12</f>
        <v>40</v>
      </c>
      <c r="D12" s="5" t="s">
        <v>44</v>
      </c>
      <c r="E12" s="5">
        <v>12</v>
      </c>
      <c r="F12" s="33">
        <v>0.56000000000000005</v>
      </c>
      <c r="G12" s="34">
        <f>F12*E12*C12</f>
        <v>268.8</v>
      </c>
      <c r="H12" s="9" t="s">
        <v>48</v>
      </c>
      <c r="I12" s="5"/>
      <c r="J12" s="5"/>
      <c r="K12" s="5"/>
      <c r="L12" s="31">
        <f>+Q17</f>
        <v>74.799344255999983</v>
      </c>
      <c r="M12" s="25" t="s">
        <v>47</v>
      </c>
      <c r="N12" s="38">
        <f>5*4*2</f>
        <v>40</v>
      </c>
      <c r="P12" s="32" t="s">
        <v>49</v>
      </c>
      <c r="Q12" s="39">
        <f>+Q11*C35</f>
        <v>22.5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9" t="s">
        <v>51</v>
      </c>
      <c r="I13" s="19">
        <f>N26</f>
        <v>3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223.4643042986666</v>
      </c>
      <c r="M14" s="25" t="s">
        <v>54</v>
      </c>
      <c r="N14" s="27">
        <v>0</v>
      </c>
      <c r="P14" s="29" t="s">
        <v>56</v>
      </c>
      <c r="Q14" s="27">
        <f>+Q13*E7</f>
        <v>35.037957119999994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57.537957119999994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f>N8*N10-N12</f>
        <v>182.16095999999999</v>
      </c>
      <c r="O16" s="40"/>
      <c r="P16" s="48" t="s">
        <v>61</v>
      </c>
      <c r="Q16" s="27">
        <f>Q15*30%</f>
        <v>17.261387135999996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74.799344255999983</v>
      </c>
      <c r="R17" s="29"/>
    </row>
    <row r="18" spans="1:18" x14ac:dyDescent="0.3">
      <c r="A18" s="156" t="s">
        <v>60</v>
      </c>
      <c r="B18" s="157"/>
      <c r="C18" s="19">
        <f>+N16</f>
        <v>182.16095999999999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2266.8109862399997</v>
      </c>
      <c r="H18" s="9"/>
      <c r="I18" s="5"/>
      <c r="J18" s="5"/>
      <c r="K18" s="5"/>
      <c r="L18" s="6"/>
      <c r="M18" s="25" t="s">
        <v>64</v>
      </c>
      <c r="N18" s="27"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9"/>
      <c r="I19" s="5"/>
      <c r="J19" s="5"/>
      <c r="K19" s="47"/>
      <c r="L19" s="31"/>
      <c r="M19" s="25" t="s">
        <v>65</v>
      </c>
      <c r="N19" s="27">
        <v>0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9"/>
      <c r="I20" s="5"/>
      <c r="J20" s="5"/>
      <c r="K20" s="47"/>
      <c r="L20" s="31"/>
      <c r="M20" s="25" t="s">
        <v>66</v>
      </c>
      <c r="N20" s="27">
        <f>+N11+N12+N13+N14</f>
        <v>40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0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0</v>
      </c>
      <c r="H21" s="9"/>
      <c r="I21" s="5"/>
      <c r="J21" s="21"/>
      <c r="K21" s="47"/>
      <c r="L21" s="31"/>
      <c r="M21" s="52" t="s">
        <v>69</v>
      </c>
      <c r="N21" s="53">
        <f>Q25</f>
        <v>568.58143999999993</v>
      </c>
      <c r="P21" s="49" t="s">
        <v>70</v>
      </c>
      <c r="Q21" s="27">
        <f>N7*N10</f>
        <v>346.42047999999988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v>0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f>N8*N10</f>
        <v>222.16095999999999</v>
      </c>
      <c r="R23" s="4">
        <v>0</v>
      </c>
    </row>
    <row r="24" spans="1:18" x14ac:dyDescent="0.3">
      <c r="A24" s="156" t="s">
        <v>76</v>
      </c>
      <c r="B24" s="157"/>
      <c r="C24" s="19">
        <f>N20</f>
        <v>40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1518.7199999999996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v>0</v>
      </c>
      <c r="R24" s="4">
        <v>0</v>
      </c>
    </row>
    <row r="25" spans="1:18" x14ac:dyDescent="0.3">
      <c r="A25" s="156" t="s">
        <v>69</v>
      </c>
      <c r="B25" s="157"/>
      <c r="C25" s="19">
        <f>+N21</f>
        <v>568.58143999999993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6504.5716735999977</v>
      </c>
      <c r="H25" s="179"/>
      <c r="I25" s="180"/>
      <c r="J25" s="180"/>
      <c r="K25" s="180"/>
      <c r="L25" s="181"/>
      <c r="M25" s="25" t="s">
        <v>79</v>
      </c>
      <c r="N25" s="27">
        <f>C32</f>
        <v>223.4643042986666</v>
      </c>
      <c r="O25" s="57"/>
      <c r="P25" s="58" t="s">
        <v>80</v>
      </c>
      <c r="Q25" s="27">
        <f>SUM(Q21:Q24)</f>
        <v>568.58143999999993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SUMMARY!I25</f>
        <v>3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SUMMARY!H25</f>
        <v>1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583.9659519999999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3.2706070194593377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223.4643042986666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973.08872092680156</v>
      </c>
      <c r="H32" s="9"/>
      <c r="I32" s="5"/>
      <c r="J32" s="5"/>
      <c r="K32" s="47"/>
      <c r="L32" s="63"/>
      <c r="M32" s="50" t="s">
        <v>87</v>
      </c>
      <c r="N32" s="46">
        <f>+L45</f>
        <v>1077.4261934101889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3</v>
      </c>
    </row>
    <row r="35" spans="1:15" x14ac:dyDescent="0.3">
      <c r="A35" s="156" t="s">
        <v>81</v>
      </c>
      <c r="B35" s="157"/>
      <c r="C35" s="19">
        <f>I13</f>
        <v>3</v>
      </c>
      <c r="D35" s="5" t="s">
        <v>90</v>
      </c>
      <c r="E35" s="5">
        <v>240</v>
      </c>
      <c r="F35" s="5"/>
      <c r="G35" s="34">
        <f>E35*C35</f>
        <v>720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1</v>
      </c>
      <c r="D36" s="5" t="s">
        <v>91</v>
      </c>
      <c r="E36" s="5">
        <v>3413</v>
      </c>
      <c r="F36" s="5">
        <v>1</v>
      </c>
      <c r="G36" s="34">
        <f>F36*E36*C36</f>
        <v>3413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583.9659519999999</v>
      </c>
      <c r="D37" s="5" t="s">
        <v>92</v>
      </c>
      <c r="E37" s="5">
        <v>3.4129999999999998</v>
      </c>
      <c r="F37" s="5"/>
      <c r="G37" s="34">
        <f>+E37*C37</f>
        <v>1993.0757941759996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17658.0671749428</v>
      </c>
      <c r="H39" s="156" t="s">
        <v>97</v>
      </c>
      <c r="I39" s="157"/>
      <c r="J39" s="157"/>
      <c r="K39" s="157"/>
      <c r="L39" s="69">
        <f>G41</f>
        <v>19865.325571810652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2207.25839686785</v>
      </c>
      <c r="H40" s="156" t="s">
        <v>99</v>
      </c>
      <c r="I40" s="157"/>
      <c r="J40" s="157"/>
      <c r="K40" s="157"/>
      <c r="L40" s="70">
        <f>G50</f>
        <v>21921.757055493894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19865.325571810652</v>
      </c>
      <c r="H41" s="156" t="s">
        <v>100</v>
      </c>
      <c r="I41" s="157"/>
      <c r="J41" s="157"/>
      <c r="K41" s="157"/>
      <c r="L41" s="72">
        <f>L39/L40</f>
        <v>0.90619221449825016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223.4643042986666</v>
      </c>
      <c r="D44" s="5" t="s">
        <v>86</v>
      </c>
      <c r="E44" s="5">
        <f>+L7</f>
        <v>76.2</v>
      </c>
      <c r="F44" s="5">
        <v>0.68</v>
      </c>
      <c r="G44" s="34">
        <f>F44*E44*C44*B44</f>
        <v>1389.4831669847651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3</v>
      </c>
      <c r="D45" s="5" t="s">
        <v>90</v>
      </c>
      <c r="E45" s="5">
        <v>160</v>
      </c>
      <c r="F45" s="5"/>
      <c r="G45" s="30">
        <f>E45*C45</f>
        <v>480</v>
      </c>
      <c r="H45" s="156" t="s">
        <v>108</v>
      </c>
      <c r="I45" s="157"/>
      <c r="J45" s="157"/>
      <c r="K45" s="157"/>
      <c r="L45" s="77">
        <f>L39/(L44*1.08)</f>
        <v>1077.4261934101889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1869.4831669847651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186.94831669847653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2056.4314836832418</v>
      </c>
      <c r="H49" s="9" t="s">
        <v>113</v>
      </c>
      <c r="I49" s="79"/>
      <c r="J49" s="79"/>
      <c r="K49" s="79"/>
      <c r="L49" s="55">
        <f>N34</f>
        <v>3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21921.757055493894</v>
      </c>
      <c r="H50" s="156" t="s">
        <v>114</v>
      </c>
      <c r="I50" s="157"/>
      <c r="J50" s="157"/>
      <c r="K50" s="157"/>
      <c r="L50" s="31">
        <f>L45</f>
        <v>1077.4261934101889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3.2706070194593377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1077.4261934101889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223.4643042986666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7135.9839534632119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223.4643042986666</v>
      </c>
      <c r="D55" s="5" t="s">
        <v>86</v>
      </c>
      <c r="E55" s="5">
        <f>+L7</f>
        <v>76.2</v>
      </c>
      <c r="F55" s="5">
        <v>0.68</v>
      </c>
      <c r="G55" s="34">
        <f>F55*E55*C55*B55</f>
        <v>10189.543224554945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39247.284233512051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3.2706070194593377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x14ac:dyDescent="0.3">
      <c r="B63" s="17" t="s">
        <v>122</v>
      </c>
      <c r="G63" s="17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5CF0D-3E23-4577-91A0-41A064C29C40}">
  <sheetPr>
    <pageSetUpPr fitToPage="1"/>
  </sheetPr>
  <dimension ref="A1:S67"/>
  <sheetViews>
    <sheetView view="pageBreakPreview" topLeftCell="B4" zoomScale="85" zoomScaleNormal="100" zoomScaleSheetLayoutView="85" workbookViewId="0">
      <selection activeCell="N35" sqref="N35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9.1999999999999993</v>
      </c>
      <c r="O3" s="7">
        <f>N3*3.28</f>
        <v>30.175999999999995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122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5.9</v>
      </c>
      <c r="O4" s="7">
        <f>N4*3.28</f>
        <v>19.352</v>
      </c>
      <c r="P4" s="8"/>
      <c r="Q4" s="8"/>
    </row>
    <row r="5" spans="1:19" x14ac:dyDescent="0.3">
      <c r="A5" s="122" t="s">
        <v>17</v>
      </c>
      <c r="B5" s="5"/>
      <c r="C5" s="162" t="s">
        <v>179</v>
      </c>
      <c r="D5" s="162"/>
      <c r="E5" s="162"/>
      <c r="F5" s="162"/>
      <c r="G5" s="163"/>
      <c r="H5" s="122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122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30.175999999999995</v>
      </c>
      <c r="D7" s="19">
        <f>+N8</f>
        <v>19.352</v>
      </c>
      <c r="E7" s="20">
        <f>+N9</f>
        <v>583.9659519999999</v>
      </c>
      <c r="F7" s="21">
        <f>+N10</f>
        <v>11.479999999999999</v>
      </c>
      <c r="G7" s="22" t="s">
        <v>27</v>
      </c>
      <c r="H7" s="122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30.175999999999995</v>
      </c>
    </row>
    <row r="8" spans="1:19" x14ac:dyDescent="0.3">
      <c r="A8" s="168" t="s">
        <v>30</v>
      </c>
      <c r="B8" s="169"/>
      <c r="C8" s="170" t="s">
        <v>31</v>
      </c>
      <c r="D8" s="170"/>
      <c r="E8" s="124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19.352</v>
      </c>
    </row>
    <row r="9" spans="1:19" x14ac:dyDescent="0.3">
      <c r="A9" s="168"/>
      <c r="B9" s="169"/>
      <c r="C9" s="170"/>
      <c r="D9" s="170"/>
      <c r="E9" s="124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583.9659519999999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122" t="s">
        <v>40</v>
      </c>
      <c r="I10" s="5"/>
      <c r="J10" s="5"/>
      <c r="K10" s="5"/>
      <c r="L10" s="31">
        <f>E7*F7</f>
        <v>6703.9291289599978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122" t="s">
        <v>45</v>
      </c>
      <c r="I11" s="5"/>
      <c r="J11" s="5"/>
      <c r="K11" s="5"/>
      <c r="L11" s="35">
        <v>2</v>
      </c>
      <c r="M11" s="25" t="s">
        <v>43</v>
      </c>
      <c r="N11" s="27">
        <v>0</v>
      </c>
      <c r="P11" s="36" t="s">
        <v>46</v>
      </c>
      <c r="Q11" s="37">
        <v>7.5</v>
      </c>
      <c r="R11" s="32"/>
    </row>
    <row r="12" spans="1:19" x14ac:dyDescent="0.3">
      <c r="A12" s="156" t="s">
        <v>47</v>
      </c>
      <c r="B12" s="157"/>
      <c r="C12" s="19">
        <f>+N12</f>
        <v>20</v>
      </c>
      <c r="D12" s="5" t="s">
        <v>44</v>
      </c>
      <c r="E12" s="5">
        <v>12</v>
      </c>
      <c r="F12" s="33">
        <v>0.56000000000000005</v>
      </c>
      <c r="G12" s="34">
        <f>F12*E12*C12</f>
        <v>134.4</v>
      </c>
      <c r="H12" s="122" t="s">
        <v>48</v>
      </c>
      <c r="I12" s="5"/>
      <c r="J12" s="5"/>
      <c r="K12" s="5"/>
      <c r="L12" s="31">
        <f>+Q17</f>
        <v>74.799344255999983</v>
      </c>
      <c r="M12" s="25" t="s">
        <v>47</v>
      </c>
      <c r="N12" s="38">
        <f>5*4</f>
        <v>20</v>
      </c>
      <c r="P12" s="32" t="s">
        <v>49</v>
      </c>
      <c r="Q12" s="39">
        <f>+Q11*C35</f>
        <v>22.5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122" t="s">
        <v>51</v>
      </c>
      <c r="I13" s="19">
        <f>N26</f>
        <v>3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223.4643042986666</v>
      </c>
      <c r="M14" s="25" t="s">
        <v>54</v>
      </c>
      <c r="N14" s="27">
        <v>0</v>
      </c>
      <c r="P14" s="29" t="s">
        <v>56</v>
      </c>
      <c r="Q14" s="27">
        <f>+Q13*E7</f>
        <v>35.037957119999994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122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57.537957119999994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122"/>
      <c r="I16" s="5"/>
      <c r="J16" s="5"/>
      <c r="K16" s="47"/>
      <c r="L16" s="31"/>
      <c r="M16" s="25" t="s">
        <v>60</v>
      </c>
      <c r="N16" s="27">
        <f>N8*N10-N12</f>
        <v>202.16095999999999</v>
      </c>
      <c r="O16" s="40"/>
      <c r="P16" s="48" t="s">
        <v>61</v>
      </c>
      <c r="Q16" s="27">
        <f>Q15*30%</f>
        <v>17.261387135999996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122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74.799344255999983</v>
      </c>
      <c r="R17" s="29"/>
    </row>
    <row r="18" spans="1:18" x14ac:dyDescent="0.3">
      <c r="A18" s="156" t="s">
        <v>60</v>
      </c>
      <c r="B18" s="157"/>
      <c r="C18" s="19">
        <f>+N16</f>
        <v>202.16095999999999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2515.6909862399998</v>
      </c>
      <c r="H18" s="122"/>
      <c r="I18" s="5"/>
      <c r="J18" s="5"/>
      <c r="K18" s="5"/>
      <c r="L18" s="6"/>
      <c r="M18" s="25" t="s">
        <v>64</v>
      </c>
      <c r="N18" s="27"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122"/>
      <c r="I19" s="5"/>
      <c r="J19" s="5"/>
      <c r="K19" s="47"/>
      <c r="L19" s="31"/>
      <c r="M19" s="25" t="s">
        <v>65</v>
      </c>
      <c r="N19" s="27">
        <v>0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122"/>
      <c r="I20" s="5"/>
      <c r="J20" s="5"/>
      <c r="K20" s="47"/>
      <c r="L20" s="31"/>
      <c r="M20" s="25" t="s">
        <v>66</v>
      </c>
      <c r="N20" s="27">
        <f>+N11+N12+N13+N14</f>
        <v>20</v>
      </c>
      <c r="O20" s="40"/>
      <c r="P20" s="50"/>
      <c r="Q20" s="50" t="s">
        <v>67</v>
      </c>
      <c r="R20" s="50" t="s">
        <v>68</v>
      </c>
    </row>
    <row r="21" spans="1:18" x14ac:dyDescent="0.3">
      <c r="A21" s="122" t="s">
        <v>65</v>
      </c>
      <c r="B21" s="5"/>
      <c r="C21" s="19">
        <f>+N19</f>
        <v>0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0</v>
      </c>
      <c r="H21" s="122"/>
      <c r="I21" s="5"/>
      <c r="J21" s="21"/>
      <c r="K21" s="47"/>
      <c r="L21" s="31"/>
      <c r="M21" s="52" t="s">
        <v>69</v>
      </c>
      <c r="N21" s="53">
        <f>Q25</f>
        <v>395.37119999999999</v>
      </c>
      <c r="P21" s="49" t="s">
        <v>70</v>
      </c>
      <c r="Q21" s="27">
        <f>2.6*3.28*N10</f>
        <v>97.901439999999994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122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f>2*3.28*N10</f>
        <v>75.308799999999991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f>N8*N10</f>
        <v>222.16095999999999</v>
      </c>
      <c r="R23" s="4">
        <v>0</v>
      </c>
    </row>
    <row r="24" spans="1:18" x14ac:dyDescent="0.3">
      <c r="A24" s="156" t="s">
        <v>76</v>
      </c>
      <c r="B24" s="157"/>
      <c r="C24" s="19">
        <f>N20</f>
        <v>20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759.35999999999979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v>0</v>
      </c>
      <c r="R24" s="4">
        <v>0</v>
      </c>
    </row>
    <row r="25" spans="1:18" x14ac:dyDescent="0.3">
      <c r="A25" s="156" t="s">
        <v>69</v>
      </c>
      <c r="B25" s="157"/>
      <c r="C25" s="19">
        <f>+N21</f>
        <v>395.37119999999999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4523.0465279999989</v>
      </c>
      <c r="H25" s="179"/>
      <c r="I25" s="180"/>
      <c r="J25" s="180"/>
      <c r="K25" s="180"/>
      <c r="L25" s="181"/>
      <c r="M25" s="25" t="s">
        <v>79</v>
      </c>
      <c r="N25" s="27">
        <f>C32</f>
        <v>223.4643042986666</v>
      </c>
      <c r="O25" s="57"/>
      <c r="P25" s="58" t="s">
        <v>80</v>
      </c>
      <c r="Q25" s="27">
        <f>SUM(Q21:Q24)</f>
        <v>395.37119999999999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SUMMARY!I26</f>
        <v>3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122"/>
      <c r="I27" s="5"/>
      <c r="J27" s="44"/>
      <c r="K27" s="44"/>
      <c r="L27" s="45"/>
      <c r="M27" s="25" t="s">
        <v>82</v>
      </c>
      <c r="N27" s="7">
        <f>SUMMARY!H26</f>
        <v>1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122"/>
      <c r="I28" s="5"/>
      <c r="J28" s="5"/>
      <c r="K28" s="47"/>
      <c r="L28" s="31"/>
      <c r="M28" s="25" t="s">
        <v>83</v>
      </c>
      <c r="N28" s="97">
        <f>N9*1</f>
        <v>583.9659519999999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122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122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122"/>
      <c r="I31" s="5"/>
      <c r="J31" s="5"/>
      <c r="K31" s="5"/>
      <c r="L31" s="64"/>
      <c r="M31" s="65" t="s">
        <v>85</v>
      </c>
      <c r="N31" s="66">
        <f>+G57</f>
        <v>3.0243815370593379</v>
      </c>
      <c r="Q31" s="8"/>
    </row>
    <row r="32" spans="1:18" x14ac:dyDescent="0.3">
      <c r="A32" s="122" t="s">
        <v>79</v>
      </c>
      <c r="B32" s="5">
        <f>L8</f>
        <v>0.12</v>
      </c>
      <c r="C32" s="19">
        <f>MAX(L12:L14)</f>
        <v>223.4643042986666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973.08872092680156</v>
      </c>
      <c r="H32" s="122"/>
      <c r="I32" s="5"/>
      <c r="J32" s="5"/>
      <c r="K32" s="47"/>
      <c r="L32" s="63"/>
      <c r="M32" s="50" t="s">
        <v>87</v>
      </c>
      <c r="N32" s="46">
        <f>+L45</f>
        <v>917.17322402562149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122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122"/>
      <c r="I34" s="5"/>
      <c r="J34" s="5"/>
      <c r="K34" s="47"/>
      <c r="L34" s="63"/>
      <c r="M34" s="28" t="s">
        <v>89</v>
      </c>
      <c r="N34" s="67">
        <v>3</v>
      </c>
    </row>
    <row r="35" spans="1:15" x14ac:dyDescent="0.3">
      <c r="A35" s="156" t="s">
        <v>81</v>
      </c>
      <c r="B35" s="157"/>
      <c r="C35" s="19">
        <f>I13</f>
        <v>3</v>
      </c>
      <c r="D35" s="5" t="s">
        <v>90</v>
      </c>
      <c r="E35" s="5">
        <v>240</v>
      </c>
      <c r="F35" s="5"/>
      <c r="G35" s="34">
        <f>E35*C35</f>
        <v>720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1</v>
      </c>
      <c r="D36" s="5" t="s">
        <v>91</v>
      </c>
      <c r="E36" s="5">
        <v>3413</v>
      </c>
      <c r="F36" s="5">
        <v>1</v>
      </c>
      <c r="G36" s="34">
        <f>F36*E36*C36</f>
        <v>3413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583.9659519999999</v>
      </c>
      <c r="D37" s="5" t="s">
        <v>92</v>
      </c>
      <c r="E37" s="5">
        <v>3.4129999999999998</v>
      </c>
      <c r="F37" s="5"/>
      <c r="G37" s="34">
        <f>+E37*C37</f>
        <v>1993.0757941759996</v>
      </c>
      <c r="H37" s="122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15031.6620293428</v>
      </c>
      <c r="H39" s="156" t="s">
        <v>97</v>
      </c>
      <c r="I39" s="157"/>
      <c r="J39" s="157"/>
      <c r="K39" s="157"/>
      <c r="L39" s="69">
        <f>G41</f>
        <v>16910.61978301065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1878.9577536678501</v>
      </c>
      <c r="H40" s="156" t="s">
        <v>99</v>
      </c>
      <c r="I40" s="157"/>
      <c r="J40" s="157"/>
      <c r="K40" s="157"/>
      <c r="L40" s="70">
        <f>G50</f>
        <v>18967.051266693892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16910.61978301065</v>
      </c>
      <c r="H41" s="156" t="s">
        <v>100</v>
      </c>
      <c r="I41" s="157"/>
      <c r="J41" s="157"/>
      <c r="K41" s="157"/>
      <c r="L41" s="72">
        <f>L39/L40</f>
        <v>0.8915787459648864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122" t="s">
        <v>103</v>
      </c>
      <c r="B44" s="5">
        <f>L8</f>
        <v>0.12</v>
      </c>
      <c r="C44" s="19">
        <f>C32</f>
        <v>223.4643042986666</v>
      </c>
      <c r="D44" s="5" t="s">
        <v>86</v>
      </c>
      <c r="E44" s="5">
        <f>+L7</f>
        <v>76.2</v>
      </c>
      <c r="F44" s="5">
        <v>0.68</v>
      </c>
      <c r="G44" s="34">
        <f>F44*E44*C44*B44</f>
        <v>1389.4831669847651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3</v>
      </c>
      <c r="D45" s="5" t="s">
        <v>90</v>
      </c>
      <c r="E45" s="5">
        <v>160</v>
      </c>
      <c r="F45" s="5"/>
      <c r="G45" s="30">
        <f>E45*C45</f>
        <v>480</v>
      </c>
      <c r="H45" s="156" t="s">
        <v>108</v>
      </c>
      <c r="I45" s="157"/>
      <c r="J45" s="157"/>
      <c r="K45" s="157"/>
      <c r="L45" s="77">
        <f>L39/(L44*1.08)</f>
        <v>917.17322402562149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1869.4831669847651</v>
      </c>
      <c r="H47" s="122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186.94831669847653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2056.4314836832418</v>
      </c>
      <c r="H49" s="122" t="s">
        <v>113</v>
      </c>
      <c r="I49" s="123"/>
      <c r="J49" s="123"/>
      <c r="K49" s="123"/>
      <c r="L49" s="55">
        <f>N34</f>
        <v>3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18967.051266693892</v>
      </c>
      <c r="H50" s="156" t="s">
        <v>114</v>
      </c>
      <c r="I50" s="157"/>
      <c r="J50" s="157"/>
      <c r="K50" s="157"/>
      <c r="L50" s="31">
        <f>L45</f>
        <v>917.17322402562149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3.0243815370593379</v>
      </c>
    </row>
    <row r="52" spans="1:16" x14ac:dyDescent="0.3">
      <c r="A52" s="122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917.17322402562149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122" t="s">
        <v>118</v>
      </c>
      <c r="B54" s="5">
        <f>(1-L8)</f>
        <v>0.88</v>
      </c>
      <c r="C54" s="19">
        <f>C44</f>
        <v>223.4643042986666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7135.9839534632119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122" t="s">
        <v>119</v>
      </c>
      <c r="B55" s="5">
        <f>(1-L8)</f>
        <v>0.88</v>
      </c>
      <c r="C55" s="19">
        <f>C44</f>
        <v>223.4643042986666</v>
      </c>
      <c r="D55" s="5" t="s">
        <v>86</v>
      </c>
      <c r="E55" s="5">
        <f>+L7</f>
        <v>76.2</v>
      </c>
      <c r="F55" s="5">
        <v>0.68</v>
      </c>
      <c r="G55" s="34">
        <f>F55*E55*C55*B55</f>
        <v>10189.543224554945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36292.578444712053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3.0243815370593379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x14ac:dyDescent="0.3">
      <c r="B63" s="17" t="s">
        <v>122</v>
      </c>
      <c r="G63" s="17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A1:L1"/>
    <mergeCell ref="A2:B2"/>
    <mergeCell ref="C2:E2"/>
    <mergeCell ref="F2:G2"/>
    <mergeCell ref="H2:J2"/>
    <mergeCell ref="K2:L2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H58:K58"/>
    <mergeCell ref="H55:K55"/>
    <mergeCell ref="A56:F56"/>
    <mergeCell ref="H56:K56"/>
    <mergeCell ref="L56:L57"/>
    <mergeCell ref="A57:F57"/>
    <mergeCell ref="H57:K5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E011-FC4E-4104-8087-5AD5D792CD1E}">
  <sheetPr>
    <tabColor theme="4"/>
    <pageSetUpPr fitToPage="1"/>
  </sheetPr>
  <dimension ref="A1:S67"/>
  <sheetViews>
    <sheetView view="pageBreakPreview" topLeftCell="B7" zoomScale="85" zoomScaleNormal="100" zoomScaleSheetLayoutView="85" workbookViewId="0">
      <selection activeCell="N35" sqref="N35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6.2</v>
      </c>
      <c r="O3" s="7">
        <f>N3*3.28</f>
        <v>20.335999999999999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122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3</v>
      </c>
      <c r="O4" s="7">
        <f>N4*3.28</f>
        <v>9.84</v>
      </c>
      <c r="P4" s="8"/>
      <c r="Q4" s="8"/>
    </row>
    <row r="5" spans="1:19" x14ac:dyDescent="0.3">
      <c r="A5" s="122" t="s">
        <v>17</v>
      </c>
      <c r="B5" s="5"/>
      <c r="C5" s="162" t="s">
        <v>146</v>
      </c>
      <c r="D5" s="162"/>
      <c r="E5" s="162"/>
      <c r="F5" s="162"/>
      <c r="G5" s="163"/>
      <c r="H5" s="122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122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20.335999999999999</v>
      </c>
      <c r="D7" s="19">
        <f>+N8</f>
        <v>9.84</v>
      </c>
      <c r="E7" s="20">
        <f>+N9</f>
        <v>200.10623999999999</v>
      </c>
      <c r="F7" s="21">
        <f>+N10</f>
        <v>11.479999999999999</v>
      </c>
      <c r="G7" s="22" t="s">
        <v>27</v>
      </c>
      <c r="H7" s="122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20.335999999999999</v>
      </c>
    </row>
    <row r="8" spans="1:19" x14ac:dyDescent="0.3">
      <c r="A8" s="168" t="s">
        <v>30</v>
      </c>
      <c r="B8" s="169"/>
      <c r="C8" s="170" t="s">
        <v>31</v>
      </c>
      <c r="D8" s="170"/>
      <c r="E8" s="124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9.84</v>
      </c>
    </row>
    <row r="9" spans="1:19" x14ac:dyDescent="0.3">
      <c r="A9" s="168"/>
      <c r="B9" s="169"/>
      <c r="C9" s="170"/>
      <c r="D9" s="170"/>
      <c r="E9" s="124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200.10623999999999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122" t="s">
        <v>40</v>
      </c>
      <c r="I10" s="5"/>
      <c r="J10" s="5"/>
      <c r="K10" s="5"/>
      <c r="L10" s="31">
        <f>E7*F7</f>
        <v>2297.2196351999996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122" t="s">
        <v>45</v>
      </c>
      <c r="I11" s="5"/>
      <c r="J11" s="5"/>
      <c r="K11" s="5"/>
      <c r="L11" s="35">
        <v>0</v>
      </c>
      <c r="M11" s="25" t="s">
        <v>43</v>
      </c>
      <c r="N11" s="27">
        <v>0</v>
      </c>
      <c r="P11" s="36" t="s">
        <v>46</v>
      </c>
      <c r="Q11" s="37">
        <v>5</v>
      </c>
      <c r="R11" s="32"/>
    </row>
    <row r="12" spans="1:19" x14ac:dyDescent="0.3">
      <c r="A12" s="156" t="s">
        <v>47</v>
      </c>
      <c r="B12" s="157"/>
      <c r="C12" s="19">
        <f>+N12</f>
        <v>0</v>
      </c>
      <c r="D12" s="5" t="s">
        <v>44</v>
      </c>
      <c r="E12" s="5">
        <v>12</v>
      </c>
      <c r="F12" s="33">
        <v>0.56000000000000005</v>
      </c>
      <c r="G12" s="34">
        <f>F12*E12*C12</f>
        <v>0</v>
      </c>
      <c r="H12" s="122" t="s">
        <v>48</v>
      </c>
      <c r="I12" s="5"/>
      <c r="J12" s="5"/>
      <c r="K12" s="5"/>
      <c r="L12" s="31">
        <f>+Q17</f>
        <v>48.108286719999995</v>
      </c>
      <c r="M12" s="25" t="s">
        <v>47</v>
      </c>
      <c r="N12" s="38">
        <v>0</v>
      </c>
      <c r="P12" s="32" t="s">
        <v>49</v>
      </c>
      <c r="Q12" s="39">
        <f>+Q11*C35</f>
        <v>25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122" t="s">
        <v>51</v>
      </c>
      <c r="I13" s="19">
        <f>N26</f>
        <v>5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0</v>
      </c>
      <c r="M14" s="25" t="s">
        <v>54</v>
      </c>
      <c r="N14" s="27">
        <v>0</v>
      </c>
      <c r="P14" s="29" t="s">
        <v>56</v>
      </c>
      <c r="Q14" s="27">
        <f>+Q13*E7</f>
        <v>12.006374399999999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122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37.006374399999999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122"/>
      <c r="I16" s="5"/>
      <c r="J16" s="5"/>
      <c r="K16" s="47"/>
      <c r="L16" s="31"/>
      <c r="M16" s="25" t="s">
        <v>60</v>
      </c>
      <c r="N16" s="27">
        <v>0</v>
      </c>
      <c r="O16" s="40"/>
      <c r="P16" s="48" t="s">
        <v>61</v>
      </c>
      <c r="Q16" s="27">
        <f>Q15*30%</f>
        <v>11.101912319999999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122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48.108286719999995</v>
      </c>
      <c r="R17" s="29"/>
    </row>
    <row r="18" spans="1:18" x14ac:dyDescent="0.3">
      <c r="A18" s="156" t="s">
        <v>60</v>
      </c>
      <c r="B18" s="157"/>
      <c r="C18" s="19">
        <f>+N16</f>
        <v>0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0</v>
      </c>
      <c r="H18" s="122"/>
      <c r="I18" s="5"/>
      <c r="J18" s="5"/>
      <c r="K18" s="5"/>
      <c r="L18" s="6"/>
      <c r="M18" s="25" t="s">
        <v>64</v>
      </c>
      <c r="N18" s="27">
        <f>(O7-N14)*N13</f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122"/>
      <c r="I19" s="5"/>
      <c r="J19" s="5"/>
      <c r="K19" s="47"/>
      <c r="L19" s="31"/>
      <c r="M19" s="25" t="s">
        <v>65</v>
      </c>
      <c r="N19" s="27">
        <v>0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122"/>
      <c r="I20" s="5"/>
      <c r="J20" s="5"/>
      <c r="K20" s="47"/>
      <c r="L20" s="31"/>
      <c r="M20" s="25" t="s">
        <v>66</v>
      </c>
      <c r="N20" s="27">
        <f>+N11+N12+N13+N14</f>
        <v>0</v>
      </c>
      <c r="O20" s="40"/>
      <c r="P20" s="50"/>
      <c r="Q20" s="50" t="s">
        <v>67</v>
      </c>
      <c r="R20" s="50" t="s">
        <v>68</v>
      </c>
    </row>
    <row r="21" spans="1:18" x14ac:dyDescent="0.3">
      <c r="A21" s="122" t="s">
        <v>65</v>
      </c>
      <c r="B21" s="5"/>
      <c r="C21" s="19">
        <f>+N19</f>
        <v>0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0</v>
      </c>
      <c r="H21" s="122"/>
      <c r="I21" s="5"/>
      <c r="J21" s="21"/>
      <c r="K21" s="47"/>
      <c r="L21" s="31"/>
      <c r="M21" s="52" t="s">
        <v>69</v>
      </c>
      <c r="N21" s="53">
        <f>Q25</f>
        <v>459.38367999999991</v>
      </c>
      <c r="P21" s="49" t="s">
        <v>70</v>
      </c>
      <c r="Q21" s="27">
        <f>N8*N10</f>
        <v>112.96319999999999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122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v>0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f>N7*N10</f>
        <v>233.45727999999997</v>
      </c>
      <c r="R23" s="4">
        <v>0</v>
      </c>
    </row>
    <row r="24" spans="1:18" x14ac:dyDescent="0.3">
      <c r="A24" s="156" t="s">
        <v>76</v>
      </c>
      <c r="B24" s="157"/>
      <c r="C24" s="19">
        <f>N20</f>
        <v>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0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f>N8*N10</f>
        <v>112.96319999999999</v>
      </c>
      <c r="R24" s="4">
        <v>0</v>
      </c>
    </row>
    <row r="25" spans="1:18" x14ac:dyDescent="0.3">
      <c r="A25" s="156" t="s">
        <v>69</v>
      </c>
      <c r="B25" s="157"/>
      <c r="C25" s="19">
        <f>+N21</f>
        <v>459.38367999999991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5255.3492991999983</v>
      </c>
      <c r="H25" s="179"/>
      <c r="I25" s="180"/>
      <c r="J25" s="180"/>
      <c r="K25" s="180"/>
      <c r="L25" s="181"/>
      <c r="M25" s="25" t="s">
        <v>79</v>
      </c>
      <c r="N25" s="27">
        <f>C32</f>
        <v>48.108286719999995</v>
      </c>
      <c r="O25" s="57"/>
      <c r="P25" s="58" t="s">
        <v>80</v>
      </c>
      <c r="Q25" s="27">
        <f>SUM(Q21:Q24)</f>
        <v>459.38367999999991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SUMMARY!I5</f>
        <v>5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122"/>
      <c r="I27" s="5"/>
      <c r="J27" s="44"/>
      <c r="K27" s="44"/>
      <c r="L27" s="45"/>
      <c r="M27" s="25" t="s">
        <v>82</v>
      </c>
      <c r="N27" s="7">
        <f>SUMMARY!H5</f>
        <v>0.5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122"/>
      <c r="I28" s="5"/>
      <c r="J28" s="5"/>
      <c r="K28" s="47"/>
      <c r="L28" s="31"/>
      <c r="M28" s="25" t="s">
        <v>83</v>
      </c>
      <c r="N28" s="97">
        <f>N9*1</f>
        <v>200.10623999999999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122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122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122"/>
      <c r="I31" s="5"/>
      <c r="J31" s="5"/>
      <c r="K31" s="5"/>
      <c r="L31" s="64"/>
      <c r="M31" s="65" t="s">
        <v>85</v>
      </c>
      <c r="N31" s="66">
        <f>+G57</f>
        <v>1.2604204605818758</v>
      </c>
      <c r="Q31" s="8"/>
    </row>
    <row r="32" spans="1:18" x14ac:dyDescent="0.3">
      <c r="A32" s="122" t="s">
        <v>79</v>
      </c>
      <c r="B32" s="5">
        <f>L8</f>
        <v>0.12</v>
      </c>
      <c r="C32" s="19">
        <f>MAX(L12:L14)</f>
        <v>48.108286719999995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209.49042101944315</v>
      </c>
      <c r="H32" s="122"/>
      <c r="I32" s="5"/>
      <c r="J32" s="5"/>
      <c r="K32" s="47"/>
      <c r="L32" s="63"/>
      <c r="M32" s="50" t="s">
        <v>87</v>
      </c>
      <c r="N32" s="46">
        <f>+L45</f>
        <v>552.4581135130768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122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122"/>
      <c r="I34" s="5"/>
      <c r="J34" s="5"/>
      <c r="K34" s="47"/>
      <c r="L34" s="63"/>
      <c r="M34" s="28" t="s">
        <v>89</v>
      </c>
      <c r="N34" s="67">
        <v>1.5</v>
      </c>
    </row>
    <row r="35" spans="1:15" x14ac:dyDescent="0.3">
      <c r="A35" s="156" t="s">
        <v>81</v>
      </c>
      <c r="B35" s="157"/>
      <c r="C35" s="19">
        <f>I13</f>
        <v>5</v>
      </c>
      <c r="D35" s="5" t="s">
        <v>90</v>
      </c>
      <c r="E35" s="5">
        <v>240</v>
      </c>
      <c r="F35" s="5"/>
      <c r="G35" s="34">
        <f>E35*C35</f>
        <v>1200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0.5</v>
      </c>
      <c r="D36" s="5" t="s">
        <v>91</v>
      </c>
      <c r="E36" s="5">
        <v>3413</v>
      </c>
      <c r="F36" s="5">
        <v>1</v>
      </c>
      <c r="G36" s="34">
        <f>F36*E36*C36</f>
        <v>1706.5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200.10623999999999</v>
      </c>
      <c r="D37" s="5" t="s">
        <v>92</v>
      </c>
      <c r="E37" s="5">
        <v>3.4129999999999998</v>
      </c>
      <c r="F37" s="5"/>
      <c r="G37" s="34">
        <f>+E37*C37</f>
        <v>682.96259711999994</v>
      </c>
      <c r="H37" s="122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9054.3023173394413</v>
      </c>
      <c r="H39" s="156" t="s">
        <v>97</v>
      </c>
      <c r="I39" s="157"/>
      <c r="J39" s="157"/>
      <c r="K39" s="157"/>
      <c r="L39" s="69">
        <f>G41</f>
        <v>10186.090107006872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1131.7877896674302</v>
      </c>
      <c r="H40" s="156" t="s">
        <v>99</v>
      </c>
      <c r="I40" s="157"/>
      <c r="J40" s="157"/>
      <c r="K40" s="157"/>
      <c r="L40" s="70">
        <f>G50</f>
        <v>11395.136932985097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10186.090107006872</v>
      </c>
      <c r="H41" s="156" t="s">
        <v>100</v>
      </c>
      <c r="I41" s="157"/>
      <c r="J41" s="157"/>
      <c r="K41" s="157"/>
      <c r="L41" s="72">
        <f>L39/L40</f>
        <v>0.8938979993756424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122" t="s">
        <v>103</v>
      </c>
      <c r="B44" s="5">
        <f>L8</f>
        <v>0.12</v>
      </c>
      <c r="C44" s="19">
        <f>C32</f>
        <v>48.108286719999995</v>
      </c>
      <c r="D44" s="5" t="s">
        <v>86</v>
      </c>
      <c r="E44" s="5">
        <f>+L7</f>
        <v>76.2</v>
      </c>
      <c r="F44" s="5">
        <v>0.68</v>
      </c>
      <c r="G44" s="34">
        <f>F44*E44*C44*B44</f>
        <v>299.13347816202236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5</v>
      </c>
      <c r="D45" s="5" t="s">
        <v>90</v>
      </c>
      <c r="E45" s="5">
        <v>160</v>
      </c>
      <c r="F45" s="5"/>
      <c r="G45" s="30">
        <f>E45*C45</f>
        <v>800</v>
      </c>
      <c r="H45" s="156" t="s">
        <v>108</v>
      </c>
      <c r="I45" s="157"/>
      <c r="J45" s="157"/>
      <c r="K45" s="157"/>
      <c r="L45" s="77">
        <f>L39/(L44*1.08)</f>
        <v>552.4581135130768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1099.1334781620224</v>
      </c>
      <c r="H47" s="122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109.91334781620225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1209.0468259782247</v>
      </c>
      <c r="H49" s="122" t="s">
        <v>113</v>
      </c>
      <c r="I49" s="123"/>
      <c r="J49" s="123"/>
      <c r="K49" s="123"/>
      <c r="L49" s="55">
        <f>N34</f>
        <v>1.5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11395.136932985097</v>
      </c>
      <c r="H50" s="156" t="s">
        <v>114</v>
      </c>
      <c r="I50" s="157"/>
      <c r="J50" s="157"/>
      <c r="K50" s="157"/>
      <c r="L50" s="31">
        <f>L45</f>
        <v>552.4581135130768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1.2604204605818758</v>
      </c>
    </row>
    <row r="52" spans="1:16" x14ac:dyDescent="0.3">
      <c r="A52" s="122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552.4581135130768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122" t="s">
        <v>118</v>
      </c>
      <c r="B54" s="5">
        <f>(1-L8)</f>
        <v>0.88</v>
      </c>
      <c r="C54" s="19">
        <f>C44</f>
        <v>48.108286719999995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1536.2630874759166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122" t="s">
        <v>119</v>
      </c>
      <c r="B55" s="5">
        <f>(1-L8)</f>
        <v>0.88</v>
      </c>
      <c r="C55" s="19">
        <f>C44</f>
        <v>48.108286719999995</v>
      </c>
      <c r="D55" s="5" t="s">
        <v>86</v>
      </c>
      <c r="E55" s="5">
        <f>+L7</f>
        <v>76.2</v>
      </c>
      <c r="F55" s="5">
        <v>0.68</v>
      </c>
      <c r="G55" s="34">
        <f>F55*E55*C55*B55</f>
        <v>2193.6455065214973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15125.045526982511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1.2604204605818758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x14ac:dyDescent="0.3">
      <c r="B63" s="17" t="s">
        <v>122</v>
      </c>
      <c r="G63" s="17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5FCF-548D-48D2-ACE7-5338495AC73C}">
  <sheetPr>
    <pageSetUpPr fitToPage="1"/>
  </sheetPr>
  <dimension ref="A1:S67"/>
  <sheetViews>
    <sheetView view="pageBreakPreview" topLeftCell="B1" zoomScale="85" zoomScaleNormal="100" zoomScaleSheetLayoutView="85" workbookViewId="0">
      <selection activeCell="N35" sqref="N35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9.1999999999999993</v>
      </c>
      <c r="O3" s="7">
        <f>N3*3.28</f>
        <v>30.175999999999995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122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5.9</v>
      </c>
      <c r="O4" s="7">
        <f>N4*3.28</f>
        <v>19.352</v>
      </c>
      <c r="P4" s="8"/>
      <c r="Q4" s="8"/>
    </row>
    <row r="5" spans="1:19" x14ac:dyDescent="0.3">
      <c r="A5" s="122" t="s">
        <v>17</v>
      </c>
      <c r="B5" s="5"/>
      <c r="C5" s="162" t="s">
        <v>180</v>
      </c>
      <c r="D5" s="162"/>
      <c r="E5" s="162"/>
      <c r="F5" s="162"/>
      <c r="G5" s="163"/>
      <c r="H5" s="122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122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30.175999999999995</v>
      </c>
      <c r="D7" s="19">
        <f>+N8</f>
        <v>19.352</v>
      </c>
      <c r="E7" s="20">
        <f>+N9</f>
        <v>583.9659519999999</v>
      </c>
      <c r="F7" s="21">
        <f>+N10</f>
        <v>11.479999999999999</v>
      </c>
      <c r="G7" s="22" t="s">
        <v>27</v>
      </c>
      <c r="H7" s="122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30.175999999999995</v>
      </c>
    </row>
    <row r="8" spans="1:19" x14ac:dyDescent="0.3">
      <c r="A8" s="168" t="s">
        <v>30</v>
      </c>
      <c r="B8" s="169"/>
      <c r="C8" s="170" t="s">
        <v>31</v>
      </c>
      <c r="D8" s="170"/>
      <c r="E8" s="124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19.352</v>
      </c>
    </row>
    <row r="9" spans="1:19" x14ac:dyDescent="0.3">
      <c r="A9" s="168"/>
      <c r="B9" s="169"/>
      <c r="C9" s="170"/>
      <c r="D9" s="170"/>
      <c r="E9" s="124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583.9659519999999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122" t="s">
        <v>40</v>
      </c>
      <c r="I10" s="5"/>
      <c r="J10" s="5"/>
      <c r="K10" s="5"/>
      <c r="L10" s="31">
        <f>E7*F7</f>
        <v>6703.9291289599978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122" t="s">
        <v>45</v>
      </c>
      <c r="I11" s="5"/>
      <c r="J11" s="5"/>
      <c r="K11" s="5"/>
      <c r="L11" s="35">
        <v>2</v>
      </c>
      <c r="M11" s="25" t="s">
        <v>43</v>
      </c>
      <c r="N11" s="27">
        <v>0</v>
      </c>
      <c r="P11" s="36" t="s">
        <v>46</v>
      </c>
      <c r="Q11" s="37">
        <v>7.5</v>
      </c>
      <c r="R11" s="32"/>
    </row>
    <row r="12" spans="1:19" x14ac:dyDescent="0.3">
      <c r="A12" s="156" t="s">
        <v>47</v>
      </c>
      <c r="B12" s="157"/>
      <c r="C12" s="19">
        <f>+N12</f>
        <v>40</v>
      </c>
      <c r="D12" s="5" t="s">
        <v>44</v>
      </c>
      <c r="E12" s="5">
        <v>12</v>
      </c>
      <c r="F12" s="33">
        <v>0.56000000000000005</v>
      </c>
      <c r="G12" s="34">
        <f>F12*E12*C12</f>
        <v>268.8</v>
      </c>
      <c r="H12" s="122" t="s">
        <v>48</v>
      </c>
      <c r="I12" s="5"/>
      <c r="J12" s="5"/>
      <c r="K12" s="5"/>
      <c r="L12" s="31">
        <f>+Q17</f>
        <v>74.799344255999983</v>
      </c>
      <c r="M12" s="25" t="s">
        <v>47</v>
      </c>
      <c r="N12" s="38">
        <f>5*4*2</f>
        <v>40</v>
      </c>
      <c r="P12" s="32" t="s">
        <v>49</v>
      </c>
      <c r="Q12" s="39">
        <f>+Q11*C35</f>
        <v>22.5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122" t="s">
        <v>51</v>
      </c>
      <c r="I13" s="19">
        <f>N26</f>
        <v>3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223.4643042986666</v>
      </c>
      <c r="M14" s="25" t="s">
        <v>54</v>
      </c>
      <c r="N14" s="27">
        <v>0</v>
      </c>
      <c r="P14" s="29" t="s">
        <v>56</v>
      </c>
      <c r="Q14" s="27">
        <f>+Q13*E7</f>
        <v>35.037957119999994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122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57.537957119999994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122"/>
      <c r="I16" s="5"/>
      <c r="J16" s="5"/>
      <c r="K16" s="47"/>
      <c r="L16" s="31"/>
      <c r="M16" s="25" t="s">
        <v>60</v>
      </c>
      <c r="N16" s="27">
        <f>N8*N10-N12</f>
        <v>182.16095999999999</v>
      </c>
      <c r="O16" s="40"/>
      <c r="P16" s="48" t="s">
        <v>61</v>
      </c>
      <c r="Q16" s="27">
        <f>Q15*30%</f>
        <v>17.261387135999996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122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74.799344255999983</v>
      </c>
      <c r="R17" s="29"/>
    </row>
    <row r="18" spans="1:18" x14ac:dyDescent="0.3">
      <c r="A18" s="156" t="s">
        <v>60</v>
      </c>
      <c r="B18" s="157"/>
      <c r="C18" s="19">
        <f>+N16</f>
        <v>182.16095999999999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2266.8109862399997</v>
      </c>
      <c r="H18" s="122"/>
      <c r="I18" s="5"/>
      <c r="J18" s="5"/>
      <c r="K18" s="5"/>
      <c r="L18" s="6"/>
      <c r="M18" s="25" t="s">
        <v>64</v>
      </c>
      <c r="N18" s="27"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122"/>
      <c r="I19" s="5"/>
      <c r="J19" s="5"/>
      <c r="K19" s="47"/>
      <c r="L19" s="31"/>
      <c r="M19" s="25" t="s">
        <v>65</v>
      </c>
      <c r="N19" s="27">
        <v>0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122"/>
      <c r="I20" s="5"/>
      <c r="J20" s="5"/>
      <c r="K20" s="47"/>
      <c r="L20" s="31"/>
      <c r="M20" s="25" t="s">
        <v>66</v>
      </c>
      <c r="N20" s="27">
        <f>+N11+N12+N13+N14</f>
        <v>40</v>
      </c>
      <c r="O20" s="40"/>
      <c r="P20" s="50"/>
      <c r="Q20" s="50" t="s">
        <v>67</v>
      </c>
      <c r="R20" s="50" t="s">
        <v>68</v>
      </c>
    </row>
    <row r="21" spans="1:18" x14ac:dyDescent="0.3">
      <c r="A21" s="122" t="s">
        <v>65</v>
      </c>
      <c r="B21" s="5"/>
      <c r="C21" s="19">
        <f>+N19</f>
        <v>0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0</v>
      </c>
      <c r="H21" s="122"/>
      <c r="I21" s="5"/>
      <c r="J21" s="21"/>
      <c r="K21" s="47"/>
      <c r="L21" s="31"/>
      <c r="M21" s="52" t="s">
        <v>69</v>
      </c>
      <c r="N21" s="53">
        <f>Q25</f>
        <v>395.37119999999993</v>
      </c>
      <c r="P21" s="49" t="s">
        <v>70</v>
      </c>
      <c r="Q21" s="27">
        <v>0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122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f>2*3.28*N10</f>
        <v>75.308799999999991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f>N8*N10</f>
        <v>222.16095999999999</v>
      </c>
      <c r="R23" s="4">
        <v>0</v>
      </c>
    </row>
    <row r="24" spans="1:18" x14ac:dyDescent="0.3">
      <c r="A24" s="156" t="s">
        <v>76</v>
      </c>
      <c r="B24" s="157"/>
      <c r="C24" s="19">
        <f>N20</f>
        <v>40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1518.7199999999996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f>2.6*3.28*N10</f>
        <v>97.901439999999994</v>
      </c>
      <c r="R24" s="4">
        <v>0</v>
      </c>
    </row>
    <row r="25" spans="1:18" x14ac:dyDescent="0.3">
      <c r="A25" s="156" t="s">
        <v>69</v>
      </c>
      <c r="B25" s="157"/>
      <c r="C25" s="19">
        <f>+N21</f>
        <v>395.37119999999993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4523.046527999998</v>
      </c>
      <c r="H25" s="179"/>
      <c r="I25" s="180"/>
      <c r="J25" s="180"/>
      <c r="K25" s="180"/>
      <c r="L25" s="181"/>
      <c r="M25" s="25" t="s">
        <v>79</v>
      </c>
      <c r="N25" s="27">
        <f>C32</f>
        <v>223.4643042986666</v>
      </c>
      <c r="O25" s="57"/>
      <c r="P25" s="58" t="s">
        <v>80</v>
      </c>
      <c r="Q25" s="27">
        <f>SUM(Q21:Q24)</f>
        <v>395.37119999999993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SUMMARY!I27</f>
        <v>3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122"/>
      <c r="I27" s="5"/>
      <c r="J27" s="44"/>
      <c r="K27" s="44"/>
      <c r="L27" s="45"/>
      <c r="M27" s="25" t="s">
        <v>82</v>
      </c>
      <c r="N27" s="7">
        <f>SUMMARY!H27</f>
        <v>1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122"/>
      <c r="I28" s="5"/>
      <c r="J28" s="5"/>
      <c r="K28" s="47"/>
      <c r="L28" s="31"/>
      <c r="M28" s="25" t="s">
        <v>83</v>
      </c>
      <c r="N28" s="97">
        <f>N9*1</f>
        <v>583.9659519999999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122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122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122"/>
      <c r="I31" s="5"/>
      <c r="J31" s="5"/>
      <c r="K31" s="5"/>
      <c r="L31" s="64"/>
      <c r="M31" s="65" t="s">
        <v>85</v>
      </c>
      <c r="N31" s="66">
        <f>+G57</f>
        <v>3.084839037059337</v>
      </c>
      <c r="Q31" s="8"/>
    </row>
    <row r="32" spans="1:18" x14ac:dyDescent="0.3">
      <c r="A32" s="122" t="s">
        <v>79</v>
      </c>
      <c r="B32" s="5">
        <f>L8</f>
        <v>0.12</v>
      </c>
      <c r="C32" s="19">
        <f>MAX(L12:L14)</f>
        <v>223.4643042986666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973.08872092680156</v>
      </c>
      <c r="H32" s="122"/>
      <c r="I32" s="5"/>
      <c r="J32" s="5"/>
      <c r="K32" s="47"/>
      <c r="L32" s="63"/>
      <c r="M32" s="50" t="s">
        <v>87</v>
      </c>
      <c r="N32" s="46">
        <f>+L45</f>
        <v>956.52127932084159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122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122"/>
      <c r="I34" s="5"/>
      <c r="J34" s="5"/>
      <c r="K34" s="47"/>
      <c r="L34" s="63"/>
      <c r="M34" s="28" t="s">
        <v>89</v>
      </c>
      <c r="N34" s="67">
        <v>3</v>
      </c>
    </row>
    <row r="35" spans="1:15" x14ac:dyDescent="0.3">
      <c r="A35" s="156" t="s">
        <v>81</v>
      </c>
      <c r="B35" s="157"/>
      <c r="C35" s="19">
        <f>I13</f>
        <v>3</v>
      </c>
      <c r="D35" s="5" t="s">
        <v>90</v>
      </c>
      <c r="E35" s="5">
        <v>240</v>
      </c>
      <c r="F35" s="5"/>
      <c r="G35" s="34">
        <f>E35*C35</f>
        <v>720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1</v>
      </c>
      <c r="D36" s="5" t="s">
        <v>91</v>
      </c>
      <c r="E36" s="5">
        <v>3413</v>
      </c>
      <c r="F36" s="5">
        <v>1</v>
      </c>
      <c r="G36" s="34">
        <f>F36*E36*C36</f>
        <v>3413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583.9659519999999</v>
      </c>
      <c r="D37" s="5" t="s">
        <v>92</v>
      </c>
      <c r="E37" s="5">
        <v>3.4129999999999998</v>
      </c>
      <c r="F37" s="5"/>
      <c r="G37" s="34">
        <f>+E37*C37</f>
        <v>1993.0757941759996</v>
      </c>
      <c r="H37" s="122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15676.5420293428</v>
      </c>
      <c r="H39" s="156" t="s">
        <v>97</v>
      </c>
      <c r="I39" s="157"/>
      <c r="J39" s="157"/>
      <c r="K39" s="157"/>
      <c r="L39" s="69">
        <f>G41</f>
        <v>17636.109783010648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1959.56775366785</v>
      </c>
      <c r="H40" s="156" t="s">
        <v>99</v>
      </c>
      <c r="I40" s="157"/>
      <c r="J40" s="157"/>
      <c r="K40" s="157"/>
      <c r="L40" s="70">
        <f>G50</f>
        <v>19692.54126669389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17636.109783010648</v>
      </c>
      <c r="H41" s="156" t="s">
        <v>100</v>
      </c>
      <c r="I41" s="157"/>
      <c r="J41" s="157"/>
      <c r="K41" s="157"/>
      <c r="L41" s="72">
        <f>L39/L40</f>
        <v>0.89557307734775216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122" t="s">
        <v>103</v>
      </c>
      <c r="B44" s="5">
        <f>L8</f>
        <v>0.12</v>
      </c>
      <c r="C44" s="19">
        <f>C32</f>
        <v>223.4643042986666</v>
      </c>
      <c r="D44" s="5" t="s">
        <v>86</v>
      </c>
      <c r="E44" s="5">
        <f>+L7</f>
        <v>76.2</v>
      </c>
      <c r="F44" s="5">
        <v>0.68</v>
      </c>
      <c r="G44" s="34">
        <f>F44*E44*C44*B44</f>
        <v>1389.4831669847651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3</v>
      </c>
      <c r="D45" s="5" t="s">
        <v>90</v>
      </c>
      <c r="E45" s="5">
        <v>160</v>
      </c>
      <c r="F45" s="5"/>
      <c r="G45" s="30">
        <f>E45*C45</f>
        <v>480</v>
      </c>
      <c r="H45" s="156" t="s">
        <v>108</v>
      </c>
      <c r="I45" s="157"/>
      <c r="J45" s="157"/>
      <c r="K45" s="157"/>
      <c r="L45" s="77">
        <f>L39/(L44*1.08)</f>
        <v>956.52127932084159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1869.4831669847651</v>
      </c>
      <c r="H47" s="122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186.94831669847653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2056.4314836832418</v>
      </c>
      <c r="H49" s="122" t="s">
        <v>113</v>
      </c>
      <c r="I49" s="123"/>
      <c r="J49" s="123"/>
      <c r="K49" s="123"/>
      <c r="L49" s="55">
        <f>N34</f>
        <v>3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19692.54126669389</v>
      </c>
      <c r="H50" s="156" t="s">
        <v>114</v>
      </c>
      <c r="I50" s="157"/>
      <c r="J50" s="157"/>
      <c r="K50" s="157"/>
      <c r="L50" s="31">
        <f>L45</f>
        <v>956.52127932084159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3.084839037059337</v>
      </c>
    </row>
    <row r="52" spans="1:16" x14ac:dyDescent="0.3">
      <c r="A52" s="122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956.52127932084159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122" t="s">
        <v>118</v>
      </c>
      <c r="B54" s="5">
        <f>(1-L8)</f>
        <v>0.88</v>
      </c>
      <c r="C54" s="19">
        <f>C44</f>
        <v>223.4643042986666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7135.9839534632119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122" t="s">
        <v>119</v>
      </c>
      <c r="B55" s="5">
        <f>(1-L8)</f>
        <v>0.88</v>
      </c>
      <c r="C55" s="19">
        <f>C44</f>
        <v>223.4643042986666</v>
      </c>
      <c r="D55" s="5" t="s">
        <v>86</v>
      </c>
      <c r="E55" s="5">
        <f>+L7</f>
        <v>76.2</v>
      </c>
      <c r="F55" s="5">
        <v>0.68</v>
      </c>
      <c r="G55" s="34">
        <f>F55*E55*C55*B55</f>
        <v>10189.543224554945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37018.068444712044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3.084839037059337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x14ac:dyDescent="0.3">
      <c r="B63" s="17" t="s">
        <v>122</v>
      </c>
      <c r="G63" s="17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A1:L1"/>
    <mergeCell ref="A2:B2"/>
    <mergeCell ref="C2:E2"/>
    <mergeCell ref="F2:G2"/>
    <mergeCell ref="H2:J2"/>
    <mergeCell ref="K2:L2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H58:K58"/>
    <mergeCell ref="H55:K55"/>
    <mergeCell ref="A56:F56"/>
    <mergeCell ref="H56:K56"/>
    <mergeCell ref="L56:L57"/>
    <mergeCell ref="A57:F57"/>
    <mergeCell ref="H57:K5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8D0B5-2990-40DC-A990-4157E0AFCC75}">
  <sheetPr>
    <pageSetUpPr fitToPage="1"/>
  </sheetPr>
  <dimension ref="A1:S67"/>
  <sheetViews>
    <sheetView view="pageBreakPreview" topLeftCell="B1" zoomScale="85" zoomScaleNormal="100" zoomScaleSheetLayoutView="85" workbookViewId="0">
      <selection activeCell="N35" sqref="N35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9.1999999999999993</v>
      </c>
      <c r="O3" s="7">
        <f>N3*3.28</f>
        <v>30.175999999999995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122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5.6</v>
      </c>
      <c r="O4" s="7">
        <f>N4*3.28</f>
        <v>18.367999999999999</v>
      </c>
      <c r="P4" s="8"/>
      <c r="Q4" s="8"/>
    </row>
    <row r="5" spans="1:19" x14ac:dyDescent="0.3">
      <c r="A5" s="122" t="s">
        <v>17</v>
      </c>
      <c r="B5" s="5"/>
      <c r="C5" s="162" t="s">
        <v>181</v>
      </c>
      <c r="D5" s="162"/>
      <c r="E5" s="162"/>
      <c r="F5" s="162"/>
      <c r="G5" s="163"/>
      <c r="H5" s="122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122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30.175999999999995</v>
      </c>
      <c r="D7" s="19">
        <f>+N8</f>
        <v>18.367999999999999</v>
      </c>
      <c r="E7" s="20">
        <f>+N9</f>
        <v>554.27276799999981</v>
      </c>
      <c r="F7" s="21">
        <f>+N10</f>
        <v>11.479999999999999</v>
      </c>
      <c r="G7" s="22" t="s">
        <v>27</v>
      </c>
      <c r="H7" s="122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30.175999999999995</v>
      </c>
    </row>
    <row r="8" spans="1:19" x14ac:dyDescent="0.3">
      <c r="A8" s="168" t="s">
        <v>30</v>
      </c>
      <c r="B8" s="169"/>
      <c r="C8" s="170" t="s">
        <v>31</v>
      </c>
      <c r="D8" s="170"/>
      <c r="E8" s="124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18.367999999999999</v>
      </c>
    </row>
    <row r="9" spans="1:19" x14ac:dyDescent="0.3">
      <c r="A9" s="168"/>
      <c r="B9" s="169"/>
      <c r="C9" s="170"/>
      <c r="D9" s="170"/>
      <c r="E9" s="124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554.27276799999981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122" t="s">
        <v>40</v>
      </c>
      <c r="I10" s="5"/>
      <c r="J10" s="5"/>
      <c r="K10" s="5"/>
      <c r="L10" s="31">
        <f>E7*F7</f>
        <v>6363.0513766399972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122" t="s">
        <v>45</v>
      </c>
      <c r="I11" s="5"/>
      <c r="J11" s="5"/>
      <c r="K11" s="5"/>
      <c r="L11" s="35">
        <v>2</v>
      </c>
      <c r="M11" s="25" t="s">
        <v>43</v>
      </c>
      <c r="N11" s="27">
        <v>0</v>
      </c>
      <c r="P11" s="36" t="s">
        <v>46</v>
      </c>
      <c r="Q11" s="37">
        <v>7.5</v>
      </c>
      <c r="R11" s="32"/>
    </row>
    <row r="12" spans="1:19" x14ac:dyDescent="0.3">
      <c r="A12" s="156" t="s">
        <v>47</v>
      </c>
      <c r="B12" s="157"/>
      <c r="C12" s="19">
        <f>+N12</f>
        <v>20</v>
      </c>
      <c r="D12" s="5" t="s">
        <v>44</v>
      </c>
      <c r="E12" s="5">
        <v>12</v>
      </c>
      <c r="F12" s="33">
        <v>0.56000000000000005</v>
      </c>
      <c r="G12" s="34">
        <f>F12*E12*C12</f>
        <v>134.4</v>
      </c>
      <c r="H12" s="122" t="s">
        <v>48</v>
      </c>
      <c r="I12" s="5"/>
      <c r="J12" s="5"/>
      <c r="K12" s="5"/>
      <c r="L12" s="31">
        <f>+Q17</f>
        <v>72.483275903999981</v>
      </c>
      <c r="M12" s="25" t="s">
        <v>47</v>
      </c>
      <c r="N12" s="38">
        <f>5*4</f>
        <v>20</v>
      </c>
      <c r="P12" s="32" t="s">
        <v>49</v>
      </c>
      <c r="Q12" s="39">
        <f>+Q11*C35</f>
        <v>22.5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122" t="s">
        <v>51</v>
      </c>
      <c r="I13" s="19">
        <f>N26</f>
        <v>3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212.10171255466656</v>
      </c>
      <c r="M14" s="25" t="s">
        <v>54</v>
      </c>
      <c r="N14" s="27">
        <v>0</v>
      </c>
      <c r="P14" s="29" t="s">
        <v>56</v>
      </c>
      <c r="Q14" s="27">
        <f>+Q13*E7</f>
        <v>33.256366079999985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122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55.756366079999985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122"/>
      <c r="I16" s="5"/>
      <c r="J16" s="5"/>
      <c r="K16" s="47"/>
      <c r="L16" s="31"/>
      <c r="M16" s="25" t="s">
        <v>60</v>
      </c>
      <c r="N16" s="27">
        <f>N8*N10-N12</f>
        <v>190.86463999999995</v>
      </c>
      <c r="O16" s="40"/>
      <c r="P16" s="48" t="s">
        <v>61</v>
      </c>
      <c r="Q16" s="27">
        <f>Q15*30%</f>
        <v>16.726909823999996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122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72.483275903999981</v>
      </c>
      <c r="R17" s="29"/>
    </row>
    <row r="18" spans="1:18" x14ac:dyDescent="0.3">
      <c r="A18" s="156" t="s">
        <v>60</v>
      </c>
      <c r="B18" s="157"/>
      <c r="C18" s="19">
        <f>+N16</f>
        <v>190.86463999999995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2375.1195801599993</v>
      </c>
      <c r="H18" s="122"/>
      <c r="I18" s="5"/>
      <c r="J18" s="5"/>
      <c r="K18" s="5"/>
      <c r="L18" s="6"/>
      <c r="M18" s="25" t="s">
        <v>64</v>
      </c>
      <c r="N18" s="27"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122"/>
      <c r="I19" s="5"/>
      <c r="J19" s="5"/>
      <c r="K19" s="47"/>
      <c r="L19" s="31"/>
      <c r="M19" s="25" t="s">
        <v>65</v>
      </c>
      <c r="N19" s="27">
        <v>0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122"/>
      <c r="I20" s="5"/>
      <c r="J20" s="5"/>
      <c r="K20" s="47"/>
      <c r="L20" s="31"/>
      <c r="M20" s="25" t="s">
        <v>66</v>
      </c>
      <c r="N20" s="27">
        <f>+N11+N12+N13+N14</f>
        <v>20</v>
      </c>
      <c r="O20" s="40"/>
      <c r="P20" s="50"/>
      <c r="Q20" s="50" t="s">
        <v>67</v>
      </c>
      <c r="R20" s="50" t="s">
        <v>68</v>
      </c>
    </row>
    <row r="21" spans="1:18" x14ac:dyDescent="0.3">
      <c r="A21" s="122" t="s">
        <v>65</v>
      </c>
      <c r="B21" s="5"/>
      <c r="C21" s="19">
        <f>+N19</f>
        <v>0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0</v>
      </c>
      <c r="H21" s="122"/>
      <c r="I21" s="5"/>
      <c r="J21" s="21"/>
      <c r="K21" s="47"/>
      <c r="L21" s="31"/>
      <c r="M21" s="52" t="s">
        <v>69</v>
      </c>
      <c r="N21" s="53">
        <f>Q25</f>
        <v>384.07487999999995</v>
      </c>
      <c r="P21" s="49" t="s">
        <v>70</v>
      </c>
      <c r="Q21" s="27">
        <f>2.6*3.28*N10</f>
        <v>97.901439999999994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122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f>2*3.28*N10</f>
        <v>75.308799999999991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f>N8*N10</f>
        <v>210.86463999999995</v>
      </c>
      <c r="R23" s="4">
        <v>0</v>
      </c>
    </row>
    <row r="24" spans="1:18" x14ac:dyDescent="0.3">
      <c r="A24" s="156" t="s">
        <v>76</v>
      </c>
      <c r="B24" s="157"/>
      <c r="C24" s="19">
        <f>N20</f>
        <v>20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759.35999999999979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v>0</v>
      </c>
      <c r="R24" s="4">
        <v>0</v>
      </c>
    </row>
    <row r="25" spans="1:18" x14ac:dyDescent="0.3">
      <c r="A25" s="156" t="s">
        <v>69</v>
      </c>
      <c r="B25" s="157"/>
      <c r="C25" s="19">
        <f>+N21</f>
        <v>384.07487999999995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4393.8166271999989</v>
      </c>
      <c r="H25" s="179"/>
      <c r="I25" s="180"/>
      <c r="J25" s="180"/>
      <c r="K25" s="180"/>
      <c r="L25" s="181"/>
      <c r="M25" s="25" t="s">
        <v>79</v>
      </c>
      <c r="N25" s="27">
        <f>C32</f>
        <v>212.10171255466656</v>
      </c>
      <c r="O25" s="57"/>
      <c r="P25" s="58" t="s">
        <v>80</v>
      </c>
      <c r="Q25" s="27">
        <f>SUM(Q21:Q24)</f>
        <v>384.07487999999995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SUMMARY!I28</f>
        <v>3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122"/>
      <c r="I27" s="5"/>
      <c r="J27" s="44"/>
      <c r="K27" s="44"/>
      <c r="L27" s="45"/>
      <c r="M27" s="25" t="s">
        <v>82</v>
      </c>
      <c r="N27" s="7">
        <f>SUMMARY!H28</f>
        <v>1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122"/>
      <c r="I28" s="5"/>
      <c r="J28" s="5"/>
      <c r="K28" s="47"/>
      <c r="L28" s="31"/>
      <c r="M28" s="25" t="s">
        <v>83</v>
      </c>
      <c r="N28" s="97">
        <f>N9*1</f>
        <v>554.27276799999981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122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122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122"/>
      <c r="I31" s="5"/>
      <c r="J31" s="5"/>
      <c r="K31" s="5"/>
      <c r="L31" s="64"/>
      <c r="M31" s="65" t="s">
        <v>85</v>
      </c>
      <c r="N31" s="66">
        <f>+G57</f>
        <v>2.9050584537715745</v>
      </c>
      <c r="Q31" s="8"/>
    </row>
    <row r="32" spans="1:18" x14ac:dyDescent="0.3">
      <c r="A32" s="122" t="s">
        <v>79</v>
      </c>
      <c r="B32" s="5">
        <f>L8</f>
        <v>0.12</v>
      </c>
      <c r="C32" s="19">
        <f>MAX(L12:L14)</f>
        <v>212.10171255466656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923.60963342204877</v>
      </c>
      <c r="H32" s="122"/>
      <c r="I32" s="5"/>
      <c r="J32" s="5"/>
      <c r="K32" s="47"/>
      <c r="L32" s="63"/>
      <c r="M32" s="50" t="s">
        <v>87</v>
      </c>
      <c r="N32" s="46">
        <f>+L45</f>
        <v>891.50843962128772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122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122"/>
      <c r="I34" s="5"/>
      <c r="J34" s="5"/>
      <c r="K34" s="47"/>
      <c r="L34" s="63"/>
      <c r="M34" s="28" t="s">
        <v>89</v>
      </c>
      <c r="N34" s="67">
        <v>3</v>
      </c>
    </row>
    <row r="35" spans="1:15" x14ac:dyDescent="0.3">
      <c r="A35" s="156" t="s">
        <v>81</v>
      </c>
      <c r="B35" s="157"/>
      <c r="C35" s="19">
        <f>I13</f>
        <v>3</v>
      </c>
      <c r="D35" s="5" t="s">
        <v>90</v>
      </c>
      <c r="E35" s="5">
        <v>240</v>
      </c>
      <c r="F35" s="5"/>
      <c r="G35" s="34">
        <f>E35*C35</f>
        <v>720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1</v>
      </c>
      <c r="D36" s="5" t="s">
        <v>91</v>
      </c>
      <c r="E36" s="5">
        <v>3413</v>
      </c>
      <c r="F36" s="5">
        <v>1</v>
      </c>
      <c r="G36" s="34">
        <f>F36*E36*C36</f>
        <v>3413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554.27276799999981</v>
      </c>
      <c r="D37" s="5" t="s">
        <v>92</v>
      </c>
      <c r="E37" s="5">
        <v>3.4129999999999998</v>
      </c>
      <c r="F37" s="5"/>
      <c r="G37" s="34">
        <f>+E37*C37</f>
        <v>1891.7329571839994</v>
      </c>
      <c r="H37" s="122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14611.038797966046</v>
      </c>
      <c r="H39" s="156" t="s">
        <v>97</v>
      </c>
      <c r="I39" s="157"/>
      <c r="J39" s="157"/>
      <c r="K39" s="157"/>
      <c r="L39" s="69">
        <f>G41</f>
        <v>16437.418647711802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1826.3798497457558</v>
      </c>
      <c r="H40" s="156" t="s">
        <v>99</v>
      </c>
      <c r="I40" s="157"/>
      <c r="J40" s="157"/>
      <c r="K40" s="157"/>
      <c r="L40" s="70">
        <f>G50</f>
        <v>18416.133276292505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16437.418647711802</v>
      </c>
      <c r="H41" s="156" t="s">
        <v>100</v>
      </c>
      <c r="I41" s="157"/>
      <c r="J41" s="157"/>
      <c r="K41" s="157"/>
      <c r="L41" s="72">
        <f>L39/L40</f>
        <v>0.89255536985454242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122" t="s">
        <v>103</v>
      </c>
      <c r="B44" s="5">
        <f>L8</f>
        <v>0.12</v>
      </c>
      <c r="C44" s="19">
        <f>C32</f>
        <v>212.10171255466656</v>
      </c>
      <c r="D44" s="5" t="s">
        <v>86</v>
      </c>
      <c r="E44" s="5">
        <f>+L7</f>
        <v>76.2</v>
      </c>
      <c r="F44" s="5">
        <v>0.68</v>
      </c>
      <c r="G44" s="34">
        <f>F44*E44*C44*B44</f>
        <v>1318.8314805279124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3</v>
      </c>
      <c r="D45" s="5" t="s">
        <v>90</v>
      </c>
      <c r="E45" s="5">
        <v>160</v>
      </c>
      <c r="F45" s="5"/>
      <c r="G45" s="30">
        <f>E45*C45</f>
        <v>480</v>
      </c>
      <c r="H45" s="156" t="s">
        <v>108</v>
      </c>
      <c r="I45" s="157"/>
      <c r="J45" s="157"/>
      <c r="K45" s="157"/>
      <c r="L45" s="77">
        <f>L39/(L44*1.08)</f>
        <v>891.50843962128772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1798.8314805279124</v>
      </c>
      <c r="H47" s="122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179.88314805279126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1978.7146285807037</v>
      </c>
      <c r="H49" s="122" t="s">
        <v>113</v>
      </c>
      <c r="I49" s="123"/>
      <c r="J49" s="123"/>
      <c r="K49" s="123"/>
      <c r="L49" s="55">
        <f>N34</f>
        <v>3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18416.133276292505</v>
      </c>
      <c r="H50" s="156" t="s">
        <v>114</v>
      </c>
      <c r="I50" s="157"/>
      <c r="J50" s="157"/>
      <c r="K50" s="157"/>
      <c r="L50" s="31">
        <f>L45</f>
        <v>891.50843962128772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2.9050584537715745</v>
      </c>
    </row>
    <row r="52" spans="1:16" x14ac:dyDescent="0.3">
      <c r="A52" s="122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891.50843962128772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122" t="s">
        <v>118</v>
      </c>
      <c r="B54" s="5">
        <f>(1-L8)</f>
        <v>0.88</v>
      </c>
      <c r="C54" s="19">
        <f>C44</f>
        <v>212.10171255466656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6773.1373117616913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122" t="s">
        <v>119</v>
      </c>
      <c r="B55" s="5">
        <f>(1-L8)</f>
        <v>0.88</v>
      </c>
      <c r="C55" s="19">
        <f>C44</f>
        <v>212.10171255466656</v>
      </c>
      <c r="D55" s="5" t="s">
        <v>86</v>
      </c>
      <c r="E55" s="5">
        <f>+L7</f>
        <v>76.2</v>
      </c>
      <c r="F55" s="5">
        <v>0.68</v>
      </c>
      <c r="G55" s="34">
        <f>F55*E55*C55*B55</f>
        <v>9671.4308572046921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34860.701445258892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2.9050584537715745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x14ac:dyDescent="0.3">
      <c r="B63" s="17" t="s">
        <v>122</v>
      </c>
      <c r="G63" s="17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A1:L1"/>
    <mergeCell ref="A2:B2"/>
    <mergeCell ref="C2:E2"/>
    <mergeCell ref="F2:G2"/>
    <mergeCell ref="H2:J2"/>
    <mergeCell ref="K2:L2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H58:K58"/>
    <mergeCell ref="H55:K55"/>
    <mergeCell ref="A56:F56"/>
    <mergeCell ref="H56:K56"/>
    <mergeCell ref="L56:L57"/>
    <mergeCell ref="A57:F57"/>
    <mergeCell ref="H57:K5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A0F7-D273-4EAA-8830-A1FE9798A438}">
  <sheetPr>
    <pageSetUpPr fitToPage="1"/>
  </sheetPr>
  <dimension ref="A1:S67"/>
  <sheetViews>
    <sheetView view="pageBreakPreview" topLeftCell="B1" zoomScale="85" zoomScaleNormal="100" zoomScaleSheetLayoutView="85" workbookViewId="0">
      <selection activeCell="N35" sqref="N35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9.1999999999999993</v>
      </c>
      <c r="O3" s="7">
        <f>N3*3.28</f>
        <v>30.175999999999995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122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5.9</v>
      </c>
      <c r="O4" s="7">
        <f>N4*3.28</f>
        <v>19.352</v>
      </c>
      <c r="P4" s="8"/>
      <c r="Q4" s="8"/>
    </row>
    <row r="5" spans="1:19" x14ac:dyDescent="0.3">
      <c r="A5" s="122" t="s">
        <v>17</v>
      </c>
      <c r="B5" s="5"/>
      <c r="C5" s="162" t="s">
        <v>182</v>
      </c>
      <c r="D5" s="162"/>
      <c r="E5" s="162"/>
      <c r="F5" s="162"/>
      <c r="G5" s="163"/>
      <c r="H5" s="122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122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30.175999999999995</v>
      </c>
      <c r="D7" s="19">
        <f>+N8</f>
        <v>19.352</v>
      </c>
      <c r="E7" s="20">
        <f>+N9</f>
        <v>583.9659519999999</v>
      </c>
      <c r="F7" s="21">
        <f>+N10</f>
        <v>11.479999999999999</v>
      </c>
      <c r="G7" s="22" t="s">
        <v>27</v>
      </c>
      <c r="H7" s="122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30.175999999999995</v>
      </c>
    </row>
    <row r="8" spans="1:19" x14ac:dyDescent="0.3">
      <c r="A8" s="168" t="s">
        <v>30</v>
      </c>
      <c r="B8" s="169"/>
      <c r="C8" s="170" t="s">
        <v>31</v>
      </c>
      <c r="D8" s="170"/>
      <c r="E8" s="124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19.352</v>
      </c>
    </row>
    <row r="9" spans="1:19" x14ac:dyDescent="0.3">
      <c r="A9" s="168"/>
      <c r="B9" s="169"/>
      <c r="C9" s="170"/>
      <c r="D9" s="170"/>
      <c r="E9" s="124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583.9659519999999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122" t="s">
        <v>40</v>
      </c>
      <c r="I10" s="5"/>
      <c r="J10" s="5"/>
      <c r="K10" s="5"/>
      <c r="L10" s="31">
        <f>E7*F7</f>
        <v>6703.9291289599978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122" t="s">
        <v>45</v>
      </c>
      <c r="I11" s="5"/>
      <c r="J11" s="5"/>
      <c r="K11" s="5"/>
      <c r="L11" s="35">
        <v>2</v>
      </c>
      <c r="M11" s="25" t="s">
        <v>43</v>
      </c>
      <c r="N11" s="27">
        <v>0</v>
      </c>
      <c r="P11" s="36" t="s">
        <v>46</v>
      </c>
      <c r="Q11" s="37">
        <v>7.5</v>
      </c>
      <c r="R11" s="32"/>
    </row>
    <row r="12" spans="1:19" x14ac:dyDescent="0.3">
      <c r="A12" s="156" t="s">
        <v>47</v>
      </c>
      <c r="B12" s="157"/>
      <c r="C12" s="19">
        <f>+N12</f>
        <v>20</v>
      </c>
      <c r="D12" s="5" t="s">
        <v>44</v>
      </c>
      <c r="E12" s="5">
        <v>12</v>
      </c>
      <c r="F12" s="33">
        <v>0.56000000000000005</v>
      </c>
      <c r="G12" s="34">
        <f>F12*E12*C12</f>
        <v>134.4</v>
      </c>
      <c r="H12" s="122" t="s">
        <v>48</v>
      </c>
      <c r="I12" s="5"/>
      <c r="J12" s="5"/>
      <c r="K12" s="5"/>
      <c r="L12" s="31">
        <f>+Q17</f>
        <v>74.799344255999983</v>
      </c>
      <c r="M12" s="25" t="s">
        <v>47</v>
      </c>
      <c r="N12" s="38">
        <f>5*4</f>
        <v>20</v>
      </c>
      <c r="P12" s="32" t="s">
        <v>49</v>
      </c>
      <c r="Q12" s="39">
        <f>+Q11*C35</f>
        <v>22.5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122" t="s">
        <v>51</v>
      </c>
      <c r="I13" s="19">
        <f>N26</f>
        <v>3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223.4643042986666</v>
      </c>
      <c r="M14" s="25" t="s">
        <v>54</v>
      </c>
      <c r="N14" s="27">
        <v>0</v>
      </c>
      <c r="P14" s="29" t="s">
        <v>56</v>
      </c>
      <c r="Q14" s="27">
        <f>+Q13*E7</f>
        <v>35.037957119999994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122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57.537957119999994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122"/>
      <c r="I16" s="5"/>
      <c r="J16" s="5"/>
      <c r="K16" s="47"/>
      <c r="L16" s="31"/>
      <c r="M16" s="25" t="s">
        <v>60</v>
      </c>
      <c r="N16" s="27">
        <f>N8*N10-N12</f>
        <v>202.16095999999999</v>
      </c>
      <c r="O16" s="40"/>
      <c r="P16" s="48" t="s">
        <v>61</v>
      </c>
      <c r="Q16" s="27">
        <f>Q15*30%</f>
        <v>17.261387135999996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122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74.799344255999983</v>
      </c>
      <c r="R17" s="29"/>
    </row>
    <row r="18" spans="1:18" x14ac:dyDescent="0.3">
      <c r="A18" s="156" t="s">
        <v>60</v>
      </c>
      <c r="B18" s="157"/>
      <c r="C18" s="19">
        <f>+N16</f>
        <v>202.16095999999999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2515.6909862399998</v>
      </c>
      <c r="H18" s="122"/>
      <c r="I18" s="5"/>
      <c r="J18" s="5"/>
      <c r="K18" s="5"/>
      <c r="L18" s="6"/>
      <c r="M18" s="25" t="s">
        <v>64</v>
      </c>
      <c r="N18" s="27"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122"/>
      <c r="I19" s="5"/>
      <c r="J19" s="5"/>
      <c r="K19" s="47"/>
      <c r="L19" s="31"/>
      <c r="M19" s="25" t="s">
        <v>65</v>
      </c>
      <c r="N19" s="27">
        <v>0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122"/>
      <c r="I20" s="5"/>
      <c r="J20" s="5"/>
      <c r="K20" s="47"/>
      <c r="L20" s="31"/>
      <c r="M20" s="25" t="s">
        <v>66</v>
      </c>
      <c r="N20" s="27">
        <f>+N11+N12+N13+N14</f>
        <v>20</v>
      </c>
      <c r="O20" s="40"/>
      <c r="P20" s="50"/>
      <c r="Q20" s="50" t="s">
        <v>67</v>
      </c>
      <c r="R20" s="50" t="s">
        <v>68</v>
      </c>
    </row>
    <row r="21" spans="1:18" x14ac:dyDescent="0.3">
      <c r="A21" s="122" t="s">
        <v>65</v>
      </c>
      <c r="B21" s="5"/>
      <c r="C21" s="19">
        <f>+N19</f>
        <v>0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0</v>
      </c>
      <c r="H21" s="122"/>
      <c r="I21" s="5"/>
      <c r="J21" s="21"/>
      <c r="K21" s="47"/>
      <c r="L21" s="31"/>
      <c r="M21" s="52" t="s">
        <v>69</v>
      </c>
      <c r="N21" s="53">
        <f>Q25</f>
        <v>395.37119999999993</v>
      </c>
      <c r="P21" s="49" t="s">
        <v>70</v>
      </c>
      <c r="Q21" s="27">
        <v>0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122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f>2*3.28*N10</f>
        <v>75.308799999999991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f>N8*N10</f>
        <v>222.16095999999999</v>
      </c>
      <c r="R23" s="4">
        <v>0</v>
      </c>
    </row>
    <row r="24" spans="1:18" x14ac:dyDescent="0.3">
      <c r="A24" s="156" t="s">
        <v>76</v>
      </c>
      <c r="B24" s="157"/>
      <c r="C24" s="19">
        <f>N20</f>
        <v>20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759.35999999999979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f>2.6*3.28*N10</f>
        <v>97.901439999999994</v>
      </c>
      <c r="R24" s="4">
        <v>0</v>
      </c>
    </row>
    <row r="25" spans="1:18" x14ac:dyDescent="0.3">
      <c r="A25" s="156" t="s">
        <v>69</v>
      </c>
      <c r="B25" s="157"/>
      <c r="C25" s="19">
        <f>+N21</f>
        <v>395.37119999999993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4523.046527999998</v>
      </c>
      <c r="H25" s="179"/>
      <c r="I25" s="180"/>
      <c r="J25" s="180"/>
      <c r="K25" s="180"/>
      <c r="L25" s="181"/>
      <c r="M25" s="25" t="s">
        <v>79</v>
      </c>
      <c r="N25" s="27">
        <f>C32</f>
        <v>223.4643042986666</v>
      </c>
      <c r="O25" s="57"/>
      <c r="P25" s="58" t="s">
        <v>80</v>
      </c>
      <c r="Q25" s="27">
        <f>SUM(Q21:Q24)</f>
        <v>395.37119999999993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SUMMARY!I29</f>
        <v>3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122"/>
      <c r="I27" s="5"/>
      <c r="J27" s="44"/>
      <c r="K27" s="44"/>
      <c r="L27" s="45"/>
      <c r="M27" s="25" t="s">
        <v>82</v>
      </c>
      <c r="N27" s="7">
        <f>SUMMARY!H29</f>
        <v>1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122"/>
      <c r="I28" s="5"/>
      <c r="J28" s="5"/>
      <c r="K28" s="47"/>
      <c r="L28" s="31"/>
      <c r="M28" s="25" t="s">
        <v>83</v>
      </c>
      <c r="N28" s="97">
        <f>N9*1</f>
        <v>583.9659519999999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122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122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122"/>
      <c r="I31" s="5"/>
      <c r="J31" s="5"/>
      <c r="K31" s="5"/>
      <c r="L31" s="64"/>
      <c r="M31" s="65" t="s">
        <v>85</v>
      </c>
      <c r="N31" s="66">
        <f>+G57</f>
        <v>3.0243815370593379</v>
      </c>
      <c r="Q31" s="8"/>
    </row>
    <row r="32" spans="1:18" x14ac:dyDescent="0.3">
      <c r="A32" s="122" t="s">
        <v>79</v>
      </c>
      <c r="B32" s="5">
        <f>L8</f>
        <v>0.12</v>
      </c>
      <c r="C32" s="19">
        <f>MAX(L12:L14)</f>
        <v>223.4643042986666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973.08872092680156</v>
      </c>
      <c r="H32" s="122"/>
      <c r="I32" s="5"/>
      <c r="J32" s="5"/>
      <c r="K32" s="47"/>
      <c r="L32" s="63"/>
      <c r="M32" s="50" t="s">
        <v>87</v>
      </c>
      <c r="N32" s="46">
        <f>+L45</f>
        <v>917.17322402562149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122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122"/>
      <c r="I34" s="5"/>
      <c r="J34" s="5"/>
      <c r="K34" s="47"/>
      <c r="L34" s="63"/>
      <c r="M34" s="28" t="s">
        <v>89</v>
      </c>
      <c r="N34" s="67">
        <v>3</v>
      </c>
    </row>
    <row r="35" spans="1:15" x14ac:dyDescent="0.3">
      <c r="A35" s="156" t="s">
        <v>81</v>
      </c>
      <c r="B35" s="157"/>
      <c r="C35" s="19">
        <f>I13</f>
        <v>3</v>
      </c>
      <c r="D35" s="5" t="s">
        <v>90</v>
      </c>
      <c r="E35" s="5">
        <v>240</v>
      </c>
      <c r="F35" s="5"/>
      <c r="G35" s="34">
        <f>E35*C35</f>
        <v>720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1</v>
      </c>
      <c r="D36" s="5" t="s">
        <v>91</v>
      </c>
      <c r="E36" s="5">
        <v>3413</v>
      </c>
      <c r="F36" s="5">
        <v>1</v>
      </c>
      <c r="G36" s="34">
        <f>F36*E36*C36</f>
        <v>3413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583.9659519999999</v>
      </c>
      <c r="D37" s="5" t="s">
        <v>92</v>
      </c>
      <c r="E37" s="5">
        <v>3.4129999999999998</v>
      </c>
      <c r="F37" s="5"/>
      <c r="G37" s="34">
        <f>+E37*C37</f>
        <v>1993.0757941759996</v>
      </c>
      <c r="H37" s="122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15031.6620293428</v>
      </c>
      <c r="H39" s="156" t="s">
        <v>97</v>
      </c>
      <c r="I39" s="157"/>
      <c r="J39" s="157"/>
      <c r="K39" s="157"/>
      <c r="L39" s="69">
        <f>G41</f>
        <v>16910.61978301065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1878.9577536678501</v>
      </c>
      <c r="H40" s="156" t="s">
        <v>99</v>
      </c>
      <c r="I40" s="157"/>
      <c r="J40" s="157"/>
      <c r="K40" s="157"/>
      <c r="L40" s="70">
        <f>G50</f>
        <v>18967.051266693892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16910.61978301065</v>
      </c>
      <c r="H41" s="156" t="s">
        <v>100</v>
      </c>
      <c r="I41" s="157"/>
      <c r="J41" s="157"/>
      <c r="K41" s="157"/>
      <c r="L41" s="72">
        <f>L39/L40</f>
        <v>0.8915787459648864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122" t="s">
        <v>103</v>
      </c>
      <c r="B44" s="5">
        <f>L8</f>
        <v>0.12</v>
      </c>
      <c r="C44" s="19">
        <f>C32</f>
        <v>223.4643042986666</v>
      </c>
      <c r="D44" s="5" t="s">
        <v>86</v>
      </c>
      <c r="E44" s="5">
        <f>+L7</f>
        <v>76.2</v>
      </c>
      <c r="F44" s="5">
        <v>0.68</v>
      </c>
      <c r="G44" s="34">
        <f>F44*E44*C44*B44</f>
        <v>1389.4831669847651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3</v>
      </c>
      <c r="D45" s="5" t="s">
        <v>90</v>
      </c>
      <c r="E45" s="5">
        <v>160</v>
      </c>
      <c r="F45" s="5"/>
      <c r="G45" s="30">
        <f>E45*C45</f>
        <v>480</v>
      </c>
      <c r="H45" s="156" t="s">
        <v>108</v>
      </c>
      <c r="I45" s="157"/>
      <c r="J45" s="157"/>
      <c r="K45" s="157"/>
      <c r="L45" s="77">
        <f>L39/(L44*1.08)</f>
        <v>917.17322402562149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1869.4831669847651</v>
      </c>
      <c r="H47" s="122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186.94831669847653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2056.4314836832418</v>
      </c>
      <c r="H49" s="122" t="s">
        <v>113</v>
      </c>
      <c r="I49" s="123"/>
      <c r="J49" s="123"/>
      <c r="K49" s="123"/>
      <c r="L49" s="55">
        <f>N34</f>
        <v>3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18967.051266693892</v>
      </c>
      <c r="H50" s="156" t="s">
        <v>114</v>
      </c>
      <c r="I50" s="157"/>
      <c r="J50" s="157"/>
      <c r="K50" s="157"/>
      <c r="L50" s="31">
        <f>L45</f>
        <v>917.17322402562149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3.0243815370593379</v>
      </c>
    </row>
    <row r="52" spans="1:16" x14ac:dyDescent="0.3">
      <c r="A52" s="122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917.17322402562149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122" t="s">
        <v>118</v>
      </c>
      <c r="B54" s="5">
        <f>(1-L8)</f>
        <v>0.88</v>
      </c>
      <c r="C54" s="19">
        <f>C44</f>
        <v>223.4643042986666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7135.9839534632119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122" t="s">
        <v>119</v>
      </c>
      <c r="B55" s="5">
        <f>(1-L8)</f>
        <v>0.88</v>
      </c>
      <c r="C55" s="19">
        <f>C44</f>
        <v>223.4643042986666</v>
      </c>
      <c r="D55" s="5" t="s">
        <v>86</v>
      </c>
      <c r="E55" s="5">
        <f>+L7</f>
        <v>76.2</v>
      </c>
      <c r="F55" s="5">
        <v>0.68</v>
      </c>
      <c r="G55" s="34">
        <f>F55*E55*C55*B55</f>
        <v>10189.543224554945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36292.578444712053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3.0243815370593379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x14ac:dyDescent="0.3">
      <c r="B63" s="17" t="s">
        <v>122</v>
      </c>
      <c r="G63" s="17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A1:L1"/>
    <mergeCell ref="A2:B2"/>
    <mergeCell ref="C2:E2"/>
    <mergeCell ref="F2:G2"/>
    <mergeCell ref="H2:J2"/>
    <mergeCell ref="K2:L2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H58:K58"/>
    <mergeCell ref="H55:K55"/>
    <mergeCell ref="A56:F56"/>
    <mergeCell ref="H56:K56"/>
    <mergeCell ref="L56:L57"/>
    <mergeCell ref="A57:F57"/>
    <mergeCell ref="H57:K5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00909-FFF3-413D-BB28-9236772173C5}">
  <sheetPr>
    <pageSetUpPr fitToPage="1"/>
  </sheetPr>
  <dimension ref="A1:S67"/>
  <sheetViews>
    <sheetView view="pageBreakPreview" topLeftCell="B1" zoomScale="85" zoomScaleNormal="100" zoomScaleSheetLayoutView="85" workbookViewId="0">
      <selection activeCell="N35" sqref="N35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9.1999999999999993</v>
      </c>
      <c r="O3" s="7">
        <f>N3*3.28</f>
        <v>30.175999999999995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122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5.9</v>
      </c>
      <c r="O4" s="7">
        <f>N4*3.28</f>
        <v>19.352</v>
      </c>
      <c r="P4" s="8"/>
      <c r="Q4" s="8"/>
    </row>
    <row r="5" spans="1:19" x14ac:dyDescent="0.3">
      <c r="A5" s="122" t="s">
        <v>17</v>
      </c>
      <c r="B5" s="5"/>
      <c r="C5" s="162" t="s">
        <v>183</v>
      </c>
      <c r="D5" s="162"/>
      <c r="E5" s="162"/>
      <c r="F5" s="162"/>
      <c r="G5" s="163"/>
      <c r="H5" s="122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122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30.175999999999995</v>
      </c>
      <c r="D7" s="19">
        <f>+N8</f>
        <v>19.352</v>
      </c>
      <c r="E7" s="20">
        <f>+N9</f>
        <v>583.9659519999999</v>
      </c>
      <c r="F7" s="21">
        <f>+N10</f>
        <v>11.479999999999999</v>
      </c>
      <c r="G7" s="22" t="s">
        <v>27</v>
      </c>
      <c r="H7" s="122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30.175999999999995</v>
      </c>
    </row>
    <row r="8" spans="1:19" x14ac:dyDescent="0.3">
      <c r="A8" s="168" t="s">
        <v>30</v>
      </c>
      <c r="B8" s="169"/>
      <c r="C8" s="170" t="s">
        <v>31</v>
      </c>
      <c r="D8" s="170"/>
      <c r="E8" s="124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19.352</v>
      </c>
    </row>
    <row r="9" spans="1:19" x14ac:dyDescent="0.3">
      <c r="A9" s="168"/>
      <c r="B9" s="169"/>
      <c r="C9" s="170"/>
      <c r="D9" s="170"/>
      <c r="E9" s="124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583.9659519999999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122" t="s">
        <v>40</v>
      </c>
      <c r="I10" s="5"/>
      <c r="J10" s="5"/>
      <c r="K10" s="5"/>
      <c r="L10" s="31">
        <f>E7*F7</f>
        <v>6703.9291289599978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122" t="s">
        <v>45</v>
      </c>
      <c r="I11" s="5"/>
      <c r="J11" s="5"/>
      <c r="K11" s="5"/>
      <c r="L11" s="35">
        <v>2</v>
      </c>
      <c r="M11" s="25" t="s">
        <v>43</v>
      </c>
      <c r="N11" s="27">
        <v>0</v>
      </c>
      <c r="P11" s="36" t="s">
        <v>46</v>
      </c>
      <c r="Q11" s="37">
        <v>7.5</v>
      </c>
      <c r="R11" s="32"/>
    </row>
    <row r="12" spans="1:19" x14ac:dyDescent="0.3">
      <c r="A12" s="156" t="s">
        <v>47</v>
      </c>
      <c r="B12" s="157"/>
      <c r="C12" s="19">
        <f>+N12</f>
        <v>20</v>
      </c>
      <c r="D12" s="5" t="s">
        <v>44</v>
      </c>
      <c r="E12" s="5">
        <v>12</v>
      </c>
      <c r="F12" s="33">
        <v>0.56000000000000005</v>
      </c>
      <c r="G12" s="34">
        <f>F12*E12*C12</f>
        <v>134.4</v>
      </c>
      <c r="H12" s="122" t="s">
        <v>48</v>
      </c>
      <c r="I12" s="5"/>
      <c r="J12" s="5"/>
      <c r="K12" s="5"/>
      <c r="L12" s="31">
        <f>+Q17</f>
        <v>74.799344255999983</v>
      </c>
      <c r="M12" s="25" t="s">
        <v>47</v>
      </c>
      <c r="N12" s="38">
        <f>5*4</f>
        <v>20</v>
      </c>
      <c r="P12" s="32" t="s">
        <v>49</v>
      </c>
      <c r="Q12" s="39">
        <f>+Q11*C35</f>
        <v>22.5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122" t="s">
        <v>51</v>
      </c>
      <c r="I13" s="19">
        <f>N26</f>
        <v>3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223.4643042986666</v>
      </c>
      <c r="M14" s="25" t="s">
        <v>54</v>
      </c>
      <c r="N14" s="27">
        <v>0</v>
      </c>
      <c r="P14" s="29" t="s">
        <v>56</v>
      </c>
      <c r="Q14" s="27">
        <f>+Q13*E7</f>
        <v>35.037957119999994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122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57.537957119999994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122"/>
      <c r="I16" s="5"/>
      <c r="J16" s="5"/>
      <c r="K16" s="47"/>
      <c r="L16" s="31"/>
      <c r="M16" s="25" t="s">
        <v>60</v>
      </c>
      <c r="N16" s="27">
        <f>N8*N10-N12</f>
        <v>202.16095999999999</v>
      </c>
      <c r="O16" s="40"/>
      <c r="P16" s="48" t="s">
        <v>61</v>
      </c>
      <c r="Q16" s="27">
        <f>Q15*30%</f>
        <v>17.261387135999996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122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74.799344255999983</v>
      </c>
      <c r="R17" s="29"/>
    </row>
    <row r="18" spans="1:18" x14ac:dyDescent="0.3">
      <c r="A18" s="156" t="s">
        <v>60</v>
      </c>
      <c r="B18" s="157"/>
      <c r="C18" s="19">
        <f>+N16</f>
        <v>202.16095999999999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2515.6909862399998</v>
      </c>
      <c r="H18" s="122"/>
      <c r="I18" s="5"/>
      <c r="J18" s="5"/>
      <c r="K18" s="5"/>
      <c r="L18" s="6"/>
      <c r="M18" s="25" t="s">
        <v>64</v>
      </c>
      <c r="N18" s="27"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122"/>
      <c r="I19" s="5"/>
      <c r="J19" s="5"/>
      <c r="K19" s="47"/>
      <c r="L19" s="31"/>
      <c r="M19" s="25" t="s">
        <v>65</v>
      </c>
      <c r="N19" s="27">
        <v>0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122"/>
      <c r="I20" s="5"/>
      <c r="J20" s="5"/>
      <c r="K20" s="47"/>
      <c r="L20" s="31"/>
      <c r="M20" s="25" t="s">
        <v>66</v>
      </c>
      <c r="N20" s="27">
        <f>+N11+N12+N13+N14</f>
        <v>20</v>
      </c>
      <c r="O20" s="40"/>
      <c r="P20" s="50"/>
      <c r="Q20" s="50" t="s">
        <v>67</v>
      </c>
      <c r="R20" s="50" t="s">
        <v>68</v>
      </c>
    </row>
    <row r="21" spans="1:18" x14ac:dyDescent="0.3">
      <c r="A21" s="122" t="s">
        <v>65</v>
      </c>
      <c r="B21" s="5"/>
      <c r="C21" s="19">
        <f>+N19</f>
        <v>0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0</v>
      </c>
      <c r="H21" s="122"/>
      <c r="I21" s="5"/>
      <c r="J21" s="21"/>
      <c r="K21" s="47"/>
      <c r="L21" s="31"/>
      <c r="M21" s="52" t="s">
        <v>69</v>
      </c>
      <c r="N21" s="53">
        <f>Q25</f>
        <v>395.37119999999999</v>
      </c>
      <c r="P21" s="49" t="s">
        <v>70</v>
      </c>
      <c r="Q21" s="27">
        <f>2.6*3.28*N10</f>
        <v>97.901439999999994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122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f>2*3.28*N10</f>
        <v>75.308799999999991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f>N8*N10</f>
        <v>222.16095999999999</v>
      </c>
      <c r="R23" s="4">
        <v>0</v>
      </c>
    </row>
    <row r="24" spans="1:18" x14ac:dyDescent="0.3">
      <c r="A24" s="156" t="s">
        <v>76</v>
      </c>
      <c r="B24" s="157"/>
      <c r="C24" s="19">
        <f>N20</f>
        <v>20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759.35999999999979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v>0</v>
      </c>
      <c r="R24" s="4">
        <v>0</v>
      </c>
    </row>
    <row r="25" spans="1:18" x14ac:dyDescent="0.3">
      <c r="A25" s="156" t="s">
        <v>69</v>
      </c>
      <c r="B25" s="157"/>
      <c r="C25" s="19">
        <f>+N21</f>
        <v>395.37119999999999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4523.0465279999989</v>
      </c>
      <c r="H25" s="179"/>
      <c r="I25" s="180"/>
      <c r="J25" s="180"/>
      <c r="K25" s="180"/>
      <c r="L25" s="181"/>
      <c r="M25" s="25" t="s">
        <v>79</v>
      </c>
      <c r="N25" s="27">
        <f>C32</f>
        <v>223.4643042986666</v>
      </c>
      <c r="O25" s="57"/>
      <c r="P25" s="58" t="s">
        <v>80</v>
      </c>
      <c r="Q25" s="27">
        <f>SUM(Q21:Q24)</f>
        <v>395.37119999999999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SUMMARY!I30</f>
        <v>3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122"/>
      <c r="I27" s="5"/>
      <c r="J27" s="44"/>
      <c r="K27" s="44"/>
      <c r="L27" s="45"/>
      <c r="M27" s="25" t="s">
        <v>82</v>
      </c>
      <c r="N27" s="7">
        <f>SUMMARY!H30</f>
        <v>1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122"/>
      <c r="I28" s="5"/>
      <c r="J28" s="5"/>
      <c r="K28" s="47"/>
      <c r="L28" s="31"/>
      <c r="M28" s="25" t="s">
        <v>83</v>
      </c>
      <c r="N28" s="97">
        <f>N9*1</f>
        <v>583.9659519999999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122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122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122"/>
      <c r="I31" s="5"/>
      <c r="J31" s="5"/>
      <c r="K31" s="5"/>
      <c r="L31" s="64"/>
      <c r="M31" s="65" t="s">
        <v>85</v>
      </c>
      <c r="N31" s="66">
        <f>+G57</f>
        <v>3.0243815370593379</v>
      </c>
      <c r="Q31" s="8"/>
    </row>
    <row r="32" spans="1:18" x14ac:dyDescent="0.3">
      <c r="A32" s="122" t="s">
        <v>79</v>
      </c>
      <c r="B32" s="5">
        <f>L8</f>
        <v>0.12</v>
      </c>
      <c r="C32" s="19">
        <f>MAX(L12:L14)</f>
        <v>223.4643042986666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973.08872092680156</v>
      </c>
      <c r="H32" s="122"/>
      <c r="I32" s="5"/>
      <c r="J32" s="5"/>
      <c r="K32" s="47"/>
      <c r="L32" s="63"/>
      <c r="M32" s="50" t="s">
        <v>87</v>
      </c>
      <c r="N32" s="46">
        <f>+L45</f>
        <v>917.17322402562149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122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122"/>
      <c r="I34" s="5"/>
      <c r="J34" s="5"/>
      <c r="K34" s="47"/>
      <c r="L34" s="63"/>
      <c r="M34" s="28" t="s">
        <v>89</v>
      </c>
      <c r="N34" s="67">
        <v>3</v>
      </c>
    </row>
    <row r="35" spans="1:15" x14ac:dyDescent="0.3">
      <c r="A35" s="156" t="s">
        <v>81</v>
      </c>
      <c r="B35" s="157"/>
      <c r="C35" s="19">
        <f>I13</f>
        <v>3</v>
      </c>
      <c r="D35" s="5" t="s">
        <v>90</v>
      </c>
      <c r="E35" s="5">
        <v>240</v>
      </c>
      <c r="F35" s="5"/>
      <c r="G35" s="34">
        <f>E35*C35</f>
        <v>720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1</v>
      </c>
      <c r="D36" s="5" t="s">
        <v>91</v>
      </c>
      <c r="E36" s="5">
        <v>3413</v>
      </c>
      <c r="F36" s="5">
        <v>1</v>
      </c>
      <c r="G36" s="34">
        <f>F36*E36*C36</f>
        <v>3413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583.9659519999999</v>
      </c>
      <c r="D37" s="5" t="s">
        <v>92</v>
      </c>
      <c r="E37" s="5">
        <v>3.4129999999999998</v>
      </c>
      <c r="F37" s="5"/>
      <c r="G37" s="34">
        <f>+E37*C37</f>
        <v>1993.0757941759996</v>
      </c>
      <c r="H37" s="122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15031.6620293428</v>
      </c>
      <c r="H39" s="156" t="s">
        <v>97</v>
      </c>
      <c r="I39" s="157"/>
      <c r="J39" s="157"/>
      <c r="K39" s="157"/>
      <c r="L39" s="69">
        <f>G41</f>
        <v>16910.61978301065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1878.9577536678501</v>
      </c>
      <c r="H40" s="156" t="s">
        <v>99</v>
      </c>
      <c r="I40" s="157"/>
      <c r="J40" s="157"/>
      <c r="K40" s="157"/>
      <c r="L40" s="70">
        <f>G50</f>
        <v>18967.051266693892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16910.61978301065</v>
      </c>
      <c r="H41" s="156" t="s">
        <v>100</v>
      </c>
      <c r="I41" s="157"/>
      <c r="J41" s="157"/>
      <c r="K41" s="157"/>
      <c r="L41" s="72">
        <f>L39/L40</f>
        <v>0.8915787459648864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122" t="s">
        <v>103</v>
      </c>
      <c r="B44" s="5">
        <f>L8</f>
        <v>0.12</v>
      </c>
      <c r="C44" s="19">
        <f>C32</f>
        <v>223.4643042986666</v>
      </c>
      <c r="D44" s="5" t="s">
        <v>86</v>
      </c>
      <c r="E44" s="5">
        <f>+L7</f>
        <v>76.2</v>
      </c>
      <c r="F44" s="5">
        <v>0.68</v>
      </c>
      <c r="G44" s="34">
        <f>F44*E44*C44*B44</f>
        <v>1389.4831669847651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3</v>
      </c>
      <c r="D45" s="5" t="s">
        <v>90</v>
      </c>
      <c r="E45" s="5">
        <v>160</v>
      </c>
      <c r="F45" s="5"/>
      <c r="G45" s="30">
        <f>E45*C45</f>
        <v>480</v>
      </c>
      <c r="H45" s="156" t="s">
        <v>108</v>
      </c>
      <c r="I45" s="157"/>
      <c r="J45" s="157"/>
      <c r="K45" s="157"/>
      <c r="L45" s="77">
        <f>L39/(L44*1.08)</f>
        <v>917.17322402562149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1869.4831669847651</v>
      </c>
      <c r="H47" s="122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186.94831669847653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2056.4314836832418</v>
      </c>
      <c r="H49" s="122" t="s">
        <v>113</v>
      </c>
      <c r="I49" s="123"/>
      <c r="J49" s="123"/>
      <c r="K49" s="123"/>
      <c r="L49" s="55">
        <f>N34</f>
        <v>3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18967.051266693892</v>
      </c>
      <c r="H50" s="156" t="s">
        <v>114</v>
      </c>
      <c r="I50" s="157"/>
      <c r="J50" s="157"/>
      <c r="K50" s="157"/>
      <c r="L50" s="31">
        <f>L45</f>
        <v>917.17322402562149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3.0243815370593379</v>
      </c>
    </row>
    <row r="52" spans="1:16" x14ac:dyDescent="0.3">
      <c r="A52" s="122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917.17322402562149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122" t="s">
        <v>118</v>
      </c>
      <c r="B54" s="5">
        <f>(1-L8)</f>
        <v>0.88</v>
      </c>
      <c r="C54" s="19">
        <f>C44</f>
        <v>223.4643042986666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7135.9839534632119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122" t="s">
        <v>119</v>
      </c>
      <c r="B55" s="5">
        <f>(1-L8)</f>
        <v>0.88</v>
      </c>
      <c r="C55" s="19">
        <f>C44</f>
        <v>223.4643042986666</v>
      </c>
      <c r="D55" s="5" t="s">
        <v>86</v>
      </c>
      <c r="E55" s="5">
        <f>+L7</f>
        <v>76.2</v>
      </c>
      <c r="F55" s="5">
        <v>0.68</v>
      </c>
      <c r="G55" s="34">
        <f>F55*E55*C55*B55</f>
        <v>10189.543224554945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36292.578444712053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3.0243815370593379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x14ac:dyDescent="0.3">
      <c r="B63" s="17" t="s">
        <v>122</v>
      </c>
      <c r="G63" s="17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A1:L1"/>
    <mergeCell ref="A2:B2"/>
    <mergeCell ref="C2:E2"/>
    <mergeCell ref="F2:G2"/>
    <mergeCell ref="H2:J2"/>
    <mergeCell ref="K2:L2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H58:K58"/>
    <mergeCell ref="H55:K55"/>
    <mergeCell ref="A56:F56"/>
    <mergeCell ref="H56:K56"/>
    <mergeCell ref="L56:L57"/>
    <mergeCell ref="A57:F57"/>
    <mergeCell ref="H57:K5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81FA-47EE-4B62-9F44-B23847226DAE}">
  <sheetPr>
    <pageSetUpPr fitToPage="1"/>
  </sheetPr>
  <dimension ref="A1:S67"/>
  <sheetViews>
    <sheetView view="pageBreakPreview" topLeftCell="B4" zoomScale="85" zoomScaleNormal="100" zoomScaleSheetLayoutView="85" workbookViewId="0">
      <selection activeCell="N35" sqref="N35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9.1999999999999993</v>
      </c>
      <c r="O3" s="7">
        <f>N3*3.28</f>
        <v>30.175999999999995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122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5.9</v>
      </c>
      <c r="O4" s="7">
        <f>N4*3.28</f>
        <v>19.352</v>
      </c>
      <c r="P4" s="8"/>
      <c r="Q4" s="8"/>
    </row>
    <row r="5" spans="1:19" x14ac:dyDescent="0.3">
      <c r="A5" s="122" t="s">
        <v>17</v>
      </c>
      <c r="B5" s="5"/>
      <c r="C5" s="162" t="s">
        <v>184</v>
      </c>
      <c r="D5" s="162"/>
      <c r="E5" s="162"/>
      <c r="F5" s="162"/>
      <c r="G5" s="163"/>
      <c r="H5" s="122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122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30.175999999999995</v>
      </c>
      <c r="D7" s="19">
        <f>+N8</f>
        <v>19.352</v>
      </c>
      <c r="E7" s="20">
        <f>+N9</f>
        <v>583.9659519999999</v>
      </c>
      <c r="F7" s="21">
        <f>+N10</f>
        <v>11.479999999999999</v>
      </c>
      <c r="G7" s="22" t="s">
        <v>27</v>
      </c>
      <c r="H7" s="122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30.175999999999995</v>
      </c>
    </row>
    <row r="8" spans="1:19" x14ac:dyDescent="0.3">
      <c r="A8" s="168" t="s">
        <v>30</v>
      </c>
      <c r="B8" s="169"/>
      <c r="C8" s="170" t="s">
        <v>31</v>
      </c>
      <c r="D8" s="170"/>
      <c r="E8" s="124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19.352</v>
      </c>
    </row>
    <row r="9" spans="1:19" x14ac:dyDescent="0.3">
      <c r="A9" s="168"/>
      <c r="B9" s="169"/>
      <c r="C9" s="170"/>
      <c r="D9" s="170"/>
      <c r="E9" s="124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583.9659519999999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122" t="s">
        <v>40</v>
      </c>
      <c r="I10" s="5"/>
      <c r="J10" s="5"/>
      <c r="K10" s="5"/>
      <c r="L10" s="31">
        <f>E7*F7</f>
        <v>6703.9291289599978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122" t="s">
        <v>45</v>
      </c>
      <c r="I11" s="5"/>
      <c r="J11" s="5"/>
      <c r="K11" s="5"/>
      <c r="L11" s="35">
        <v>2</v>
      </c>
      <c r="M11" s="25" t="s">
        <v>43</v>
      </c>
      <c r="N11" s="27">
        <v>0</v>
      </c>
      <c r="P11" s="36" t="s">
        <v>46</v>
      </c>
      <c r="Q11" s="37">
        <v>7.5</v>
      </c>
      <c r="R11" s="32"/>
    </row>
    <row r="12" spans="1:19" x14ac:dyDescent="0.3">
      <c r="A12" s="156" t="s">
        <v>47</v>
      </c>
      <c r="B12" s="157"/>
      <c r="C12" s="19">
        <f>+N12</f>
        <v>20</v>
      </c>
      <c r="D12" s="5" t="s">
        <v>44</v>
      </c>
      <c r="E12" s="5">
        <v>12</v>
      </c>
      <c r="F12" s="33">
        <v>0.56000000000000005</v>
      </c>
      <c r="G12" s="34">
        <f>F12*E12*C12</f>
        <v>134.4</v>
      </c>
      <c r="H12" s="122" t="s">
        <v>48</v>
      </c>
      <c r="I12" s="5"/>
      <c r="J12" s="5"/>
      <c r="K12" s="5"/>
      <c r="L12" s="31">
        <f>+Q17</f>
        <v>74.799344255999983</v>
      </c>
      <c r="M12" s="25" t="s">
        <v>47</v>
      </c>
      <c r="N12" s="38">
        <f>5*4</f>
        <v>20</v>
      </c>
      <c r="P12" s="32" t="s">
        <v>49</v>
      </c>
      <c r="Q12" s="39">
        <f>+Q11*C35</f>
        <v>22.5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122" t="s">
        <v>51</v>
      </c>
      <c r="I13" s="19">
        <f>N26</f>
        <v>3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223.4643042986666</v>
      </c>
      <c r="M14" s="25" t="s">
        <v>54</v>
      </c>
      <c r="N14" s="27">
        <v>0</v>
      </c>
      <c r="P14" s="29" t="s">
        <v>56</v>
      </c>
      <c r="Q14" s="27">
        <f>+Q13*E7</f>
        <v>35.037957119999994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122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57.537957119999994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122"/>
      <c r="I16" s="5"/>
      <c r="J16" s="5"/>
      <c r="K16" s="47"/>
      <c r="L16" s="31"/>
      <c r="M16" s="25" t="s">
        <v>60</v>
      </c>
      <c r="N16" s="27">
        <f>N8*N10-N12</f>
        <v>202.16095999999999</v>
      </c>
      <c r="O16" s="40"/>
      <c r="P16" s="48" t="s">
        <v>61</v>
      </c>
      <c r="Q16" s="27">
        <f>Q15*30%</f>
        <v>17.261387135999996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122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74.799344255999983</v>
      </c>
      <c r="R17" s="29"/>
    </row>
    <row r="18" spans="1:18" x14ac:dyDescent="0.3">
      <c r="A18" s="156" t="s">
        <v>60</v>
      </c>
      <c r="B18" s="157"/>
      <c r="C18" s="19">
        <f>+N16</f>
        <v>202.16095999999999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2515.6909862399998</v>
      </c>
      <c r="H18" s="122"/>
      <c r="I18" s="5"/>
      <c r="J18" s="5"/>
      <c r="K18" s="5"/>
      <c r="L18" s="6"/>
      <c r="M18" s="25" t="s">
        <v>64</v>
      </c>
      <c r="N18" s="27"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122"/>
      <c r="I19" s="5"/>
      <c r="J19" s="5"/>
      <c r="K19" s="47"/>
      <c r="L19" s="31"/>
      <c r="M19" s="25" t="s">
        <v>65</v>
      </c>
      <c r="N19" s="27">
        <v>0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122"/>
      <c r="I20" s="5"/>
      <c r="J20" s="5"/>
      <c r="K20" s="47"/>
      <c r="L20" s="31"/>
      <c r="M20" s="25" t="s">
        <v>66</v>
      </c>
      <c r="N20" s="27">
        <f>+N11+N12+N13+N14</f>
        <v>20</v>
      </c>
      <c r="O20" s="40"/>
      <c r="P20" s="50"/>
      <c r="Q20" s="50" t="s">
        <v>67</v>
      </c>
      <c r="R20" s="50" t="s">
        <v>68</v>
      </c>
    </row>
    <row r="21" spans="1:18" x14ac:dyDescent="0.3">
      <c r="A21" s="122" t="s">
        <v>65</v>
      </c>
      <c r="B21" s="5"/>
      <c r="C21" s="19">
        <f>+N19</f>
        <v>0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0</v>
      </c>
      <c r="H21" s="122"/>
      <c r="I21" s="5"/>
      <c r="J21" s="21"/>
      <c r="K21" s="47"/>
      <c r="L21" s="31"/>
      <c r="M21" s="52" t="s">
        <v>69</v>
      </c>
      <c r="N21" s="53">
        <f>Q25</f>
        <v>395.37119999999993</v>
      </c>
      <c r="P21" s="49" t="s">
        <v>70</v>
      </c>
      <c r="Q21" s="27">
        <v>0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122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f>2*3.28*N10</f>
        <v>75.308799999999991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f>N8*N10</f>
        <v>222.16095999999999</v>
      </c>
      <c r="R23" s="4">
        <v>0</v>
      </c>
    </row>
    <row r="24" spans="1:18" x14ac:dyDescent="0.3">
      <c r="A24" s="156" t="s">
        <v>76</v>
      </c>
      <c r="B24" s="157"/>
      <c r="C24" s="19">
        <f>N20</f>
        <v>20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759.35999999999979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f>2.6*3.28*N10</f>
        <v>97.901439999999994</v>
      </c>
      <c r="R24" s="4">
        <v>0</v>
      </c>
    </row>
    <row r="25" spans="1:18" x14ac:dyDescent="0.3">
      <c r="A25" s="156" t="s">
        <v>69</v>
      </c>
      <c r="B25" s="157"/>
      <c r="C25" s="19">
        <f>+N21</f>
        <v>395.37119999999993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4523.046527999998</v>
      </c>
      <c r="H25" s="179"/>
      <c r="I25" s="180"/>
      <c r="J25" s="180"/>
      <c r="K25" s="180"/>
      <c r="L25" s="181"/>
      <c r="M25" s="25" t="s">
        <v>79</v>
      </c>
      <c r="N25" s="27">
        <f>C32</f>
        <v>223.4643042986666</v>
      </c>
      <c r="O25" s="57"/>
      <c r="P25" s="58" t="s">
        <v>80</v>
      </c>
      <c r="Q25" s="27">
        <f>SUM(Q21:Q24)</f>
        <v>395.37119999999993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SUMMARY!I31</f>
        <v>3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122"/>
      <c r="I27" s="5"/>
      <c r="J27" s="44"/>
      <c r="K27" s="44"/>
      <c r="L27" s="45"/>
      <c r="M27" s="25" t="s">
        <v>82</v>
      </c>
      <c r="N27" s="7">
        <f>SUMMARY!H31</f>
        <v>1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122"/>
      <c r="I28" s="5"/>
      <c r="J28" s="5"/>
      <c r="K28" s="47"/>
      <c r="L28" s="31"/>
      <c r="M28" s="25" t="s">
        <v>83</v>
      </c>
      <c r="N28" s="97">
        <f>N9*1</f>
        <v>583.9659519999999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122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122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122"/>
      <c r="I31" s="5"/>
      <c r="J31" s="5"/>
      <c r="K31" s="5"/>
      <c r="L31" s="64"/>
      <c r="M31" s="65" t="s">
        <v>85</v>
      </c>
      <c r="N31" s="66">
        <f>+G57</f>
        <v>3.0243815370593379</v>
      </c>
      <c r="Q31" s="8"/>
    </row>
    <row r="32" spans="1:18" x14ac:dyDescent="0.3">
      <c r="A32" s="122" t="s">
        <v>79</v>
      </c>
      <c r="B32" s="5">
        <f>L8</f>
        <v>0.12</v>
      </c>
      <c r="C32" s="19">
        <f>MAX(L12:L14)</f>
        <v>223.4643042986666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973.08872092680156</v>
      </c>
      <c r="H32" s="122"/>
      <c r="I32" s="5"/>
      <c r="J32" s="5"/>
      <c r="K32" s="47"/>
      <c r="L32" s="63"/>
      <c r="M32" s="50" t="s">
        <v>87</v>
      </c>
      <c r="N32" s="46">
        <f>+L45</f>
        <v>917.17322402562149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122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122"/>
      <c r="I34" s="5"/>
      <c r="J34" s="5"/>
      <c r="K34" s="47"/>
      <c r="L34" s="63"/>
      <c r="M34" s="28" t="s">
        <v>89</v>
      </c>
      <c r="N34" s="67">
        <v>3</v>
      </c>
    </row>
    <row r="35" spans="1:15" x14ac:dyDescent="0.3">
      <c r="A35" s="156" t="s">
        <v>81</v>
      </c>
      <c r="B35" s="157"/>
      <c r="C35" s="19">
        <f>I13</f>
        <v>3</v>
      </c>
      <c r="D35" s="5" t="s">
        <v>90</v>
      </c>
      <c r="E35" s="5">
        <v>240</v>
      </c>
      <c r="F35" s="5"/>
      <c r="G35" s="34">
        <f>E35*C35</f>
        <v>720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1</v>
      </c>
      <c r="D36" s="5" t="s">
        <v>91</v>
      </c>
      <c r="E36" s="5">
        <v>3413</v>
      </c>
      <c r="F36" s="5">
        <v>1</v>
      </c>
      <c r="G36" s="34">
        <f>F36*E36*C36</f>
        <v>3413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583.9659519999999</v>
      </c>
      <c r="D37" s="5" t="s">
        <v>92</v>
      </c>
      <c r="E37" s="5">
        <v>3.4129999999999998</v>
      </c>
      <c r="F37" s="5"/>
      <c r="G37" s="34">
        <f>+E37*C37</f>
        <v>1993.0757941759996</v>
      </c>
      <c r="H37" s="122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15031.6620293428</v>
      </c>
      <c r="H39" s="156" t="s">
        <v>97</v>
      </c>
      <c r="I39" s="157"/>
      <c r="J39" s="157"/>
      <c r="K39" s="157"/>
      <c r="L39" s="69">
        <f>G41</f>
        <v>16910.61978301065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1878.9577536678501</v>
      </c>
      <c r="H40" s="156" t="s">
        <v>99</v>
      </c>
      <c r="I40" s="157"/>
      <c r="J40" s="157"/>
      <c r="K40" s="157"/>
      <c r="L40" s="70">
        <f>G50</f>
        <v>18967.051266693892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16910.61978301065</v>
      </c>
      <c r="H41" s="156" t="s">
        <v>100</v>
      </c>
      <c r="I41" s="157"/>
      <c r="J41" s="157"/>
      <c r="K41" s="157"/>
      <c r="L41" s="72">
        <f>L39/L40</f>
        <v>0.8915787459648864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122" t="s">
        <v>103</v>
      </c>
      <c r="B44" s="5">
        <f>L8</f>
        <v>0.12</v>
      </c>
      <c r="C44" s="19">
        <f>C32</f>
        <v>223.4643042986666</v>
      </c>
      <c r="D44" s="5" t="s">
        <v>86</v>
      </c>
      <c r="E44" s="5">
        <f>+L7</f>
        <v>76.2</v>
      </c>
      <c r="F44" s="5">
        <v>0.68</v>
      </c>
      <c r="G44" s="34">
        <f>F44*E44*C44*B44</f>
        <v>1389.4831669847651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3</v>
      </c>
      <c r="D45" s="5" t="s">
        <v>90</v>
      </c>
      <c r="E45" s="5">
        <v>160</v>
      </c>
      <c r="F45" s="5"/>
      <c r="G45" s="30">
        <f>E45*C45</f>
        <v>480</v>
      </c>
      <c r="H45" s="156" t="s">
        <v>108</v>
      </c>
      <c r="I45" s="157"/>
      <c r="J45" s="157"/>
      <c r="K45" s="157"/>
      <c r="L45" s="77">
        <f>L39/(L44*1.08)</f>
        <v>917.17322402562149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1869.4831669847651</v>
      </c>
      <c r="H47" s="122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186.94831669847653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2056.4314836832418</v>
      </c>
      <c r="H49" s="122" t="s">
        <v>113</v>
      </c>
      <c r="I49" s="123"/>
      <c r="J49" s="123"/>
      <c r="K49" s="123"/>
      <c r="L49" s="55">
        <f>N34</f>
        <v>3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18967.051266693892</v>
      </c>
      <c r="H50" s="156" t="s">
        <v>114</v>
      </c>
      <c r="I50" s="157"/>
      <c r="J50" s="157"/>
      <c r="K50" s="157"/>
      <c r="L50" s="31">
        <f>L45</f>
        <v>917.17322402562149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3.0243815370593379</v>
      </c>
    </row>
    <row r="52" spans="1:16" x14ac:dyDescent="0.3">
      <c r="A52" s="122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917.17322402562149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122" t="s">
        <v>118</v>
      </c>
      <c r="B54" s="5">
        <f>(1-L8)</f>
        <v>0.88</v>
      </c>
      <c r="C54" s="19">
        <f>C44</f>
        <v>223.4643042986666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7135.9839534632119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122" t="s">
        <v>119</v>
      </c>
      <c r="B55" s="5">
        <f>(1-L8)</f>
        <v>0.88</v>
      </c>
      <c r="C55" s="19">
        <f>C44</f>
        <v>223.4643042986666</v>
      </c>
      <c r="D55" s="5" t="s">
        <v>86</v>
      </c>
      <c r="E55" s="5">
        <f>+L7</f>
        <v>76.2</v>
      </c>
      <c r="F55" s="5">
        <v>0.68</v>
      </c>
      <c r="G55" s="34">
        <f>F55*E55*C55*B55</f>
        <v>10189.543224554945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36292.578444712053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3.0243815370593379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x14ac:dyDescent="0.3">
      <c r="B63" s="17" t="s">
        <v>122</v>
      </c>
      <c r="G63" s="17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A1:L1"/>
    <mergeCell ref="A2:B2"/>
    <mergeCell ref="C2:E2"/>
    <mergeCell ref="F2:G2"/>
    <mergeCell ref="H2:J2"/>
    <mergeCell ref="K2:L2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H58:K58"/>
    <mergeCell ref="H55:K55"/>
    <mergeCell ref="A56:F56"/>
    <mergeCell ref="H56:K56"/>
    <mergeCell ref="L56:L57"/>
    <mergeCell ref="A57:F57"/>
    <mergeCell ref="H57:K5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BCA5-FACC-463B-ADE5-15E39E9C28AC}">
  <sheetPr>
    <pageSetUpPr fitToPage="1"/>
  </sheetPr>
  <dimension ref="A1:S67"/>
  <sheetViews>
    <sheetView view="pageBreakPreview" topLeftCell="B1" zoomScale="85" zoomScaleNormal="100" zoomScaleSheetLayoutView="85" workbookViewId="0">
      <selection activeCell="N35" sqref="N35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9.1999999999999993</v>
      </c>
      <c r="O3" s="7">
        <f>N3*3.28</f>
        <v>30.175999999999995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122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5.9</v>
      </c>
      <c r="O4" s="7">
        <f>N4*3.28</f>
        <v>19.352</v>
      </c>
      <c r="P4" s="8"/>
      <c r="Q4" s="8"/>
    </row>
    <row r="5" spans="1:19" x14ac:dyDescent="0.3">
      <c r="A5" s="122" t="s">
        <v>17</v>
      </c>
      <c r="B5" s="5"/>
      <c r="C5" s="162" t="s">
        <v>185</v>
      </c>
      <c r="D5" s="162"/>
      <c r="E5" s="162"/>
      <c r="F5" s="162"/>
      <c r="G5" s="163"/>
      <c r="H5" s="122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122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30.175999999999995</v>
      </c>
      <c r="D7" s="19">
        <f>+N8</f>
        <v>19.352</v>
      </c>
      <c r="E7" s="20">
        <f>+N9</f>
        <v>583.9659519999999</v>
      </c>
      <c r="F7" s="21">
        <f>+N10</f>
        <v>11.479999999999999</v>
      </c>
      <c r="G7" s="22" t="s">
        <v>27</v>
      </c>
      <c r="H7" s="122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30.175999999999995</v>
      </c>
    </row>
    <row r="8" spans="1:19" x14ac:dyDescent="0.3">
      <c r="A8" s="168" t="s">
        <v>30</v>
      </c>
      <c r="B8" s="169"/>
      <c r="C8" s="170" t="s">
        <v>31</v>
      </c>
      <c r="D8" s="170"/>
      <c r="E8" s="124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19.352</v>
      </c>
    </row>
    <row r="9" spans="1:19" x14ac:dyDescent="0.3">
      <c r="A9" s="168"/>
      <c r="B9" s="169"/>
      <c r="C9" s="170"/>
      <c r="D9" s="170"/>
      <c r="E9" s="124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583.9659519999999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122" t="s">
        <v>40</v>
      </c>
      <c r="I10" s="5"/>
      <c r="J10" s="5"/>
      <c r="K10" s="5"/>
      <c r="L10" s="31">
        <f>E7*F7</f>
        <v>6703.9291289599978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122" t="s">
        <v>45</v>
      </c>
      <c r="I11" s="5"/>
      <c r="J11" s="5"/>
      <c r="K11" s="5"/>
      <c r="L11" s="35">
        <v>2</v>
      </c>
      <c r="M11" s="25" t="s">
        <v>43</v>
      </c>
      <c r="N11" s="27">
        <v>0</v>
      </c>
      <c r="P11" s="36" t="s">
        <v>46</v>
      </c>
      <c r="Q11" s="37">
        <v>7.5</v>
      </c>
      <c r="R11" s="32"/>
    </row>
    <row r="12" spans="1:19" x14ac:dyDescent="0.3">
      <c r="A12" s="156" t="s">
        <v>47</v>
      </c>
      <c r="B12" s="157"/>
      <c r="C12" s="19">
        <f>+N12</f>
        <v>20</v>
      </c>
      <c r="D12" s="5" t="s">
        <v>44</v>
      </c>
      <c r="E12" s="5">
        <v>12</v>
      </c>
      <c r="F12" s="33">
        <v>0.56000000000000005</v>
      </c>
      <c r="G12" s="34">
        <f>F12*E12*C12</f>
        <v>134.4</v>
      </c>
      <c r="H12" s="122" t="s">
        <v>48</v>
      </c>
      <c r="I12" s="5"/>
      <c r="J12" s="5"/>
      <c r="K12" s="5"/>
      <c r="L12" s="31">
        <f>+Q17</f>
        <v>74.799344255999983</v>
      </c>
      <c r="M12" s="25" t="s">
        <v>47</v>
      </c>
      <c r="N12" s="38">
        <f>5*4</f>
        <v>20</v>
      </c>
      <c r="P12" s="32" t="s">
        <v>49</v>
      </c>
      <c r="Q12" s="39">
        <f>+Q11*C35</f>
        <v>22.5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122" t="s">
        <v>51</v>
      </c>
      <c r="I13" s="19">
        <f>N26</f>
        <v>3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60</v>
      </c>
      <c r="D14" s="5" t="s">
        <v>44</v>
      </c>
      <c r="E14" s="5">
        <v>12</v>
      </c>
      <c r="F14" s="33">
        <v>0.56000000000000005</v>
      </c>
      <c r="G14" s="34">
        <f>F14*E14*C14</f>
        <v>403.20000000000005</v>
      </c>
      <c r="H14" s="41" t="s">
        <v>55</v>
      </c>
      <c r="I14" s="42"/>
      <c r="J14" s="42"/>
      <c r="K14" s="42"/>
      <c r="L14" s="43">
        <f>L11*L10/60</f>
        <v>223.4643042986666</v>
      </c>
      <c r="M14" s="25" t="s">
        <v>54</v>
      </c>
      <c r="N14" s="27">
        <f>5*4*3</f>
        <v>60</v>
      </c>
      <c r="P14" s="29" t="s">
        <v>56</v>
      </c>
      <c r="Q14" s="27">
        <f>+Q13*E7</f>
        <v>35.037957119999994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122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57.537957119999994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122"/>
      <c r="I16" s="5"/>
      <c r="J16" s="5"/>
      <c r="K16" s="47"/>
      <c r="L16" s="31"/>
      <c r="M16" s="25" t="s">
        <v>60</v>
      </c>
      <c r="N16" s="27">
        <f>N8*N10-N12</f>
        <v>202.16095999999999</v>
      </c>
      <c r="O16" s="40"/>
      <c r="P16" s="48" t="s">
        <v>61</v>
      </c>
      <c r="Q16" s="27">
        <f>Q15*30%</f>
        <v>17.261387135999996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122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74.799344255999983</v>
      </c>
      <c r="R17" s="29"/>
    </row>
    <row r="18" spans="1:18" x14ac:dyDescent="0.3">
      <c r="A18" s="156" t="s">
        <v>60</v>
      </c>
      <c r="B18" s="157"/>
      <c r="C18" s="19">
        <f>+N16</f>
        <v>202.16095999999999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2515.6909862399998</v>
      </c>
      <c r="H18" s="122"/>
      <c r="I18" s="5"/>
      <c r="J18" s="5"/>
      <c r="K18" s="5"/>
      <c r="L18" s="6"/>
      <c r="M18" s="25" t="s">
        <v>64</v>
      </c>
      <c r="N18" s="27">
        <f>N7*N10-N14</f>
        <v>286.42047999999988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122"/>
      <c r="I19" s="5"/>
      <c r="J19" s="5"/>
      <c r="K19" s="47"/>
      <c r="L19" s="31"/>
      <c r="M19" s="25" t="s">
        <v>65</v>
      </c>
      <c r="N19" s="27">
        <v>0</v>
      </c>
      <c r="O19" s="40"/>
      <c r="P19" s="2"/>
    </row>
    <row r="20" spans="1:18" x14ac:dyDescent="0.3">
      <c r="A20" s="156" t="s">
        <v>64</v>
      </c>
      <c r="B20" s="157"/>
      <c r="C20" s="19">
        <f>+N18</f>
        <v>286.42047999999988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3369.4505267199984</v>
      </c>
      <c r="H20" s="122"/>
      <c r="I20" s="5"/>
      <c r="J20" s="5"/>
      <c r="K20" s="47"/>
      <c r="L20" s="31"/>
      <c r="M20" s="25" t="s">
        <v>66</v>
      </c>
      <c r="N20" s="27">
        <f>+N11+N12+N13+N14</f>
        <v>80</v>
      </c>
      <c r="O20" s="40"/>
      <c r="P20" s="50"/>
      <c r="Q20" s="50" t="s">
        <v>67</v>
      </c>
      <c r="R20" s="50" t="s">
        <v>68</v>
      </c>
    </row>
    <row r="21" spans="1:18" x14ac:dyDescent="0.3">
      <c r="A21" s="122" t="s">
        <v>65</v>
      </c>
      <c r="B21" s="5"/>
      <c r="C21" s="19">
        <f>+N19</f>
        <v>0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0</v>
      </c>
      <c r="H21" s="122"/>
      <c r="I21" s="5"/>
      <c r="J21" s="21"/>
      <c r="K21" s="47"/>
      <c r="L21" s="31"/>
      <c r="M21" s="52" t="s">
        <v>69</v>
      </c>
      <c r="N21" s="53">
        <f>Q25</f>
        <v>395.37119999999999</v>
      </c>
      <c r="P21" s="49" t="s">
        <v>70</v>
      </c>
      <c r="Q21" s="27">
        <f>2.6*3.28*N10</f>
        <v>97.901439999999994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122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f>2*3.28*N10</f>
        <v>75.308799999999991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f>N8*N10</f>
        <v>222.16095999999999</v>
      </c>
      <c r="R23" s="4">
        <v>0</v>
      </c>
    </row>
    <row r="24" spans="1:18" x14ac:dyDescent="0.3">
      <c r="A24" s="156" t="s">
        <v>76</v>
      </c>
      <c r="B24" s="157"/>
      <c r="C24" s="19">
        <f>N20</f>
        <v>80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3037.4399999999991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v>0</v>
      </c>
      <c r="R24" s="4">
        <v>0</v>
      </c>
    </row>
    <row r="25" spans="1:18" x14ac:dyDescent="0.3">
      <c r="A25" s="156" t="s">
        <v>69</v>
      </c>
      <c r="B25" s="157"/>
      <c r="C25" s="19">
        <f>+N21</f>
        <v>395.37119999999999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4523.0465279999989</v>
      </c>
      <c r="H25" s="179"/>
      <c r="I25" s="180"/>
      <c r="J25" s="180"/>
      <c r="K25" s="180"/>
      <c r="L25" s="181"/>
      <c r="M25" s="25" t="s">
        <v>79</v>
      </c>
      <c r="N25" s="27">
        <f>C32</f>
        <v>223.4643042986666</v>
      </c>
      <c r="O25" s="57"/>
      <c r="P25" s="58" t="s">
        <v>80</v>
      </c>
      <c r="Q25" s="27">
        <f>SUM(Q21:Q24)</f>
        <v>395.37119999999999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SUMMARY!I32</f>
        <v>3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122"/>
      <c r="I27" s="5"/>
      <c r="J27" s="44"/>
      <c r="K27" s="44"/>
      <c r="L27" s="45"/>
      <c r="M27" s="25" t="s">
        <v>82</v>
      </c>
      <c r="N27" s="7">
        <f>SUMMARY!H32</f>
        <v>1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122"/>
      <c r="I28" s="5"/>
      <c r="J28" s="5"/>
      <c r="K28" s="47"/>
      <c r="L28" s="31"/>
      <c r="M28" s="25" t="s">
        <v>83</v>
      </c>
      <c r="N28" s="97">
        <f>N9*1</f>
        <v>583.9659519999999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122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122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122"/>
      <c r="I31" s="5"/>
      <c r="J31" s="5"/>
      <c r="K31" s="5"/>
      <c r="L31" s="64"/>
      <c r="M31" s="65" t="s">
        <v>85</v>
      </c>
      <c r="N31" s="66">
        <f>+G57</f>
        <v>3.5916375239393372</v>
      </c>
      <c r="Q31" s="8"/>
    </row>
    <row r="32" spans="1:18" x14ac:dyDescent="0.3">
      <c r="A32" s="122" t="s">
        <v>79</v>
      </c>
      <c r="B32" s="5">
        <f>L8</f>
        <v>0.12</v>
      </c>
      <c r="C32" s="19">
        <f>MAX(L12:L14)</f>
        <v>223.4643042986666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973.08872092680156</v>
      </c>
      <c r="H32" s="122"/>
      <c r="I32" s="5"/>
      <c r="J32" s="5"/>
      <c r="K32" s="47"/>
      <c r="L32" s="63"/>
      <c r="M32" s="50" t="s">
        <v>87</v>
      </c>
      <c r="N32" s="46">
        <f>+L45</f>
        <v>1286.3651346785418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122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122"/>
      <c r="I34" s="5"/>
      <c r="J34" s="5"/>
      <c r="K34" s="47"/>
      <c r="L34" s="63"/>
      <c r="M34" s="28" t="s">
        <v>89</v>
      </c>
      <c r="N34" s="67">
        <v>3.5</v>
      </c>
    </row>
    <row r="35" spans="1:15" x14ac:dyDescent="0.3">
      <c r="A35" s="156" t="s">
        <v>81</v>
      </c>
      <c r="B35" s="157"/>
      <c r="C35" s="19">
        <f>I13</f>
        <v>3</v>
      </c>
      <c r="D35" s="5" t="s">
        <v>90</v>
      </c>
      <c r="E35" s="5">
        <v>240</v>
      </c>
      <c r="F35" s="5"/>
      <c r="G35" s="34">
        <f>E35*C35</f>
        <v>720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1</v>
      </c>
      <c r="D36" s="5" t="s">
        <v>91</v>
      </c>
      <c r="E36" s="5">
        <v>3413</v>
      </c>
      <c r="F36" s="5">
        <v>1</v>
      </c>
      <c r="G36" s="34">
        <f>F36*E36*C36</f>
        <v>3413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583.9659519999999</v>
      </c>
      <c r="D37" s="5" t="s">
        <v>92</v>
      </c>
      <c r="E37" s="5">
        <v>3.4129999999999998</v>
      </c>
      <c r="F37" s="5"/>
      <c r="G37" s="34">
        <f>+E37*C37</f>
        <v>1993.0757941759996</v>
      </c>
      <c r="H37" s="122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21082.392556062794</v>
      </c>
      <c r="H39" s="156" t="s">
        <v>97</v>
      </c>
      <c r="I39" s="157"/>
      <c r="J39" s="157"/>
      <c r="K39" s="157"/>
      <c r="L39" s="69">
        <f>G41</f>
        <v>23717.691625570642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2635.2990695078493</v>
      </c>
      <c r="H40" s="156" t="s">
        <v>99</v>
      </c>
      <c r="I40" s="157"/>
      <c r="J40" s="157"/>
      <c r="K40" s="157"/>
      <c r="L40" s="70">
        <f>G50</f>
        <v>25774.123109253884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23717.691625570642</v>
      </c>
      <c r="H41" s="156" t="s">
        <v>100</v>
      </c>
      <c r="I41" s="157"/>
      <c r="J41" s="157"/>
      <c r="K41" s="157"/>
      <c r="L41" s="72">
        <f>L39/L40</f>
        <v>0.92021332888935781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122" t="s">
        <v>103</v>
      </c>
      <c r="B44" s="5">
        <f>L8</f>
        <v>0.12</v>
      </c>
      <c r="C44" s="19">
        <f>C32</f>
        <v>223.4643042986666</v>
      </c>
      <c r="D44" s="5" t="s">
        <v>86</v>
      </c>
      <c r="E44" s="5">
        <f>+L7</f>
        <v>76.2</v>
      </c>
      <c r="F44" s="5">
        <v>0.68</v>
      </c>
      <c r="G44" s="34">
        <f>F44*E44*C44*B44</f>
        <v>1389.4831669847651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3</v>
      </c>
      <c r="D45" s="5" t="s">
        <v>90</v>
      </c>
      <c r="E45" s="5">
        <v>160</v>
      </c>
      <c r="F45" s="5"/>
      <c r="G45" s="30">
        <f>E45*C45</f>
        <v>480</v>
      </c>
      <c r="H45" s="156" t="s">
        <v>108</v>
      </c>
      <c r="I45" s="157"/>
      <c r="J45" s="157"/>
      <c r="K45" s="157"/>
      <c r="L45" s="77">
        <f>L39/(L44*1.08)</f>
        <v>1286.3651346785418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1869.4831669847651</v>
      </c>
      <c r="H47" s="122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186.94831669847653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2056.4314836832418</v>
      </c>
      <c r="H49" s="122" t="s">
        <v>113</v>
      </c>
      <c r="I49" s="123"/>
      <c r="J49" s="123"/>
      <c r="K49" s="123"/>
      <c r="L49" s="55">
        <f>N34</f>
        <v>3.5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25774.123109253884</v>
      </c>
      <c r="H50" s="156" t="s">
        <v>114</v>
      </c>
      <c r="I50" s="157"/>
      <c r="J50" s="157"/>
      <c r="K50" s="157"/>
      <c r="L50" s="31">
        <f>L45</f>
        <v>1286.3651346785418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3.5916375239393372</v>
      </c>
    </row>
    <row r="52" spans="1:16" x14ac:dyDescent="0.3">
      <c r="A52" s="122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1286.3651346785418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122" t="s">
        <v>118</v>
      </c>
      <c r="B54" s="5">
        <f>(1-L8)</f>
        <v>0.88</v>
      </c>
      <c r="C54" s="19">
        <f>C44</f>
        <v>223.4643042986666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7135.9839534632119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122" t="s">
        <v>119</v>
      </c>
      <c r="B55" s="5">
        <f>(1-L8)</f>
        <v>0.88</v>
      </c>
      <c r="C55" s="19">
        <f>C44</f>
        <v>223.4643042986666</v>
      </c>
      <c r="D55" s="5" t="s">
        <v>86</v>
      </c>
      <c r="E55" s="5">
        <f>+L7</f>
        <v>76.2</v>
      </c>
      <c r="F55" s="5">
        <v>0.68</v>
      </c>
      <c r="G55" s="34">
        <f>F55*E55*C55*B55</f>
        <v>10189.543224554945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43099.650287272045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3.5916375239393372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x14ac:dyDescent="0.3">
      <c r="B63" s="17" t="s">
        <v>122</v>
      </c>
      <c r="G63" s="17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A1:L1"/>
    <mergeCell ref="A2:B2"/>
    <mergeCell ref="C2:E2"/>
    <mergeCell ref="F2:G2"/>
    <mergeCell ref="H2:J2"/>
    <mergeCell ref="K2:L2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H58:K58"/>
    <mergeCell ref="H55:K55"/>
    <mergeCell ref="A56:F56"/>
    <mergeCell ref="H56:K56"/>
    <mergeCell ref="L56:L57"/>
    <mergeCell ref="A57:F57"/>
    <mergeCell ref="H57:K5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>
    <tabColor theme="7" tint="0.39997558519241921"/>
    <pageSetUpPr fitToPage="1"/>
  </sheetPr>
  <dimension ref="A1:S67"/>
  <sheetViews>
    <sheetView view="pageBreakPreview" zoomScale="70" zoomScaleNormal="100" zoomScaleSheetLayoutView="70" workbookViewId="0">
      <selection activeCell="O38" sqref="O38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3.5</v>
      </c>
      <c r="O3" s="7">
        <f>N3*3.28</f>
        <v>11.479999999999999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3</v>
      </c>
      <c r="O4" s="7">
        <f>N4*3.28</f>
        <v>9.84</v>
      </c>
      <c r="P4" s="8"/>
      <c r="Q4" s="8"/>
    </row>
    <row r="5" spans="1:19" x14ac:dyDescent="0.3">
      <c r="A5" s="9" t="s">
        <v>17</v>
      </c>
      <c r="B5" s="5"/>
      <c r="C5" s="162" t="s">
        <v>161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11.479999999999999</v>
      </c>
      <c r="D7" s="19">
        <f>+N8</f>
        <v>9.84</v>
      </c>
      <c r="E7" s="20">
        <f>+N9</f>
        <v>112.96319999999999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11.479999999999999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9.84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112.96319999999999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1296.8175359999998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0</v>
      </c>
      <c r="M11" s="25" t="s">
        <v>43</v>
      </c>
      <c r="N11" s="27">
        <v>0</v>
      </c>
      <c r="P11" s="36" t="s">
        <v>46</v>
      </c>
      <c r="Q11" s="37">
        <v>7.5</v>
      </c>
      <c r="R11" s="32"/>
    </row>
    <row r="12" spans="1:19" x14ac:dyDescent="0.3">
      <c r="A12" s="156" t="s">
        <v>47</v>
      </c>
      <c r="B12" s="157"/>
      <c r="C12" s="19">
        <f>+N12</f>
        <v>0</v>
      </c>
      <c r="D12" s="5" t="s">
        <v>44</v>
      </c>
      <c r="E12" s="5">
        <v>12</v>
      </c>
      <c r="F12" s="33">
        <v>0.56000000000000005</v>
      </c>
      <c r="G12" s="34">
        <f>F12*E12*C12</f>
        <v>0</v>
      </c>
      <c r="H12" s="9" t="s">
        <v>48</v>
      </c>
      <c r="I12" s="5"/>
      <c r="J12" s="5"/>
      <c r="K12" s="5"/>
      <c r="L12" s="31">
        <f>+Q17</f>
        <v>38.061129600000001</v>
      </c>
      <c r="M12" s="25" t="s">
        <v>47</v>
      </c>
      <c r="N12" s="38">
        <v>0</v>
      </c>
      <c r="P12" s="32" t="s">
        <v>49</v>
      </c>
      <c r="Q12" s="39">
        <f>+Q11*C35</f>
        <v>22.5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9" t="s">
        <v>51</v>
      </c>
      <c r="I13" s="19">
        <f>N26</f>
        <v>3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0</v>
      </c>
      <c r="M14" s="25" t="s">
        <v>54</v>
      </c>
      <c r="N14" s="27">
        <v>0</v>
      </c>
      <c r="P14" s="29" t="s">
        <v>56</v>
      </c>
      <c r="Q14" s="27">
        <f>+Q13*E7</f>
        <v>6.7777919999999989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29.277791999999998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v>0</v>
      </c>
      <c r="O16" s="40"/>
      <c r="P16" s="48" t="s">
        <v>61</v>
      </c>
      <c r="Q16" s="27">
        <f>Q15*30%</f>
        <v>8.7833375999999994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38.061129600000001</v>
      </c>
      <c r="R17" s="29"/>
    </row>
    <row r="18" spans="1:18" x14ac:dyDescent="0.3">
      <c r="A18" s="156" t="s">
        <v>60</v>
      </c>
      <c r="B18" s="157"/>
      <c r="C18" s="19">
        <f>+N16</f>
        <v>0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0</v>
      </c>
      <c r="H18" s="9"/>
      <c r="I18" s="5"/>
      <c r="J18" s="5"/>
      <c r="K18" s="5"/>
      <c r="L18" s="6"/>
      <c r="M18" s="25" t="s">
        <v>64</v>
      </c>
      <c r="N18" s="27"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9"/>
      <c r="I19" s="5"/>
      <c r="J19" s="5"/>
      <c r="K19" s="47"/>
      <c r="L19" s="31"/>
      <c r="M19" s="25" t="s">
        <v>65</v>
      </c>
      <c r="N19" s="27">
        <f>N9</f>
        <v>112.96319999999999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9"/>
      <c r="I20" s="5"/>
      <c r="J20" s="5"/>
      <c r="K20" s="47"/>
      <c r="L20" s="31"/>
      <c r="M20" s="25" t="s">
        <v>66</v>
      </c>
      <c r="N20" s="27">
        <f>+N11+N12+N13+N14</f>
        <v>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112.96319999999999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2421.9310079999996</v>
      </c>
      <c r="H21" s="9"/>
      <c r="I21" s="5"/>
      <c r="J21" s="21"/>
      <c r="K21" s="47"/>
      <c r="L21" s="31"/>
      <c r="M21" s="52" t="s">
        <v>69</v>
      </c>
      <c r="N21" s="53">
        <f>Q25</f>
        <v>357.71679999999992</v>
      </c>
      <c r="P21" s="49" t="s">
        <v>70</v>
      </c>
      <c r="Q21" s="27">
        <f>N7*N10</f>
        <v>131.79039999999998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f>N8*N10</f>
        <v>112.96319999999999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f>N8*N10</f>
        <v>112.96319999999999</v>
      </c>
      <c r="R23" s="4">
        <v>0</v>
      </c>
    </row>
    <row r="24" spans="1:18" x14ac:dyDescent="0.3">
      <c r="A24" s="156" t="s">
        <v>76</v>
      </c>
      <c r="B24" s="157"/>
      <c r="C24" s="19">
        <f>N20</f>
        <v>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0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v>0</v>
      </c>
      <c r="R24" s="4">
        <v>0</v>
      </c>
    </row>
    <row r="25" spans="1:18" x14ac:dyDescent="0.3">
      <c r="A25" s="156" t="s">
        <v>69</v>
      </c>
      <c r="B25" s="157"/>
      <c r="C25" s="19">
        <f>+N21</f>
        <v>357.71679999999992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4092.2801919999984</v>
      </c>
      <c r="H25" s="179"/>
      <c r="I25" s="180"/>
      <c r="J25" s="180"/>
      <c r="K25" s="180"/>
      <c r="L25" s="181"/>
      <c r="M25" s="25" t="s">
        <v>79</v>
      </c>
      <c r="N25" s="27">
        <f>C32</f>
        <v>38.061129600000001</v>
      </c>
      <c r="O25" s="57"/>
      <c r="P25" s="58" t="s">
        <v>80</v>
      </c>
      <c r="Q25" s="27">
        <f>SUM(Q21:Q24)</f>
        <v>357.71679999999992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SUMMARY!I35</f>
        <v>3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SUMMARY!H35</f>
        <v>2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112.96319999999999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1.6814329357532096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38.061129600000001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165.73947251097599</v>
      </c>
      <c r="H32" s="9"/>
      <c r="I32" s="5"/>
      <c r="J32" s="5"/>
      <c r="K32" s="47"/>
      <c r="L32" s="63"/>
      <c r="M32" s="50" t="s">
        <v>87</v>
      </c>
      <c r="N32" s="46">
        <f>+L45</f>
        <v>891.53621879093998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2</v>
      </c>
    </row>
    <row r="35" spans="1:15" x14ac:dyDescent="0.3">
      <c r="A35" s="156" t="s">
        <v>81</v>
      </c>
      <c r="B35" s="157"/>
      <c r="C35" s="19">
        <f>I13</f>
        <v>3</v>
      </c>
      <c r="D35" s="5" t="s">
        <v>90</v>
      </c>
      <c r="E35" s="5">
        <v>240</v>
      </c>
      <c r="F35" s="5"/>
      <c r="G35" s="34">
        <f>E35*C35</f>
        <v>720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2</v>
      </c>
      <c r="D36" s="5" t="s">
        <v>91</v>
      </c>
      <c r="E36" s="5">
        <v>3413</v>
      </c>
      <c r="F36" s="5">
        <v>1</v>
      </c>
      <c r="G36" s="34">
        <f>F36*E36*C36</f>
        <v>6826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112.96319999999999</v>
      </c>
      <c r="D37" s="5" t="s">
        <v>92</v>
      </c>
      <c r="E37" s="5">
        <v>3.4129999999999998</v>
      </c>
      <c r="F37" s="5"/>
      <c r="G37" s="34">
        <f>+E37*C37</f>
        <v>385.54340159999992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14611.494074110975</v>
      </c>
      <c r="H39" s="156" t="s">
        <v>97</v>
      </c>
      <c r="I39" s="157"/>
      <c r="J39" s="157"/>
      <c r="K39" s="157"/>
      <c r="L39" s="69">
        <f>G41</f>
        <v>16437.930833374849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1826.4367592638719</v>
      </c>
      <c r="H40" s="156" t="s">
        <v>99</v>
      </c>
      <c r="I40" s="157"/>
      <c r="J40" s="157"/>
      <c r="K40" s="157"/>
      <c r="L40" s="70">
        <f>G50</f>
        <v>17226.257998233523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16437.930833374849</v>
      </c>
      <c r="H41" s="156" t="s">
        <v>100</v>
      </c>
      <c r="I41" s="157"/>
      <c r="J41" s="157"/>
      <c r="K41" s="157"/>
      <c r="L41" s="72">
        <f>L39/L40</f>
        <v>0.95423688853728339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38.061129600000001</v>
      </c>
      <c r="D44" s="5" t="s">
        <v>86</v>
      </c>
      <c r="E44" s="5">
        <f>+L7</f>
        <v>76.2</v>
      </c>
      <c r="F44" s="5">
        <v>0.68</v>
      </c>
      <c r="G44" s="34">
        <f>F44*E44*C44*B44</f>
        <v>236.66105896243201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3</v>
      </c>
      <c r="D45" s="5" t="s">
        <v>90</v>
      </c>
      <c r="E45" s="5">
        <v>160</v>
      </c>
      <c r="F45" s="5"/>
      <c r="G45" s="30">
        <f>E45*C45</f>
        <v>480</v>
      </c>
      <c r="H45" s="156" t="s">
        <v>108</v>
      </c>
      <c r="I45" s="157"/>
      <c r="J45" s="157"/>
      <c r="K45" s="157"/>
      <c r="L45" s="77">
        <f>L39/(L44*1.08)</f>
        <v>891.53621879093998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716.66105896243198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71.666105896243195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788.32716485867513</v>
      </c>
      <c r="H49" s="9" t="s">
        <v>113</v>
      </c>
      <c r="I49" s="79"/>
      <c r="J49" s="79"/>
      <c r="K49" s="79"/>
      <c r="L49" s="55">
        <f>N34</f>
        <v>2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17226.257998233523</v>
      </c>
      <c r="H50" s="156" t="s">
        <v>114</v>
      </c>
      <c r="I50" s="157"/>
      <c r="J50" s="157"/>
      <c r="K50" s="157"/>
      <c r="L50" s="31">
        <f>L45</f>
        <v>891.53621879093998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1.6814329357532096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891.53621879093998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38.061129600000001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1215.422798413824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38.061129600000001</v>
      </c>
      <c r="D55" s="5" t="s">
        <v>86</v>
      </c>
      <c r="E55" s="5">
        <f>+L7</f>
        <v>76.2</v>
      </c>
      <c r="F55" s="5">
        <v>0.68</v>
      </c>
      <c r="G55" s="34">
        <f>F55*E55*C55*B55</f>
        <v>1735.5144323911682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20177.195229038516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1.6814329357532096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s="137" customFormat="1" x14ac:dyDescent="0.3">
      <c r="A63" s="136"/>
      <c r="B63" s="136" t="s">
        <v>188</v>
      </c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N63" s="138"/>
      <c r="O63" s="138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>
    <pageSetUpPr fitToPage="1"/>
  </sheetPr>
  <dimension ref="A1:S67"/>
  <sheetViews>
    <sheetView view="pageBreakPreview" zoomScale="70" zoomScaleNormal="100" zoomScaleSheetLayoutView="70" workbookViewId="0">
      <selection activeCell="G63" sqref="G63:H63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5.8</v>
      </c>
      <c r="O3" s="7">
        <f>N3*3.28</f>
        <v>19.023999999999997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5.5</v>
      </c>
      <c r="O4" s="7">
        <f>N4*3.28</f>
        <v>18.04</v>
      </c>
      <c r="P4" s="8"/>
      <c r="Q4" s="8"/>
    </row>
    <row r="5" spans="1:19" x14ac:dyDescent="0.3">
      <c r="A5" s="9" t="s">
        <v>17</v>
      </c>
      <c r="B5" s="5"/>
      <c r="C5" s="162" t="s">
        <v>162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19.023999999999997</v>
      </c>
      <c r="D7" s="19">
        <f>+N8</f>
        <v>18.04</v>
      </c>
      <c r="E7" s="20">
        <f>+N9</f>
        <v>343.19295999999991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19.023999999999997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18.04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343.19295999999991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3939.8551807999984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0</v>
      </c>
      <c r="M11" s="25" t="s">
        <v>43</v>
      </c>
      <c r="N11" s="27">
        <v>0</v>
      </c>
      <c r="P11" s="36" t="s">
        <v>46</v>
      </c>
      <c r="Q11" s="37">
        <v>7.5</v>
      </c>
      <c r="R11" s="32"/>
    </row>
    <row r="12" spans="1:19" x14ac:dyDescent="0.3">
      <c r="A12" s="156" t="s">
        <v>47</v>
      </c>
      <c r="B12" s="157"/>
      <c r="C12" s="19">
        <f>+N12</f>
        <v>0</v>
      </c>
      <c r="D12" s="5" t="s">
        <v>44</v>
      </c>
      <c r="E12" s="5">
        <v>12</v>
      </c>
      <c r="F12" s="33">
        <v>0.56000000000000005</v>
      </c>
      <c r="G12" s="34">
        <f>F12*E12*C12</f>
        <v>0</v>
      </c>
      <c r="H12" s="9" t="s">
        <v>48</v>
      </c>
      <c r="I12" s="5"/>
      <c r="J12" s="5"/>
      <c r="K12" s="5"/>
      <c r="L12" s="31">
        <f>+Q17</f>
        <v>65.769050879999995</v>
      </c>
      <c r="M12" s="25" t="s">
        <v>47</v>
      </c>
      <c r="N12" s="38">
        <v>0</v>
      </c>
      <c r="P12" s="32" t="s">
        <v>49</v>
      </c>
      <c r="Q12" s="39">
        <f>+Q11*C35</f>
        <v>30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9" t="s">
        <v>51</v>
      </c>
      <c r="I13" s="19">
        <f>N26</f>
        <v>4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0</v>
      </c>
      <c r="M14" s="25" t="s">
        <v>54</v>
      </c>
      <c r="N14" s="27">
        <v>0</v>
      </c>
      <c r="P14" s="29" t="s">
        <v>56</v>
      </c>
      <c r="Q14" s="27">
        <f>+Q13*E7</f>
        <v>20.591577599999994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50.591577599999994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v>0</v>
      </c>
      <c r="O16" s="40"/>
      <c r="P16" s="48" t="s">
        <v>61</v>
      </c>
      <c r="Q16" s="27">
        <f>Q15*30%</f>
        <v>15.177473279999997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65.769050879999995</v>
      </c>
      <c r="R17" s="29"/>
    </row>
    <row r="18" spans="1:18" x14ac:dyDescent="0.3">
      <c r="A18" s="156" t="s">
        <v>60</v>
      </c>
      <c r="B18" s="157"/>
      <c r="C18" s="19">
        <f>+N16</f>
        <v>0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0</v>
      </c>
      <c r="H18" s="9"/>
      <c r="I18" s="5"/>
      <c r="J18" s="5"/>
      <c r="K18" s="5"/>
      <c r="L18" s="6"/>
      <c r="M18" s="25" t="s">
        <v>64</v>
      </c>
      <c r="N18" s="27"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9"/>
      <c r="I19" s="5"/>
      <c r="J19" s="5"/>
      <c r="K19" s="47"/>
      <c r="L19" s="31"/>
      <c r="M19" s="25" t="s">
        <v>65</v>
      </c>
      <c r="N19" s="27">
        <f>N9</f>
        <v>343.19295999999991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9"/>
      <c r="I20" s="5"/>
      <c r="J20" s="5"/>
      <c r="K20" s="47"/>
      <c r="L20" s="31"/>
      <c r="M20" s="25" t="s">
        <v>66</v>
      </c>
      <c r="N20" s="27">
        <f>+N11+N12+N13+N14</f>
        <v>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343.19295999999991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7358.0570623999974</v>
      </c>
      <c r="H21" s="9"/>
      <c r="I21" s="5"/>
      <c r="J21" s="21"/>
      <c r="K21" s="47"/>
      <c r="L21" s="31"/>
      <c r="M21" s="52" t="s">
        <v>69</v>
      </c>
      <c r="N21" s="53">
        <f>Q25</f>
        <v>512.09983999999986</v>
      </c>
      <c r="P21" s="49" t="s">
        <v>70</v>
      </c>
      <c r="Q21" s="27">
        <f>2*3.28*N10</f>
        <v>75.308799999999991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f>N7*N10</f>
        <v>218.39551999999995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f>N7*N10</f>
        <v>218.39551999999995</v>
      </c>
      <c r="R23" s="4">
        <v>0</v>
      </c>
    </row>
    <row r="24" spans="1:18" x14ac:dyDescent="0.3">
      <c r="A24" s="156" t="s">
        <v>76</v>
      </c>
      <c r="B24" s="157"/>
      <c r="C24" s="19">
        <f>N20</f>
        <v>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0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v>0</v>
      </c>
      <c r="R24" s="4">
        <v>0</v>
      </c>
    </row>
    <row r="25" spans="1:18" x14ac:dyDescent="0.3">
      <c r="A25" s="156" t="s">
        <v>69</v>
      </c>
      <c r="B25" s="157"/>
      <c r="C25" s="19">
        <f>+N21</f>
        <v>512.09983999999986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5858.4221695999968</v>
      </c>
      <c r="H25" s="179"/>
      <c r="I25" s="180"/>
      <c r="J25" s="180"/>
      <c r="K25" s="180"/>
      <c r="L25" s="181"/>
      <c r="M25" s="25" t="s">
        <v>79</v>
      </c>
      <c r="N25" s="27">
        <f>C32</f>
        <v>65.769050879999995</v>
      </c>
      <c r="O25" s="57"/>
      <c r="P25" s="58" t="s">
        <v>80</v>
      </c>
      <c r="Q25" s="27">
        <f>SUM(Q21:Q24)</f>
        <v>512.09983999999986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SUMMARY!I36</f>
        <v>4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SUMMARY!H36</f>
        <v>0.5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343.19295999999991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2.1467745369359408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65.769050879999995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286.39527820001274</v>
      </c>
      <c r="H32" s="9"/>
      <c r="I32" s="5"/>
      <c r="J32" s="5"/>
      <c r="K32" s="47"/>
      <c r="L32" s="63"/>
      <c r="M32" s="50" t="s">
        <v>87</v>
      </c>
      <c r="N32" s="46">
        <f>+L45</f>
        <v>1058.0612066224421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2</v>
      </c>
    </row>
    <row r="35" spans="1:15" x14ac:dyDescent="0.3">
      <c r="A35" s="156" t="s">
        <v>81</v>
      </c>
      <c r="B35" s="157"/>
      <c r="C35" s="19">
        <f>I13</f>
        <v>4</v>
      </c>
      <c r="D35" s="5" t="s">
        <v>90</v>
      </c>
      <c r="E35" s="5">
        <v>240</v>
      </c>
      <c r="F35" s="5"/>
      <c r="G35" s="34">
        <f>E35*C35</f>
        <v>960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0.5</v>
      </c>
      <c r="D36" s="5" t="s">
        <v>91</v>
      </c>
      <c r="E36" s="5">
        <v>3413</v>
      </c>
      <c r="F36" s="5">
        <v>1</v>
      </c>
      <c r="G36" s="34">
        <f>F36*E36*C36</f>
        <v>1706.5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343.19295999999991</v>
      </c>
      <c r="D37" s="5" t="s">
        <v>92</v>
      </c>
      <c r="E37" s="5">
        <v>3.4129999999999998</v>
      </c>
      <c r="F37" s="5"/>
      <c r="G37" s="34">
        <f>+E37*C37</f>
        <v>1171.3175724799996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17340.692082680005</v>
      </c>
      <c r="H39" s="156" t="s">
        <v>97</v>
      </c>
      <c r="I39" s="157"/>
      <c r="J39" s="157"/>
      <c r="K39" s="157"/>
      <c r="L39" s="69">
        <f>G41</f>
        <v>19508.278593015006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2167.5865103350006</v>
      </c>
      <c r="H40" s="156" t="s">
        <v>99</v>
      </c>
      <c r="I40" s="157"/>
      <c r="J40" s="157"/>
      <c r="K40" s="157"/>
      <c r="L40" s="70">
        <f>G50</f>
        <v>20662.119959547552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19508.278593015006</v>
      </c>
      <c r="H41" s="156" t="s">
        <v>100</v>
      </c>
      <c r="I41" s="157"/>
      <c r="J41" s="157"/>
      <c r="K41" s="157"/>
      <c r="L41" s="72">
        <f>L39/L40</f>
        <v>0.94415668049592472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65.769050879999995</v>
      </c>
      <c r="D44" s="5" t="s">
        <v>86</v>
      </c>
      <c r="E44" s="5">
        <f>+L7</f>
        <v>76.2</v>
      </c>
      <c r="F44" s="5">
        <v>0.68</v>
      </c>
      <c r="G44" s="34">
        <f>F44*E44*C44*B44</f>
        <v>408.94669684776954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4</v>
      </c>
      <c r="D45" s="5" t="s">
        <v>90</v>
      </c>
      <c r="E45" s="5">
        <v>160</v>
      </c>
      <c r="F45" s="5"/>
      <c r="G45" s="30">
        <f>E45*C45</f>
        <v>640</v>
      </c>
      <c r="H45" s="156" t="s">
        <v>108</v>
      </c>
      <c r="I45" s="157"/>
      <c r="J45" s="157"/>
      <c r="K45" s="157"/>
      <c r="L45" s="77">
        <f>L39/(L44*1.08)</f>
        <v>1058.0612066224421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1048.9466968477695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104.89466968477696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1153.8413665325465</v>
      </c>
      <c r="H49" s="9" t="s">
        <v>113</v>
      </c>
      <c r="I49" s="79"/>
      <c r="J49" s="79"/>
      <c r="K49" s="79"/>
      <c r="L49" s="55">
        <f>N34</f>
        <v>2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20662.119959547552</v>
      </c>
      <c r="H50" s="156" t="s">
        <v>114</v>
      </c>
      <c r="I50" s="157"/>
      <c r="J50" s="157"/>
      <c r="K50" s="157"/>
      <c r="L50" s="31">
        <f>L45</f>
        <v>1058.0612066224421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2.1467745369359408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1058.0612066224421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65.769050879999995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2100.2320401334268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65.769050879999995</v>
      </c>
      <c r="D55" s="5" t="s">
        <v>86</v>
      </c>
      <c r="E55" s="5">
        <f>+L7</f>
        <v>76.2</v>
      </c>
      <c r="F55" s="5">
        <v>0.68</v>
      </c>
      <c r="G55" s="34">
        <f>F55*E55*C55*B55</f>
        <v>2998.9424435503101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25761.294443231287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2.1467745369359408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s="137" customFormat="1" x14ac:dyDescent="0.3">
      <c r="A63" s="136"/>
      <c r="B63" s="136" t="s">
        <v>188</v>
      </c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N63" s="138"/>
      <c r="O63" s="138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8">
    <pageSetUpPr fitToPage="1"/>
  </sheetPr>
  <dimension ref="A1:S67"/>
  <sheetViews>
    <sheetView view="pageBreakPreview" zoomScale="70" zoomScaleNormal="100" zoomScaleSheetLayoutView="70" workbookViewId="0">
      <selection activeCell="K66" sqref="K66:L66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5.8</v>
      </c>
      <c r="O3" s="7">
        <f>N3*3.28</f>
        <v>19.023999999999997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3</v>
      </c>
      <c r="O4" s="7">
        <f>N4*3.28</f>
        <v>9.84</v>
      </c>
      <c r="P4" s="8"/>
      <c r="Q4" s="8"/>
    </row>
    <row r="5" spans="1:19" x14ac:dyDescent="0.3">
      <c r="A5" s="9" t="s">
        <v>17</v>
      </c>
      <c r="B5" s="5"/>
      <c r="C5" s="162" t="s">
        <v>163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19.023999999999997</v>
      </c>
      <c r="D7" s="19">
        <f>+N8</f>
        <v>9.84</v>
      </c>
      <c r="E7" s="20">
        <f>+N9</f>
        <v>187.19615999999996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19.023999999999997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9.84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187.19615999999996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2149.0119167999992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0</v>
      </c>
      <c r="M11" s="25" t="s">
        <v>43</v>
      </c>
      <c r="N11" s="27">
        <v>0</v>
      </c>
      <c r="P11" s="36" t="s">
        <v>46</v>
      </c>
      <c r="Q11" s="37">
        <v>7.5</v>
      </c>
      <c r="R11" s="32"/>
    </row>
    <row r="12" spans="1:19" x14ac:dyDescent="0.3">
      <c r="A12" s="156" t="s">
        <v>47</v>
      </c>
      <c r="B12" s="157"/>
      <c r="C12" s="19">
        <f>+N12</f>
        <v>0</v>
      </c>
      <c r="D12" s="5" t="s">
        <v>44</v>
      </c>
      <c r="E12" s="5">
        <v>12</v>
      </c>
      <c r="F12" s="33">
        <v>0.56000000000000005</v>
      </c>
      <c r="G12" s="34">
        <f>F12*E12*C12</f>
        <v>0</v>
      </c>
      <c r="H12" s="9" t="s">
        <v>48</v>
      </c>
      <c r="I12" s="5"/>
      <c r="J12" s="5"/>
      <c r="K12" s="5"/>
      <c r="L12" s="31">
        <f>+Q17</f>
        <v>34.101300479999999</v>
      </c>
      <c r="M12" s="25" t="s">
        <v>47</v>
      </c>
      <c r="N12" s="38">
        <v>0</v>
      </c>
      <c r="P12" s="32" t="s">
        <v>49</v>
      </c>
      <c r="Q12" s="39">
        <f>+Q11*C35</f>
        <v>15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9" t="s">
        <v>51</v>
      </c>
      <c r="I13" s="19">
        <f>N26</f>
        <v>2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0</v>
      </c>
      <c r="M14" s="25" t="s">
        <v>54</v>
      </c>
      <c r="N14" s="27">
        <v>0</v>
      </c>
      <c r="P14" s="29" t="s">
        <v>56</v>
      </c>
      <c r="Q14" s="27">
        <f>+Q13*E7</f>
        <v>11.231769599999998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26.2317696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v>0</v>
      </c>
      <c r="O16" s="40"/>
      <c r="P16" s="48" t="s">
        <v>61</v>
      </c>
      <c r="Q16" s="27">
        <f>Q15*30%</f>
        <v>7.8695308799999992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34.101300479999999</v>
      </c>
      <c r="R17" s="29"/>
    </row>
    <row r="18" spans="1:18" x14ac:dyDescent="0.3">
      <c r="A18" s="156" t="s">
        <v>60</v>
      </c>
      <c r="B18" s="157"/>
      <c r="C18" s="19">
        <f>+N16</f>
        <v>0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0</v>
      </c>
      <c r="H18" s="9"/>
      <c r="I18" s="5"/>
      <c r="J18" s="5"/>
      <c r="K18" s="5"/>
      <c r="L18" s="6"/>
      <c r="M18" s="25" t="s">
        <v>64</v>
      </c>
      <c r="N18" s="27">
        <f>N88</f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9"/>
      <c r="I19" s="5"/>
      <c r="J19" s="5"/>
      <c r="K19" s="47"/>
      <c r="L19" s="31"/>
      <c r="M19" s="25" t="s">
        <v>65</v>
      </c>
      <c r="N19" s="27">
        <f>N9</f>
        <v>187.19615999999996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9"/>
      <c r="I20" s="5"/>
      <c r="J20" s="5"/>
      <c r="K20" s="47"/>
      <c r="L20" s="31"/>
      <c r="M20" s="25" t="s">
        <v>66</v>
      </c>
      <c r="N20" s="27">
        <f>+N11+N12+N13+N14</f>
        <v>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187.19615999999996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4013.485670399999</v>
      </c>
      <c r="H21" s="9"/>
      <c r="I21" s="5"/>
      <c r="J21" s="21"/>
      <c r="K21" s="47"/>
      <c r="L21" s="31"/>
      <c r="M21" s="52" t="s">
        <v>69</v>
      </c>
      <c r="N21" s="53">
        <f>Q25</f>
        <v>549.75423999999987</v>
      </c>
      <c r="P21" s="49" t="s">
        <v>70</v>
      </c>
      <c r="Q21" s="27">
        <f>N8*N10</f>
        <v>112.96319999999999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f>N7*N10</f>
        <v>218.39551999999995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f>N7*N10</f>
        <v>218.39551999999995</v>
      </c>
      <c r="R23" s="4">
        <v>0</v>
      </c>
    </row>
    <row r="24" spans="1:18" x14ac:dyDescent="0.3">
      <c r="A24" s="156" t="s">
        <v>76</v>
      </c>
      <c r="B24" s="157"/>
      <c r="C24" s="19">
        <f>N20</f>
        <v>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0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v>0</v>
      </c>
      <c r="R24" s="4">
        <v>0</v>
      </c>
    </row>
    <row r="25" spans="1:18" x14ac:dyDescent="0.3">
      <c r="A25" s="156" t="s">
        <v>69</v>
      </c>
      <c r="B25" s="157"/>
      <c r="C25" s="19">
        <f>+N21</f>
        <v>549.75423999999987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6289.1885055999974</v>
      </c>
      <c r="H25" s="179"/>
      <c r="I25" s="180"/>
      <c r="J25" s="180"/>
      <c r="K25" s="180"/>
      <c r="L25" s="181"/>
      <c r="M25" s="25" t="s">
        <v>79</v>
      </c>
      <c r="N25" s="27">
        <f>C32</f>
        <v>34.101300479999999</v>
      </c>
      <c r="O25" s="57"/>
      <c r="P25" s="58" t="s">
        <v>80</v>
      </c>
      <c r="Q25" s="27">
        <f>SUM(Q21:Q24)</f>
        <v>549.75423999999987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SUMMARY!I37</f>
        <v>2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SUMMARY!H37</f>
        <v>0.2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187.19615999999996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1.4177852847529375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34.101300479999999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148.49615901818876</v>
      </c>
      <c r="H32" s="9"/>
      <c r="I32" s="5"/>
      <c r="J32" s="5"/>
      <c r="K32" s="47"/>
      <c r="L32" s="63"/>
      <c r="M32" s="50" t="s">
        <v>87</v>
      </c>
      <c r="N32" s="46">
        <f>+L45</f>
        <v>747.61005039307668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1.5</v>
      </c>
    </row>
    <row r="35" spans="1:15" x14ac:dyDescent="0.3">
      <c r="A35" s="156" t="s">
        <v>81</v>
      </c>
      <c r="B35" s="157"/>
      <c r="C35" s="19">
        <f>I13</f>
        <v>2</v>
      </c>
      <c r="D35" s="5" t="s">
        <v>90</v>
      </c>
      <c r="E35" s="5">
        <v>240</v>
      </c>
      <c r="F35" s="5"/>
      <c r="G35" s="34">
        <f>E35*C35</f>
        <v>480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0.2</v>
      </c>
      <c r="D36" s="5" t="s">
        <v>91</v>
      </c>
      <c r="E36" s="5">
        <v>3413</v>
      </c>
      <c r="F36" s="5">
        <v>1</v>
      </c>
      <c r="G36" s="34">
        <f>F36*E36*C36</f>
        <v>682.6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187.19615999999996</v>
      </c>
      <c r="D37" s="5" t="s">
        <v>92</v>
      </c>
      <c r="E37" s="5">
        <v>3.4129999999999998</v>
      </c>
      <c r="F37" s="5"/>
      <c r="G37" s="34">
        <f>+E37*C37</f>
        <v>638.90049407999982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12252.670829098186</v>
      </c>
      <c r="H39" s="156" t="s">
        <v>97</v>
      </c>
      <c r="I39" s="157"/>
      <c r="J39" s="157"/>
      <c r="K39" s="157"/>
      <c r="L39" s="69">
        <f>G41</f>
        <v>13784.25468273546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1531.5838536372733</v>
      </c>
      <c r="H40" s="156" t="s">
        <v>99</v>
      </c>
      <c r="I40" s="157"/>
      <c r="J40" s="157"/>
      <c r="K40" s="157"/>
      <c r="L40" s="70">
        <f>G50</f>
        <v>14369.497756844121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13784.25468273546</v>
      </c>
      <c r="H41" s="156" t="s">
        <v>100</v>
      </c>
      <c r="I41" s="157"/>
      <c r="J41" s="157"/>
      <c r="K41" s="157"/>
      <c r="L41" s="72">
        <f>L39/L40</f>
        <v>0.95927184902270424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34.101300479999999</v>
      </c>
      <c r="D44" s="5" t="s">
        <v>86</v>
      </c>
      <c r="E44" s="5">
        <f>+L7</f>
        <v>76.2</v>
      </c>
      <c r="F44" s="5">
        <v>0.68</v>
      </c>
      <c r="G44" s="34">
        <f>F44*E44*C44*B44</f>
        <v>212.03915828060161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2</v>
      </c>
      <c r="D45" s="5" t="s">
        <v>90</v>
      </c>
      <c r="E45" s="5">
        <v>160</v>
      </c>
      <c r="F45" s="5"/>
      <c r="G45" s="30">
        <f>E45*C45</f>
        <v>320</v>
      </c>
      <c r="H45" s="156" t="s">
        <v>108</v>
      </c>
      <c r="I45" s="157"/>
      <c r="J45" s="157"/>
      <c r="K45" s="157"/>
      <c r="L45" s="77">
        <f>L39/(L44*1.08)</f>
        <v>747.61005039307668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532.03915828060167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53.203915828060168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585.24307410866186</v>
      </c>
      <c r="H49" s="9" t="s">
        <v>113</v>
      </c>
      <c r="I49" s="79"/>
      <c r="J49" s="79"/>
      <c r="K49" s="79"/>
      <c r="L49" s="55">
        <f>N34</f>
        <v>1.5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14369.497756844121</v>
      </c>
      <c r="H50" s="156" t="s">
        <v>114</v>
      </c>
      <c r="I50" s="157"/>
      <c r="J50" s="157"/>
      <c r="K50" s="157"/>
      <c r="L50" s="31">
        <f>L45</f>
        <v>747.61005039307668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1.4177852847529375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747.61005039307668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34.101300479999999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1088.9718328000511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34.101300479999999</v>
      </c>
      <c r="D55" s="5" t="s">
        <v>86</v>
      </c>
      <c r="E55" s="5">
        <f>+L7</f>
        <v>76.2</v>
      </c>
      <c r="F55" s="5">
        <v>0.68</v>
      </c>
      <c r="G55" s="34">
        <f>F55*E55*C55*B55</f>
        <v>1554.9538273910784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17013.42341703525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1.4177852847529375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s="137" customFormat="1" x14ac:dyDescent="0.3">
      <c r="A63" s="136"/>
      <c r="B63" s="136" t="s">
        <v>188</v>
      </c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N63" s="138"/>
      <c r="O63" s="138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9">
    <pageSetUpPr fitToPage="1"/>
  </sheetPr>
  <dimension ref="A1:S67"/>
  <sheetViews>
    <sheetView view="pageBreakPreview" zoomScale="70" zoomScaleNormal="100" zoomScaleSheetLayoutView="70" workbookViewId="0">
      <selection activeCell="M57" sqref="M57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6.8</v>
      </c>
      <c r="O3" s="7">
        <f>N3*3.28</f>
        <v>22.303999999999998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5.9</v>
      </c>
      <c r="O4" s="7">
        <f>N4*3.28</f>
        <v>19.352</v>
      </c>
      <c r="P4" s="8"/>
      <c r="Q4" s="8"/>
    </row>
    <row r="5" spans="1:19" x14ac:dyDescent="0.3">
      <c r="A5" s="9" t="s">
        <v>17</v>
      </c>
      <c r="B5" s="5"/>
      <c r="C5" s="162" t="s">
        <v>164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22.303999999999998</v>
      </c>
      <c r="D7" s="19">
        <f>+N8</f>
        <v>19.352</v>
      </c>
      <c r="E7" s="20">
        <f>+N9</f>
        <v>431.62700799999999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22.303999999999998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19.352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431.62700799999999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4955.0780518399997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0</v>
      </c>
      <c r="M11" s="25" t="s">
        <v>43</v>
      </c>
      <c r="N11" s="27">
        <v>0</v>
      </c>
      <c r="P11" s="36" t="s">
        <v>46</v>
      </c>
      <c r="Q11" s="37">
        <v>5</v>
      </c>
      <c r="R11" s="32"/>
    </row>
    <row r="12" spans="1:19" x14ac:dyDescent="0.3">
      <c r="A12" s="156" t="s">
        <v>47</v>
      </c>
      <c r="B12" s="157"/>
      <c r="C12" s="19">
        <f>+N12</f>
        <v>0</v>
      </c>
      <c r="D12" s="5" t="s">
        <v>44</v>
      </c>
      <c r="E12" s="5">
        <v>12</v>
      </c>
      <c r="F12" s="33">
        <v>0.56000000000000005</v>
      </c>
      <c r="G12" s="34">
        <f>F12*E12*C12</f>
        <v>0</v>
      </c>
      <c r="H12" s="9" t="s">
        <v>48</v>
      </c>
      <c r="I12" s="5"/>
      <c r="J12" s="5"/>
      <c r="K12" s="5"/>
      <c r="L12" s="31">
        <f>+Q17</f>
        <v>66.166906624000006</v>
      </c>
      <c r="M12" s="25" t="s">
        <v>47</v>
      </c>
      <c r="N12" s="38">
        <v>0</v>
      </c>
      <c r="P12" s="32" t="s">
        <v>49</v>
      </c>
      <c r="Q12" s="39">
        <f>+Q11*C35</f>
        <v>25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9" t="s">
        <v>51</v>
      </c>
      <c r="I13" s="19">
        <f>N26</f>
        <v>5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0</v>
      </c>
      <c r="M14" s="25" t="s">
        <v>54</v>
      </c>
      <c r="N14" s="27">
        <v>0</v>
      </c>
      <c r="P14" s="29" t="s">
        <v>56</v>
      </c>
      <c r="Q14" s="27">
        <f>+Q13*E7</f>
        <v>25.897620479999997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50.89762048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v>0</v>
      </c>
      <c r="O16" s="40"/>
      <c r="P16" s="48" t="s">
        <v>61</v>
      </c>
      <c r="Q16" s="27">
        <f>Q15*30%</f>
        <v>15.269286143999999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66.166906624000006</v>
      </c>
      <c r="R17" s="29"/>
    </row>
    <row r="18" spans="1:18" x14ac:dyDescent="0.3">
      <c r="A18" s="156" t="s">
        <v>60</v>
      </c>
      <c r="B18" s="157"/>
      <c r="C18" s="19">
        <f>+N16</f>
        <v>0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0</v>
      </c>
      <c r="H18" s="9"/>
      <c r="I18" s="5"/>
      <c r="J18" s="5"/>
      <c r="K18" s="5"/>
      <c r="L18" s="6"/>
      <c r="M18" s="25" t="s">
        <v>64</v>
      </c>
      <c r="N18" s="27">
        <f>N88</f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9"/>
      <c r="I19" s="5"/>
      <c r="J19" s="5"/>
      <c r="K19" s="47"/>
      <c r="L19" s="31"/>
      <c r="M19" s="25" t="s">
        <v>65</v>
      </c>
      <c r="N19" s="27">
        <f>N9</f>
        <v>431.62700799999999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9"/>
      <c r="I20" s="5"/>
      <c r="J20" s="5"/>
      <c r="K20" s="47"/>
      <c r="L20" s="31"/>
      <c r="M20" s="25" t="s">
        <v>66</v>
      </c>
      <c r="N20" s="27">
        <f>+N11+N12+N13+N14</f>
        <v>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431.62700799999999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9254.0830515199996</v>
      </c>
      <c r="H21" s="9"/>
      <c r="I21" s="5"/>
      <c r="J21" s="21"/>
      <c r="K21" s="47"/>
      <c r="L21" s="31"/>
      <c r="M21" s="52" t="s">
        <v>69</v>
      </c>
      <c r="N21" s="53">
        <f>Q25</f>
        <v>267.34623999999997</v>
      </c>
      <c r="P21" s="49" t="s">
        <v>70</v>
      </c>
      <c r="Q21" s="27">
        <f>1.2*3.28*N10</f>
        <v>45.185279999999992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v>0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108">
        <f>N8*N10</f>
        <v>222.16095999999999</v>
      </c>
      <c r="R23" s="4">
        <v>0</v>
      </c>
    </row>
    <row r="24" spans="1:18" x14ac:dyDescent="0.3">
      <c r="A24" s="156" t="s">
        <v>76</v>
      </c>
      <c r="B24" s="157"/>
      <c r="C24" s="19">
        <f>N20</f>
        <v>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0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v>0</v>
      </c>
      <c r="R24" s="4">
        <v>0</v>
      </c>
    </row>
    <row r="25" spans="1:18" x14ac:dyDescent="0.3">
      <c r="A25" s="156" t="s">
        <v>69</v>
      </c>
      <c r="B25" s="157"/>
      <c r="C25" s="19">
        <f>+N21</f>
        <v>267.34623999999997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3058.4409855999988</v>
      </c>
      <c r="H25" s="179"/>
      <c r="I25" s="180"/>
      <c r="J25" s="180"/>
      <c r="K25" s="180"/>
      <c r="L25" s="181"/>
      <c r="M25" s="25" t="s">
        <v>79</v>
      </c>
      <c r="N25" s="27">
        <f>C32</f>
        <v>66.166906624000006</v>
      </c>
      <c r="O25" s="57"/>
      <c r="P25" s="58" t="s">
        <v>80</v>
      </c>
      <c r="Q25" s="27">
        <f>SUM(Q21:Q24)</f>
        <v>267.34623999999997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SUMMARY!I38</f>
        <v>5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SUMMARY!H38</f>
        <v>2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431.62700799999999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2.6104043797808347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66.166906624000006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288.12776490860546</v>
      </c>
      <c r="H32" s="9"/>
      <c r="I32" s="5"/>
      <c r="J32" s="5"/>
      <c r="K32" s="47"/>
      <c r="L32" s="63"/>
      <c r="M32" s="50" t="s">
        <v>87</v>
      </c>
      <c r="N32" s="46">
        <f>+L45</f>
        <v>1348.4430390608277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2.5</v>
      </c>
    </row>
    <row r="35" spans="1:15" x14ac:dyDescent="0.3">
      <c r="A35" s="156" t="s">
        <v>81</v>
      </c>
      <c r="B35" s="157"/>
      <c r="C35" s="19">
        <f>I13</f>
        <v>5</v>
      </c>
      <c r="D35" s="5" t="s">
        <v>90</v>
      </c>
      <c r="E35" s="5">
        <v>240</v>
      </c>
      <c r="F35" s="5"/>
      <c r="G35" s="34">
        <f>E35*C35</f>
        <v>1200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2</v>
      </c>
      <c r="D36" s="5" t="s">
        <v>91</v>
      </c>
      <c r="E36" s="5">
        <v>3413</v>
      </c>
      <c r="F36" s="5">
        <v>1</v>
      </c>
      <c r="G36" s="34">
        <f>F36*E36*C36</f>
        <v>6826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431.62700799999999</v>
      </c>
      <c r="D37" s="5" t="s">
        <v>92</v>
      </c>
      <c r="E37" s="5">
        <v>3.4129999999999998</v>
      </c>
      <c r="F37" s="5"/>
      <c r="G37" s="34">
        <f>+E37*C37</f>
        <v>1473.1429783039998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22099.794780332602</v>
      </c>
      <c r="H39" s="156" t="s">
        <v>97</v>
      </c>
      <c r="I39" s="157"/>
      <c r="J39" s="157"/>
      <c r="K39" s="157"/>
      <c r="L39" s="69">
        <f>G41</f>
        <v>24862.269127874177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2762.4743475415753</v>
      </c>
      <c r="H40" s="156" t="s">
        <v>99</v>
      </c>
      <c r="I40" s="157"/>
      <c r="J40" s="157"/>
      <c r="K40" s="157"/>
      <c r="L40" s="70">
        <f>G50</f>
        <v>26194.831713113228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24862.269127874177</v>
      </c>
      <c r="H41" s="156" t="s">
        <v>100</v>
      </c>
      <c r="I41" s="157"/>
      <c r="J41" s="157"/>
      <c r="K41" s="157"/>
      <c r="L41" s="72">
        <f>L39/L40</f>
        <v>0.94912879762567948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66.166906624000006</v>
      </c>
      <c r="D44" s="5" t="s">
        <v>86</v>
      </c>
      <c r="E44" s="5">
        <f>+L7</f>
        <v>76.2</v>
      </c>
      <c r="F44" s="5">
        <v>0.68</v>
      </c>
      <c r="G44" s="34">
        <f>F44*E44*C44*B44</f>
        <v>411.42053203550211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5</v>
      </c>
      <c r="D45" s="5" t="s">
        <v>90</v>
      </c>
      <c r="E45" s="5">
        <v>160</v>
      </c>
      <c r="F45" s="5"/>
      <c r="G45" s="30">
        <f>E45*C45</f>
        <v>800</v>
      </c>
      <c r="H45" s="156" t="s">
        <v>108</v>
      </c>
      <c r="I45" s="157"/>
      <c r="J45" s="157"/>
      <c r="K45" s="157"/>
      <c r="L45" s="77">
        <f>L39/(L44*1.08)</f>
        <v>1348.4430390608277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1211.4205320355022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121.14205320355023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1332.5625852390524</v>
      </c>
      <c r="H49" s="9" t="s">
        <v>113</v>
      </c>
      <c r="I49" s="79"/>
      <c r="J49" s="79"/>
      <c r="K49" s="79"/>
      <c r="L49" s="55">
        <f>N34</f>
        <v>2.5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26194.831713113228</v>
      </c>
      <c r="H50" s="156" t="s">
        <v>114</v>
      </c>
      <c r="I50" s="157"/>
      <c r="J50" s="157"/>
      <c r="K50" s="157"/>
      <c r="L50" s="31">
        <f>L45</f>
        <v>1348.4430390608277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2.6104043797808347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1348.4430390608277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66.166906624000006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2112.9369426631065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66.166906624000006</v>
      </c>
      <c r="D55" s="5" t="s">
        <v>86</v>
      </c>
      <c r="E55" s="5">
        <f>+L7</f>
        <v>76.2</v>
      </c>
      <c r="F55" s="5">
        <v>0.68</v>
      </c>
      <c r="G55" s="34">
        <f>F55*E55*C55*B55</f>
        <v>3017.0839015936822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31324.852557370017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2.6104043797808347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s="137" customFormat="1" x14ac:dyDescent="0.3">
      <c r="A63" s="136"/>
      <c r="B63" s="136" t="s">
        <v>188</v>
      </c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N63" s="138"/>
      <c r="O63" s="138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S67"/>
  <sheetViews>
    <sheetView view="pageBreakPreview" topLeftCell="B1" zoomScale="85" zoomScaleNormal="100" zoomScaleSheetLayoutView="85" workbookViewId="0">
      <selection activeCell="N35" sqref="N35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6.2</v>
      </c>
      <c r="O3" s="7">
        <f>N3*3.28</f>
        <v>20.335999999999999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3</v>
      </c>
      <c r="O4" s="7">
        <f>N4*3.28</f>
        <v>9.84</v>
      </c>
      <c r="P4" s="8"/>
      <c r="Q4" s="8"/>
    </row>
    <row r="5" spans="1:19" x14ac:dyDescent="0.3">
      <c r="A5" s="9" t="s">
        <v>17</v>
      </c>
      <c r="B5" s="5"/>
      <c r="C5" s="162" t="s">
        <v>147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20.335999999999999</v>
      </c>
      <c r="D7" s="19">
        <f>+N8</f>
        <v>9.84</v>
      </c>
      <c r="E7" s="20">
        <f>+N9</f>
        <v>200.10623999999999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20.335999999999999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9.84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200.10623999999999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2297.2196351999996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0</v>
      </c>
      <c r="M11" s="25" t="s">
        <v>43</v>
      </c>
      <c r="N11" s="27">
        <v>0</v>
      </c>
      <c r="P11" s="36" t="s">
        <v>46</v>
      </c>
      <c r="Q11" s="37">
        <v>5</v>
      </c>
      <c r="R11" s="32"/>
    </row>
    <row r="12" spans="1:19" x14ac:dyDescent="0.3">
      <c r="A12" s="156" t="s">
        <v>47</v>
      </c>
      <c r="B12" s="157"/>
      <c r="C12" s="19">
        <f>+N12</f>
        <v>0</v>
      </c>
      <c r="D12" s="5" t="s">
        <v>44</v>
      </c>
      <c r="E12" s="5">
        <v>12</v>
      </c>
      <c r="F12" s="33">
        <v>0.56000000000000005</v>
      </c>
      <c r="G12" s="34">
        <f>F12*E12*C12</f>
        <v>0</v>
      </c>
      <c r="H12" s="9" t="s">
        <v>48</v>
      </c>
      <c r="I12" s="5"/>
      <c r="J12" s="5"/>
      <c r="K12" s="5"/>
      <c r="L12" s="31">
        <f>+Q17</f>
        <v>41.608286719999995</v>
      </c>
      <c r="M12" s="25" t="s">
        <v>47</v>
      </c>
      <c r="N12" s="38">
        <v>0</v>
      </c>
      <c r="P12" s="32" t="s">
        <v>49</v>
      </c>
      <c r="Q12" s="39">
        <f>+Q11*C35</f>
        <v>20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9" t="s">
        <v>51</v>
      </c>
      <c r="I13" s="19">
        <f>N26</f>
        <v>4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0</v>
      </c>
      <c r="M14" s="25" t="s">
        <v>54</v>
      </c>
      <c r="N14" s="27">
        <v>0</v>
      </c>
      <c r="P14" s="29" t="s">
        <v>56</v>
      </c>
      <c r="Q14" s="27">
        <f>+Q13*E7</f>
        <v>12.006374399999999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32.006374399999999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v>0</v>
      </c>
      <c r="O16" s="40"/>
      <c r="P16" s="48" t="s">
        <v>61</v>
      </c>
      <c r="Q16" s="27">
        <f>Q15*30%</f>
        <v>9.6019123199999985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41.608286719999995</v>
      </c>
      <c r="R17" s="29"/>
    </row>
    <row r="18" spans="1:18" x14ac:dyDescent="0.3">
      <c r="A18" s="156" t="s">
        <v>60</v>
      </c>
      <c r="B18" s="157"/>
      <c r="C18" s="19">
        <f>+N16</f>
        <v>0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0</v>
      </c>
      <c r="H18" s="9"/>
      <c r="I18" s="5"/>
      <c r="J18" s="5"/>
      <c r="K18" s="5"/>
      <c r="L18" s="6"/>
      <c r="M18" s="25" t="s">
        <v>64</v>
      </c>
      <c r="N18" s="27">
        <f>(O7-N14)*N13</f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9"/>
      <c r="I19" s="5"/>
      <c r="J19" s="5"/>
      <c r="K19" s="47"/>
      <c r="L19" s="31"/>
      <c r="M19" s="25" t="s">
        <v>65</v>
      </c>
      <c r="N19" s="27">
        <v>0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9"/>
      <c r="I20" s="5"/>
      <c r="J20" s="5"/>
      <c r="K20" s="47"/>
      <c r="L20" s="31"/>
      <c r="M20" s="25" t="s">
        <v>66</v>
      </c>
      <c r="N20" s="27">
        <f>+N11+N12+N13+N14</f>
        <v>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0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0</v>
      </c>
      <c r="H21" s="9"/>
      <c r="I21" s="5"/>
      <c r="J21" s="21"/>
      <c r="K21" s="47"/>
      <c r="L21" s="31"/>
      <c r="M21" s="52" t="s">
        <v>69</v>
      </c>
      <c r="N21" s="53">
        <f>Q25</f>
        <v>459.38367999999991</v>
      </c>
      <c r="P21" s="49" t="s">
        <v>70</v>
      </c>
      <c r="Q21" s="27">
        <f>N8*N10</f>
        <v>112.96319999999999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f>N7*N10</f>
        <v>233.45727999999997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v>0</v>
      </c>
      <c r="R23" s="4">
        <v>0</v>
      </c>
    </row>
    <row r="24" spans="1:18" x14ac:dyDescent="0.3">
      <c r="A24" s="156" t="s">
        <v>76</v>
      </c>
      <c r="B24" s="157"/>
      <c r="C24" s="19">
        <f>N20</f>
        <v>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0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f>N8*N10</f>
        <v>112.96319999999999</v>
      </c>
      <c r="R24" s="4">
        <v>0</v>
      </c>
    </row>
    <row r="25" spans="1:18" x14ac:dyDescent="0.3">
      <c r="A25" s="156" t="s">
        <v>69</v>
      </c>
      <c r="B25" s="157"/>
      <c r="C25" s="19">
        <f>+N21</f>
        <v>459.38367999999991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5255.3492991999983</v>
      </c>
      <c r="H25" s="179"/>
      <c r="I25" s="180"/>
      <c r="J25" s="180"/>
      <c r="K25" s="180"/>
      <c r="L25" s="181"/>
      <c r="M25" s="25" t="s">
        <v>79</v>
      </c>
      <c r="N25" s="27">
        <f>C32</f>
        <v>41.608286719999995</v>
      </c>
      <c r="O25" s="57"/>
      <c r="P25" s="58" t="s">
        <v>80</v>
      </c>
      <c r="Q25" s="27">
        <f>SUM(Q21:Q24)</f>
        <v>459.38367999999991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SUMMARY!I6</f>
        <v>4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SUMMARY!H6</f>
        <v>1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200.10623999999999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1.3348835249152091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41.608286719999995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181.18578101944314</v>
      </c>
      <c r="H32" s="9"/>
      <c r="I32" s="5"/>
      <c r="J32" s="5"/>
      <c r="K32" s="47"/>
      <c r="L32" s="63"/>
      <c r="M32" s="50" t="s">
        <v>87</v>
      </c>
      <c r="N32" s="46">
        <f>+L45</f>
        <v>640.21116919880001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1.5</v>
      </c>
    </row>
    <row r="35" spans="1:15" x14ac:dyDescent="0.3">
      <c r="A35" s="156" t="s">
        <v>81</v>
      </c>
      <c r="B35" s="157"/>
      <c r="C35" s="19">
        <f>I13</f>
        <v>4</v>
      </c>
      <c r="D35" s="5" t="s">
        <v>90</v>
      </c>
      <c r="E35" s="5">
        <v>240</v>
      </c>
      <c r="F35" s="5"/>
      <c r="G35" s="34">
        <f>E35*C35</f>
        <v>960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1</v>
      </c>
      <c r="D36" s="5" t="s">
        <v>91</v>
      </c>
      <c r="E36" s="5">
        <v>3413</v>
      </c>
      <c r="F36" s="5">
        <v>1</v>
      </c>
      <c r="G36" s="34">
        <f>F36*E36*C36</f>
        <v>3413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200.10623999999999</v>
      </c>
      <c r="D37" s="5" t="s">
        <v>92</v>
      </c>
      <c r="E37" s="5">
        <v>3.4129999999999998</v>
      </c>
      <c r="F37" s="5"/>
      <c r="G37" s="34">
        <f>+E37*C37</f>
        <v>682.96259711999994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10492.497677339441</v>
      </c>
      <c r="H39" s="156" t="s">
        <v>97</v>
      </c>
      <c r="I39" s="157"/>
      <c r="J39" s="157"/>
      <c r="K39" s="157"/>
      <c r="L39" s="69">
        <f>G41</f>
        <v>11804.059887006872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1311.5622096674301</v>
      </c>
      <c r="H40" s="156" t="s">
        <v>99</v>
      </c>
      <c r="I40" s="157"/>
      <c r="J40" s="157"/>
      <c r="K40" s="157"/>
      <c r="L40" s="70">
        <f>G50</f>
        <v>12792.648584985096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11804.059887006872</v>
      </c>
      <c r="H41" s="156" t="s">
        <v>100</v>
      </c>
      <c r="I41" s="157"/>
      <c r="J41" s="157"/>
      <c r="K41" s="157"/>
      <c r="L41" s="72">
        <f>L39/L40</f>
        <v>0.92272212502276152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41.608286719999995</v>
      </c>
      <c r="D44" s="5" t="s">
        <v>86</v>
      </c>
      <c r="E44" s="5">
        <f>+L7</f>
        <v>76.2</v>
      </c>
      <c r="F44" s="5">
        <v>0.68</v>
      </c>
      <c r="G44" s="34">
        <f>F44*E44*C44*B44</f>
        <v>258.71699816202238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4</v>
      </c>
      <c r="D45" s="5" t="s">
        <v>90</v>
      </c>
      <c r="E45" s="5">
        <v>160</v>
      </c>
      <c r="F45" s="5"/>
      <c r="G45" s="30">
        <f>E45*C45</f>
        <v>640</v>
      </c>
      <c r="H45" s="156" t="s">
        <v>108</v>
      </c>
      <c r="I45" s="157"/>
      <c r="J45" s="157"/>
      <c r="K45" s="157"/>
      <c r="L45" s="77">
        <f>L39/(L44*1.08)</f>
        <v>640.21116919880001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898.71699816202238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89.871699816202238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988.58869797822467</v>
      </c>
      <c r="H49" s="9" t="s">
        <v>113</v>
      </c>
      <c r="I49" s="79"/>
      <c r="J49" s="79"/>
      <c r="K49" s="79"/>
      <c r="L49" s="55">
        <f>N34</f>
        <v>1.5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12792.648584985096</v>
      </c>
      <c r="H50" s="156" t="s">
        <v>114</v>
      </c>
      <c r="I50" s="157"/>
      <c r="J50" s="157"/>
      <c r="K50" s="157"/>
      <c r="L50" s="31">
        <f>L45</f>
        <v>640.21116919880001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1.3348835249152091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640.21116919880001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41.608286719999995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1328.6957274759166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41.608286719999995</v>
      </c>
      <c r="D55" s="5" t="s">
        <v>86</v>
      </c>
      <c r="E55" s="5">
        <f>+L7</f>
        <v>76.2</v>
      </c>
      <c r="F55" s="5">
        <v>0.68</v>
      </c>
      <c r="G55" s="34">
        <f>F55*E55*C55*B55</f>
        <v>1897.2579865214975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16018.602298982511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1.3348835249152091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x14ac:dyDescent="0.3">
      <c r="B63" s="17" t="s">
        <v>122</v>
      </c>
      <c r="G63" s="17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0">
    <pageSetUpPr fitToPage="1"/>
  </sheetPr>
  <dimension ref="A1:S67"/>
  <sheetViews>
    <sheetView view="pageBreakPreview" zoomScale="70" zoomScaleNormal="100" zoomScaleSheetLayoutView="70" workbookViewId="0">
      <selection activeCell="M59" sqref="M59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6.6</v>
      </c>
      <c r="O3" s="7">
        <f>N3*3.28</f>
        <v>21.647999999999996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5.9</v>
      </c>
      <c r="O4" s="7">
        <f>N4*3.28</f>
        <v>19.352</v>
      </c>
      <c r="P4" s="8"/>
      <c r="Q4" s="8"/>
    </row>
    <row r="5" spans="1:19" x14ac:dyDescent="0.3">
      <c r="A5" s="9" t="s">
        <v>17</v>
      </c>
      <c r="B5" s="5"/>
      <c r="C5" s="162" t="s">
        <v>165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21.647999999999996</v>
      </c>
      <c r="D7" s="19">
        <f>+N8</f>
        <v>19.352</v>
      </c>
      <c r="E7" s="20">
        <f>+N9</f>
        <v>418.93209599999994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21.647999999999996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19.352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418.93209599999994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4809.3404620799984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0</v>
      </c>
      <c r="M11" s="25" t="s">
        <v>43</v>
      </c>
      <c r="N11" s="27">
        <v>0</v>
      </c>
      <c r="P11" s="36" t="s">
        <v>46</v>
      </c>
      <c r="Q11" s="37">
        <v>5</v>
      </c>
      <c r="R11" s="32"/>
    </row>
    <row r="12" spans="1:19" x14ac:dyDescent="0.3">
      <c r="A12" s="156" t="s">
        <v>47</v>
      </c>
      <c r="B12" s="157"/>
      <c r="C12" s="19">
        <f>+N12</f>
        <v>0</v>
      </c>
      <c r="D12" s="5" t="s">
        <v>44</v>
      </c>
      <c r="E12" s="5">
        <v>12</v>
      </c>
      <c r="F12" s="33">
        <v>0.56000000000000005</v>
      </c>
      <c r="G12" s="34">
        <f>F12*E12*C12</f>
        <v>0</v>
      </c>
      <c r="H12" s="9" t="s">
        <v>48</v>
      </c>
      <c r="I12" s="5"/>
      <c r="J12" s="5"/>
      <c r="K12" s="5"/>
      <c r="L12" s="31">
        <f>+Q17</f>
        <v>65.176703487999987</v>
      </c>
      <c r="M12" s="25" t="s">
        <v>47</v>
      </c>
      <c r="N12" s="38">
        <v>0</v>
      </c>
      <c r="P12" s="32" t="s">
        <v>49</v>
      </c>
      <c r="Q12" s="39">
        <f>+Q11*C35</f>
        <v>25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9" t="s">
        <v>51</v>
      </c>
      <c r="I13" s="19">
        <f>N26</f>
        <v>5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0</v>
      </c>
      <c r="M14" s="25" t="s">
        <v>54</v>
      </c>
      <c r="N14" s="27">
        <v>0</v>
      </c>
      <c r="P14" s="29" t="s">
        <v>56</v>
      </c>
      <c r="Q14" s="27">
        <f>+Q13*E7</f>
        <v>25.135925759999996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50.135925759999992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v>0</v>
      </c>
      <c r="O16" s="40"/>
      <c r="P16" s="48" t="s">
        <v>61</v>
      </c>
      <c r="Q16" s="27">
        <f>Q15*30%</f>
        <v>15.040777727999997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65.176703487999987</v>
      </c>
      <c r="R17" s="29"/>
    </row>
    <row r="18" spans="1:18" x14ac:dyDescent="0.3">
      <c r="A18" s="156" t="s">
        <v>60</v>
      </c>
      <c r="B18" s="157"/>
      <c r="C18" s="19">
        <f>+N16</f>
        <v>0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0</v>
      </c>
      <c r="H18" s="9"/>
      <c r="I18" s="5"/>
      <c r="J18" s="5"/>
      <c r="K18" s="5"/>
      <c r="L18" s="6"/>
      <c r="M18" s="25" t="s">
        <v>64</v>
      </c>
      <c r="N18" s="27">
        <f>(O7-N14)*N13</f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9"/>
      <c r="I19" s="5"/>
      <c r="J19" s="5"/>
      <c r="K19" s="47"/>
      <c r="L19" s="31"/>
      <c r="M19" s="25" t="s">
        <v>65</v>
      </c>
      <c r="N19" s="27">
        <f>N9</f>
        <v>418.93209599999994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9"/>
      <c r="I20" s="5"/>
      <c r="J20" s="5"/>
      <c r="K20" s="47"/>
      <c r="L20" s="31"/>
      <c r="M20" s="25" t="s">
        <v>66</v>
      </c>
      <c r="N20" s="27">
        <f>+N11+N12+N13+N14</f>
        <v>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418.93209599999994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8981.9041382399973</v>
      </c>
      <c r="H21" s="9"/>
      <c r="I21" s="5"/>
      <c r="J21" s="21"/>
      <c r="K21" s="47"/>
      <c r="L21" s="31"/>
      <c r="M21" s="52" t="s">
        <v>69</v>
      </c>
      <c r="N21" s="53">
        <f>Q25</f>
        <v>75.308799999999991</v>
      </c>
      <c r="P21" s="49" t="s">
        <v>70</v>
      </c>
      <c r="Q21" s="27">
        <f>2*3.28*N10</f>
        <v>75.308799999999991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v>0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v>0</v>
      </c>
      <c r="R23" s="4">
        <v>0</v>
      </c>
    </row>
    <row r="24" spans="1:18" x14ac:dyDescent="0.3">
      <c r="A24" s="156" t="s">
        <v>76</v>
      </c>
      <c r="B24" s="157"/>
      <c r="C24" s="19">
        <f>N20</f>
        <v>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0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v>0</v>
      </c>
      <c r="R24" s="4">
        <v>0</v>
      </c>
    </row>
    <row r="25" spans="1:18" x14ac:dyDescent="0.3">
      <c r="A25" s="156" t="s">
        <v>69</v>
      </c>
      <c r="B25" s="157"/>
      <c r="C25" s="19">
        <f>+N21</f>
        <v>75.308799999999991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861.53267199999971</v>
      </c>
      <c r="H25" s="179"/>
      <c r="I25" s="180"/>
      <c r="J25" s="180"/>
      <c r="K25" s="180"/>
      <c r="L25" s="181"/>
      <c r="M25" s="25" t="s">
        <v>79</v>
      </c>
      <c r="N25" s="27">
        <f>C32</f>
        <v>65.176703487999987</v>
      </c>
      <c r="O25" s="57"/>
      <c r="P25" s="58" t="s">
        <v>80</v>
      </c>
      <c r="Q25" s="27">
        <f>SUM(Q21:Q24)</f>
        <v>75.308799999999991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SUMMARY!I39</f>
        <v>5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SUMMARY!H39</f>
        <v>2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418.93209599999994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2.3674991817323785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65.176703487999987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283.81586594070518</v>
      </c>
      <c r="H32" s="9"/>
      <c r="I32" s="5"/>
      <c r="J32" s="5"/>
      <c r="K32" s="47"/>
      <c r="L32" s="63"/>
      <c r="M32" s="50" t="s">
        <v>87</v>
      </c>
      <c r="N32" s="46">
        <f>+L45</f>
        <v>1194.882209650591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2.5</v>
      </c>
    </row>
    <row r="35" spans="1:15" x14ac:dyDescent="0.3">
      <c r="A35" s="156" t="s">
        <v>81</v>
      </c>
      <c r="B35" s="157"/>
      <c r="C35" s="19">
        <f>I13</f>
        <v>5</v>
      </c>
      <c r="D35" s="5" t="s">
        <v>90</v>
      </c>
      <c r="E35" s="5">
        <v>240</v>
      </c>
      <c r="F35" s="5"/>
      <c r="G35" s="34">
        <f>E35*C35</f>
        <v>1200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2</v>
      </c>
      <c r="D36" s="5" t="s">
        <v>91</v>
      </c>
      <c r="E36" s="5">
        <v>3413</v>
      </c>
      <c r="F36" s="5">
        <v>1</v>
      </c>
      <c r="G36" s="34">
        <f>F36*E36*C36</f>
        <v>6826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418.93209599999994</v>
      </c>
      <c r="D37" s="5" t="s">
        <v>92</v>
      </c>
      <c r="E37" s="5">
        <v>3.4129999999999998</v>
      </c>
      <c r="F37" s="5"/>
      <c r="G37" s="34">
        <f>+E37*C37</f>
        <v>1429.8152436479998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19583.067919828703</v>
      </c>
      <c r="H39" s="156" t="s">
        <v>97</v>
      </c>
      <c r="I39" s="157"/>
      <c r="J39" s="157"/>
      <c r="K39" s="157"/>
      <c r="L39" s="69">
        <f>G41</f>
        <v>22030.95140980729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2447.8834899785879</v>
      </c>
      <c r="H40" s="156" t="s">
        <v>99</v>
      </c>
      <c r="I40" s="157"/>
      <c r="J40" s="157"/>
      <c r="K40" s="157"/>
      <c r="L40" s="70">
        <f>G50</f>
        <v>23356.741290774604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22030.95140980729</v>
      </c>
      <c r="H41" s="156" t="s">
        <v>100</v>
      </c>
      <c r="I41" s="157"/>
      <c r="J41" s="157"/>
      <c r="K41" s="157"/>
      <c r="L41" s="72">
        <f>L39/L40</f>
        <v>0.94323737783185657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65.176703487999987</v>
      </c>
      <c r="D44" s="5" t="s">
        <v>86</v>
      </c>
      <c r="E44" s="5">
        <f>+L7</f>
        <v>76.2</v>
      </c>
      <c r="F44" s="5">
        <v>0.68</v>
      </c>
      <c r="G44" s="34">
        <f>F44*E44*C44*B44</f>
        <v>405.26352815210487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5</v>
      </c>
      <c r="D45" s="5" t="s">
        <v>90</v>
      </c>
      <c r="E45" s="5">
        <v>160</v>
      </c>
      <c r="F45" s="5"/>
      <c r="G45" s="30">
        <f>E45*C45</f>
        <v>800</v>
      </c>
      <c r="H45" s="156" t="s">
        <v>108</v>
      </c>
      <c r="I45" s="157"/>
      <c r="J45" s="157"/>
      <c r="K45" s="157"/>
      <c r="L45" s="77">
        <f>L39/(L44*1.08)</f>
        <v>1194.882209650591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1205.2635281521048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120.52635281521049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1325.7898809673152</v>
      </c>
      <c r="H49" s="9" t="s">
        <v>113</v>
      </c>
      <c r="I49" s="79"/>
      <c r="J49" s="79"/>
      <c r="K49" s="79"/>
      <c r="L49" s="55">
        <f>N34</f>
        <v>2.5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23356.741290774604</v>
      </c>
      <c r="H50" s="156" t="s">
        <v>114</v>
      </c>
      <c r="I50" s="157"/>
      <c r="J50" s="157"/>
      <c r="K50" s="157"/>
      <c r="L50" s="31">
        <f>L45</f>
        <v>1194.882209650591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2.3674991817323785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1194.882209650591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65.176703487999987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2081.316350231838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65.176703487999987</v>
      </c>
      <c r="D55" s="5" t="s">
        <v>86</v>
      </c>
      <c r="E55" s="5">
        <f>+L7</f>
        <v>76.2</v>
      </c>
      <c r="F55" s="5">
        <v>0.68</v>
      </c>
      <c r="G55" s="34">
        <f>F55*E55*C55*B55</f>
        <v>2971.9325397821026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28409.990180788544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2.3674991817323785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s="137" customFormat="1" x14ac:dyDescent="0.3">
      <c r="A63" s="136"/>
      <c r="B63" s="136" t="s">
        <v>188</v>
      </c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N63" s="138"/>
      <c r="O63" s="138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1">
    <pageSetUpPr fitToPage="1"/>
  </sheetPr>
  <dimension ref="A1:S67"/>
  <sheetViews>
    <sheetView view="pageBreakPreview" zoomScale="70" zoomScaleNormal="100" zoomScaleSheetLayoutView="70" workbookViewId="0">
      <selection activeCell="M52" sqref="M52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7</v>
      </c>
      <c r="O3" s="7">
        <f>N3*3.28</f>
        <v>22.959999999999997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6.1</v>
      </c>
      <c r="O4" s="7">
        <f>N4*3.28</f>
        <v>20.007999999999999</v>
      </c>
      <c r="P4" s="8"/>
      <c r="Q4" s="8"/>
    </row>
    <row r="5" spans="1:19" x14ac:dyDescent="0.3">
      <c r="A5" s="9" t="s">
        <v>17</v>
      </c>
      <c r="B5" s="5"/>
      <c r="C5" s="162" t="s">
        <v>166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22.959999999999997</v>
      </c>
      <c r="D7" s="19">
        <f>+N8</f>
        <v>20.007999999999999</v>
      </c>
      <c r="E7" s="20">
        <f>+N9</f>
        <v>459.38367999999991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22.959999999999997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20.007999999999999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459.38367999999991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5273.7246463999982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0</v>
      </c>
      <c r="M11" s="25" t="s">
        <v>43</v>
      </c>
      <c r="N11" s="27">
        <v>0</v>
      </c>
      <c r="P11" s="36" t="s">
        <v>46</v>
      </c>
      <c r="Q11" s="37">
        <v>5</v>
      </c>
      <c r="R11" s="32"/>
    </row>
    <row r="12" spans="1:19" x14ac:dyDescent="0.3">
      <c r="A12" s="156" t="s">
        <v>47</v>
      </c>
      <c r="B12" s="157"/>
      <c r="C12" s="19">
        <f>+N12</f>
        <v>40</v>
      </c>
      <c r="D12" s="5" t="s">
        <v>44</v>
      </c>
      <c r="E12" s="5">
        <v>12</v>
      </c>
      <c r="F12" s="33">
        <v>0.56000000000000005</v>
      </c>
      <c r="G12" s="34">
        <f>F12*E12*C12</f>
        <v>268.8</v>
      </c>
      <c r="H12" s="9" t="s">
        <v>48</v>
      </c>
      <c r="I12" s="5"/>
      <c r="J12" s="5"/>
      <c r="K12" s="5"/>
      <c r="L12" s="31">
        <f>+Q17</f>
        <v>68.331927039999982</v>
      </c>
      <c r="M12" s="25" t="s">
        <v>47</v>
      </c>
      <c r="N12" s="38">
        <f>5*4*2</f>
        <v>40</v>
      </c>
      <c r="P12" s="32" t="s">
        <v>49</v>
      </c>
      <c r="Q12" s="39">
        <f>+Q11*C35</f>
        <v>25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9" t="s">
        <v>51</v>
      </c>
      <c r="I13" s="19">
        <f>N26</f>
        <v>5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0</v>
      </c>
      <c r="M14" s="25" t="s">
        <v>54</v>
      </c>
      <c r="N14" s="27">
        <v>0</v>
      </c>
      <c r="P14" s="29" t="s">
        <v>56</v>
      </c>
      <c r="Q14" s="27">
        <f>+Q13*E7</f>
        <v>27.563020799999993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52.56302079999999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f>N8*N10-N12</f>
        <v>189.69183999999996</v>
      </c>
      <c r="O16" s="40"/>
      <c r="P16" s="48" t="s">
        <v>61</v>
      </c>
      <c r="Q16" s="27">
        <f>Q15*30%</f>
        <v>15.768906239999996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68.331927039999982</v>
      </c>
      <c r="R17" s="29"/>
    </row>
    <row r="18" spans="1:18" x14ac:dyDescent="0.3">
      <c r="A18" s="156" t="s">
        <v>60</v>
      </c>
      <c r="B18" s="157"/>
      <c r="C18" s="19">
        <f>+N16</f>
        <v>189.69183999999996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2360.5252569599993</v>
      </c>
      <c r="H18" s="9"/>
      <c r="I18" s="5"/>
      <c r="J18" s="5"/>
      <c r="K18" s="5"/>
      <c r="L18" s="6"/>
      <c r="M18" s="25" t="s">
        <v>64</v>
      </c>
      <c r="N18" s="27">
        <f>(O7-N14)*N13</f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9"/>
      <c r="I19" s="5"/>
      <c r="J19" s="5"/>
      <c r="K19" s="47"/>
      <c r="L19" s="31"/>
      <c r="M19" s="25" t="s">
        <v>65</v>
      </c>
      <c r="N19" s="27">
        <f>N9</f>
        <v>459.38367999999991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9"/>
      <c r="I20" s="5"/>
      <c r="J20" s="5"/>
      <c r="K20" s="47"/>
      <c r="L20" s="31"/>
      <c r="M20" s="25" t="s">
        <v>66</v>
      </c>
      <c r="N20" s="27">
        <f>+N11+N12+N13+N14</f>
        <v>40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459.38367999999991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9849.1860991999965</v>
      </c>
      <c r="H21" s="9"/>
      <c r="I21" s="5"/>
      <c r="J21" s="21"/>
      <c r="K21" s="47"/>
      <c r="L21" s="31"/>
      <c r="M21" s="52" t="s">
        <v>69</v>
      </c>
      <c r="N21" s="53">
        <f>Q25</f>
        <v>263.58079999999995</v>
      </c>
      <c r="P21" s="49" t="s">
        <v>70</v>
      </c>
      <c r="Q21" s="27">
        <f>N7*N10</f>
        <v>263.58079999999995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v>0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v>0</v>
      </c>
      <c r="R23" s="4">
        <v>0</v>
      </c>
    </row>
    <row r="24" spans="1:18" x14ac:dyDescent="0.3">
      <c r="A24" s="156" t="s">
        <v>76</v>
      </c>
      <c r="B24" s="157"/>
      <c r="C24" s="19">
        <f>N20</f>
        <v>40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1518.7199999999996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v>0</v>
      </c>
      <c r="R24" s="4">
        <v>0</v>
      </c>
    </row>
    <row r="25" spans="1:18" x14ac:dyDescent="0.3">
      <c r="A25" s="156" t="s">
        <v>69</v>
      </c>
      <c r="B25" s="157"/>
      <c r="C25" s="19">
        <f>+N21</f>
        <v>263.58079999999995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3015.3643519999987</v>
      </c>
      <c r="H25" s="179"/>
      <c r="I25" s="180"/>
      <c r="J25" s="180"/>
      <c r="K25" s="180"/>
      <c r="L25" s="181"/>
      <c r="M25" s="25" t="s">
        <v>79</v>
      </c>
      <c r="N25" s="27">
        <f>C32</f>
        <v>68.331927039999982</v>
      </c>
      <c r="O25" s="57"/>
      <c r="P25" s="58" t="s">
        <v>80</v>
      </c>
      <c r="Q25" s="27">
        <f>SUM(Q21:Q24)</f>
        <v>263.58079999999995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SUMMARY!I40</f>
        <v>5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SUMMARY!H40</f>
        <v>2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459.38367999999991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3.0760233345030512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68.331927039999982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297.55547621130233</v>
      </c>
      <c r="H32" s="9"/>
      <c r="I32" s="5"/>
      <c r="J32" s="5"/>
      <c r="K32" s="47"/>
      <c r="L32" s="63"/>
      <c r="M32" s="50" t="s">
        <v>87</v>
      </c>
      <c r="N32" s="46">
        <f>+L45</f>
        <v>1641.5785401663593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3.5</v>
      </c>
    </row>
    <row r="35" spans="1:15" x14ac:dyDescent="0.3">
      <c r="A35" s="156" t="s">
        <v>81</v>
      </c>
      <c r="B35" s="157"/>
      <c r="C35" s="19">
        <f>I13</f>
        <v>5</v>
      </c>
      <c r="D35" s="5" t="s">
        <v>90</v>
      </c>
      <c r="E35" s="5">
        <v>240</v>
      </c>
      <c r="F35" s="5"/>
      <c r="G35" s="34">
        <f>E35*C35</f>
        <v>1200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2</v>
      </c>
      <c r="D36" s="5" t="s">
        <v>91</v>
      </c>
      <c r="E36" s="5">
        <v>3413</v>
      </c>
      <c r="F36" s="5">
        <v>1</v>
      </c>
      <c r="G36" s="34">
        <f>F36*E36*C36</f>
        <v>6826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459.38367999999991</v>
      </c>
      <c r="D37" s="5" t="s">
        <v>92</v>
      </c>
      <c r="E37" s="5">
        <v>3.4129999999999998</v>
      </c>
      <c r="F37" s="5"/>
      <c r="G37" s="34">
        <f>+E37*C37</f>
        <v>1567.8764998399997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26904.027684211294</v>
      </c>
      <c r="H39" s="156" t="s">
        <v>97</v>
      </c>
      <c r="I39" s="157"/>
      <c r="J39" s="157"/>
      <c r="K39" s="157"/>
      <c r="L39" s="69">
        <f>G41</f>
        <v>30267.031144737706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3363.0034605264118</v>
      </c>
      <c r="H40" s="156" t="s">
        <v>99</v>
      </c>
      <c r="I40" s="157"/>
      <c r="J40" s="157"/>
      <c r="K40" s="157"/>
      <c r="L40" s="70">
        <f>G50</f>
        <v>31614.40184609632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30267.031144737706</v>
      </c>
      <c r="H41" s="156" t="s">
        <v>100</v>
      </c>
      <c r="I41" s="157"/>
      <c r="J41" s="157"/>
      <c r="K41" s="157"/>
      <c r="L41" s="72">
        <f>L39/L40</f>
        <v>0.95738111042183183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68.331927039999982</v>
      </c>
      <c r="D44" s="5" t="s">
        <v>86</v>
      </c>
      <c r="E44" s="5">
        <f>+L7</f>
        <v>76.2</v>
      </c>
      <c r="F44" s="5">
        <v>0.68</v>
      </c>
      <c r="G44" s="34">
        <f>F44*E44*C44*B44</f>
        <v>424.88245578055671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5</v>
      </c>
      <c r="D45" s="5" t="s">
        <v>90</v>
      </c>
      <c r="E45" s="5">
        <v>160</v>
      </c>
      <c r="F45" s="5"/>
      <c r="G45" s="30">
        <f>E45*C45</f>
        <v>800</v>
      </c>
      <c r="H45" s="156" t="s">
        <v>108</v>
      </c>
      <c r="I45" s="157"/>
      <c r="J45" s="157"/>
      <c r="K45" s="157"/>
      <c r="L45" s="77">
        <f>L39/(L44*1.08)</f>
        <v>1641.5785401663593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1224.8824557805567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122.48824557805568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1347.3707013586125</v>
      </c>
      <c r="H49" s="9" t="s">
        <v>113</v>
      </c>
      <c r="I49" s="79"/>
      <c r="J49" s="79"/>
      <c r="K49" s="79"/>
      <c r="L49" s="55">
        <f>N34</f>
        <v>3.5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31614.40184609632</v>
      </c>
      <c r="H50" s="156" t="s">
        <v>114</v>
      </c>
      <c r="I50" s="157"/>
      <c r="J50" s="157"/>
      <c r="K50" s="157"/>
      <c r="L50" s="31">
        <f>L45</f>
        <v>1641.5785401663593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3.0760233345030512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1641.5785401663593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68.331927039999982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2182.0734922162169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68.331927039999982</v>
      </c>
      <c r="D55" s="5" t="s">
        <v>86</v>
      </c>
      <c r="E55" s="5">
        <f>+L7</f>
        <v>76.2</v>
      </c>
      <c r="F55" s="5">
        <v>0.68</v>
      </c>
      <c r="G55" s="34">
        <f>F55*E55*C55*B55</f>
        <v>3115.8046757240827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36912.280014036616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3.0760233345030512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s="137" customFormat="1" x14ac:dyDescent="0.3">
      <c r="A63" s="136"/>
      <c r="B63" s="136" t="s">
        <v>188</v>
      </c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N63" s="138"/>
      <c r="O63" s="138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2">
    <pageSetUpPr fitToPage="1"/>
  </sheetPr>
  <dimension ref="A1:S67"/>
  <sheetViews>
    <sheetView view="pageBreakPreview" zoomScale="70" zoomScaleNormal="100" zoomScaleSheetLayoutView="70" workbookViewId="0">
      <selection activeCell="M59" sqref="M58:M59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22.3</v>
      </c>
      <c r="O3" s="7">
        <f>N3*3.28</f>
        <v>73.143999999999991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6.6</v>
      </c>
      <c r="O4" s="7">
        <f>N4*3.28</f>
        <v>21.647999999999996</v>
      </c>
      <c r="P4" s="8"/>
      <c r="Q4" s="8"/>
    </row>
    <row r="5" spans="1:19" x14ac:dyDescent="0.3">
      <c r="A5" s="9" t="s">
        <v>17</v>
      </c>
      <c r="B5" s="5"/>
      <c r="C5" s="162" t="s">
        <v>167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73.143999999999991</v>
      </c>
      <c r="D7" s="19">
        <f>+N8</f>
        <v>21.647999999999996</v>
      </c>
      <c r="E7" s="20">
        <f>+N9</f>
        <v>1583.4213119999995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73.143999999999991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21.647999999999996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1583.4213119999995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18177.676661759993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0</v>
      </c>
      <c r="M11" s="25" t="s">
        <v>43</v>
      </c>
      <c r="N11" s="27">
        <v>0</v>
      </c>
      <c r="P11" s="36" t="s">
        <v>46</v>
      </c>
      <c r="Q11" s="37">
        <v>7.5</v>
      </c>
      <c r="R11" s="32"/>
    </row>
    <row r="12" spans="1:19" x14ac:dyDescent="0.3">
      <c r="A12" s="156" t="s">
        <v>47</v>
      </c>
      <c r="B12" s="157"/>
      <c r="C12" s="19">
        <f>+N12</f>
        <v>20</v>
      </c>
      <c r="D12" s="5" t="s">
        <v>44</v>
      </c>
      <c r="E12" s="5">
        <v>12</v>
      </c>
      <c r="F12" s="33">
        <v>0.56000000000000005</v>
      </c>
      <c r="G12" s="34">
        <f>F12*E12*C12</f>
        <v>134.4</v>
      </c>
      <c r="H12" s="9" t="s">
        <v>48</v>
      </c>
      <c r="I12" s="5"/>
      <c r="J12" s="5"/>
      <c r="K12" s="5"/>
      <c r="L12" s="31">
        <f>+Q17</f>
        <v>318.50686233599998</v>
      </c>
      <c r="M12" s="25" t="s">
        <v>47</v>
      </c>
      <c r="N12" s="38">
        <f>5*4</f>
        <v>20</v>
      </c>
      <c r="P12" s="32" t="s">
        <v>49</v>
      </c>
      <c r="Q12" s="39">
        <f>+Q11*C35</f>
        <v>150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9" t="s">
        <v>51</v>
      </c>
      <c r="I13" s="19">
        <f>N26</f>
        <v>20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0</v>
      </c>
      <c r="M14" s="25" t="s">
        <v>54</v>
      </c>
      <c r="N14" s="27">
        <v>0</v>
      </c>
      <c r="P14" s="29" t="s">
        <v>56</v>
      </c>
      <c r="Q14" s="27">
        <f>+Q13*E7</f>
        <v>95.005278719999964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245.00527871999998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f>2*3.28*N10-N12</f>
        <v>55.308799999999991</v>
      </c>
      <c r="O16" s="40"/>
      <c r="P16" s="48" t="s">
        <v>61</v>
      </c>
      <c r="Q16" s="27">
        <f>Q15*30%</f>
        <v>73.501583615999991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318.50686233599998</v>
      </c>
      <c r="R17" s="29"/>
    </row>
    <row r="18" spans="1:18" x14ac:dyDescent="0.3">
      <c r="A18" s="156" t="s">
        <v>60</v>
      </c>
      <c r="B18" s="157"/>
      <c r="C18" s="19">
        <f>+N16</f>
        <v>55.308799999999991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688.2627071999998</v>
      </c>
      <c r="H18" s="9"/>
      <c r="I18" s="5"/>
      <c r="J18" s="5"/>
      <c r="K18" s="5"/>
      <c r="L18" s="6"/>
      <c r="M18" s="25" t="s">
        <v>64</v>
      </c>
      <c r="N18" s="27">
        <f>(O7-N14)*N13</f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9"/>
      <c r="I19" s="5"/>
      <c r="J19" s="5"/>
      <c r="K19" s="47"/>
      <c r="L19" s="31"/>
      <c r="M19" s="25" t="s">
        <v>65</v>
      </c>
      <c r="N19" s="27">
        <v>0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9"/>
      <c r="I20" s="5"/>
      <c r="J20" s="5"/>
      <c r="K20" s="47"/>
      <c r="L20" s="31"/>
      <c r="M20" s="25" t="s">
        <v>66</v>
      </c>
      <c r="N20" s="27">
        <f>+N11+N12+N13+N14</f>
        <v>20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0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0</v>
      </c>
      <c r="H21" s="9"/>
      <c r="I21" s="5"/>
      <c r="J21" s="21"/>
      <c r="K21" s="47"/>
      <c r="L21" s="31"/>
      <c r="M21" s="52" t="s">
        <v>69</v>
      </c>
      <c r="N21" s="53">
        <f>Q25</f>
        <v>402.90207999999996</v>
      </c>
      <c r="P21" s="49" t="s">
        <v>70</v>
      </c>
      <c r="Q21" s="27">
        <f>5.7*3.28*N10</f>
        <v>214.63007999999996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20</v>
      </c>
      <c r="P22" s="49" t="s">
        <v>72</v>
      </c>
      <c r="Q22" s="4">
        <v>0</v>
      </c>
      <c r="R22" s="4">
        <f>5*4</f>
        <v>20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f>5*3.28*N10-R23</f>
        <v>188.27199999999996</v>
      </c>
      <c r="R23" s="4">
        <v>0</v>
      </c>
    </row>
    <row r="24" spans="1:18" x14ac:dyDescent="0.3">
      <c r="A24" s="156" t="s">
        <v>76</v>
      </c>
      <c r="B24" s="157"/>
      <c r="C24" s="19">
        <f>N20</f>
        <v>20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759.35999999999979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v>0</v>
      </c>
      <c r="R24" s="4">
        <v>0</v>
      </c>
    </row>
    <row r="25" spans="1:18" x14ac:dyDescent="0.3">
      <c r="A25" s="156" t="s">
        <v>69</v>
      </c>
      <c r="B25" s="157"/>
      <c r="C25" s="19">
        <f>+N21</f>
        <v>402.90207999999996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4609.1997951999983</v>
      </c>
      <c r="H25" s="179"/>
      <c r="I25" s="180"/>
      <c r="J25" s="180"/>
      <c r="K25" s="180"/>
      <c r="L25" s="181"/>
      <c r="M25" s="25" t="s">
        <v>79</v>
      </c>
      <c r="N25" s="27">
        <f>C32</f>
        <v>318.50686233599998</v>
      </c>
      <c r="O25" s="57"/>
      <c r="P25" s="58" t="s">
        <v>80</v>
      </c>
      <c r="Q25" s="27">
        <f>SUM(Q21:Q24)</f>
        <v>402.90207999999996</v>
      </c>
      <c r="R25" s="27">
        <f>SUM(R21:R24)</f>
        <v>20</v>
      </c>
    </row>
    <row r="26" spans="1:18" x14ac:dyDescent="0.3">
      <c r="A26" s="156" t="s">
        <v>71</v>
      </c>
      <c r="B26" s="157"/>
      <c r="C26" s="19">
        <f>+N22</f>
        <v>20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629.19999999999993</v>
      </c>
      <c r="H26" s="158"/>
      <c r="I26" s="159"/>
      <c r="J26" s="159"/>
      <c r="K26" s="159"/>
      <c r="L26" s="160"/>
      <c r="M26" s="25" t="s">
        <v>81</v>
      </c>
      <c r="N26" s="60">
        <f>SUMMARY!I41</f>
        <v>20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SUMMARY!H41</f>
        <v>2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1583.4213119999995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4.8987593869826078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318.50686233599998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1386.9572424538519</v>
      </c>
      <c r="H32" s="9"/>
      <c r="I32" s="5"/>
      <c r="J32" s="5"/>
      <c r="K32" s="47"/>
      <c r="L32" s="63"/>
      <c r="M32" s="50" t="s">
        <v>87</v>
      </c>
      <c r="N32" s="46">
        <f>+L45</f>
        <v>1539.8994383291988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5</v>
      </c>
    </row>
    <row r="35" spans="1:15" x14ac:dyDescent="0.3">
      <c r="A35" s="156" t="s">
        <v>81</v>
      </c>
      <c r="B35" s="157"/>
      <c r="C35" s="19">
        <f>I13</f>
        <v>20</v>
      </c>
      <c r="D35" s="5" t="s">
        <v>90</v>
      </c>
      <c r="E35" s="5">
        <v>240</v>
      </c>
      <c r="F35" s="5"/>
      <c r="G35" s="34">
        <f>E35*C35</f>
        <v>4800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2</v>
      </c>
      <c r="D36" s="5" t="s">
        <v>91</v>
      </c>
      <c r="E36" s="5">
        <v>3413</v>
      </c>
      <c r="F36" s="5">
        <v>1</v>
      </c>
      <c r="G36" s="34">
        <f>F36*E36*C36</f>
        <v>6826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1583.4213119999995</v>
      </c>
      <c r="D37" s="5" t="s">
        <v>92</v>
      </c>
      <c r="E37" s="5">
        <v>3.4129999999999998</v>
      </c>
      <c r="F37" s="5"/>
      <c r="G37" s="34">
        <f>+E37*C37</f>
        <v>5404.2169378559984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25237.596682709849</v>
      </c>
      <c r="H39" s="156" t="s">
        <v>97</v>
      </c>
      <c r="I39" s="157"/>
      <c r="J39" s="157"/>
      <c r="K39" s="157"/>
      <c r="L39" s="69">
        <f>G41</f>
        <v>28392.29626804858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3154.6995853387311</v>
      </c>
      <c r="H40" s="156" t="s">
        <v>99</v>
      </c>
      <c r="I40" s="157"/>
      <c r="J40" s="157"/>
      <c r="K40" s="157"/>
      <c r="L40" s="70">
        <f>G50</f>
        <v>34090.791476450468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28392.29626804858</v>
      </c>
      <c r="H41" s="156" t="s">
        <v>100</v>
      </c>
      <c r="I41" s="157"/>
      <c r="J41" s="157"/>
      <c r="K41" s="157"/>
      <c r="L41" s="72">
        <f>L39/L40</f>
        <v>0.83284356385980818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318.50686233599998</v>
      </c>
      <c r="D44" s="5" t="s">
        <v>86</v>
      </c>
      <c r="E44" s="5">
        <f>+L7</f>
        <v>76.2</v>
      </c>
      <c r="F44" s="5">
        <v>0.68</v>
      </c>
      <c r="G44" s="34">
        <f>F44*E44*C44*B44</f>
        <v>1980.4501894562611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20</v>
      </c>
      <c r="D45" s="5" t="s">
        <v>90</v>
      </c>
      <c r="E45" s="5">
        <v>160</v>
      </c>
      <c r="F45" s="5"/>
      <c r="G45" s="30">
        <f>E45*C45</f>
        <v>3200</v>
      </c>
      <c r="H45" s="156" t="s">
        <v>108</v>
      </c>
      <c r="I45" s="157"/>
      <c r="J45" s="157"/>
      <c r="K45" s="157"/>
      <c r="L45" s="77">
        <f>L39/(L44*1.08)</f>
        <v>1539.8994383291988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5180.4501894562609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518.04501894562611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5698.4952084018869</v>
      </c>
      <c r="H49" s="9" t="s">
        <v>113</v>
      </c>
      <c r="I49" s="79"/>
      <c r="J49" s="79"/>
      <c r="K49" s="79"/>
      <c r="L49" s="55">
        <f>N34</f>
        <v>5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34090.791476450468</v>
      </c>
      <c r="H50" s="156" t="s">
        <v>114</v>
      </c>
      <c r="I50" s="157"/>
      <c r="J50" s="157"/>
      <c r="K50" s="157"/>
      <c r="L50" s="31">
        <f>L45</f>
        <v>1539.8994383291988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4.8987593869826078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1539.8994383291988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318.50686233599998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10171.019777994914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318.50686233599998</v>
      </c>
      <c r="D55" s="5" t="s">
        <v>86</v>
      </c>
      <c r="E55" s="5">
        <f>+L7</f>
        <v>76.2</v>
      </c>
      <c r="F55" s="5">
        <v>0.68</v>
      </c>
      <c r="G55" s="34">
        <f>F55*E55*C55*B55</f>
        <v>14523.301389345916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58785.112643791297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4.8987593869826078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s="137" customFormat="1" x14ac:dyDescent="0.3">
      <c r="A63" s="136"/>
      <c r="B63" s="136" t="s">
        <v>188</v>
      </c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N63" s="138"/>
      <c r="O63" s="138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3">
    <pageSetUpPr fitToPage="1"/>
  </sheetPr>
  <dimension ref="A1:S67"/>
  <sheetViews>
    <sheetView view="pageBreakPreview" zoomScale="70" zoomScaleNormal="100" zoomScaleSheetLayoutView="70" workbookViewId="0">
      <selection activeCell="M57" sqref="M57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3.5</v>
      </c>
      <c r="O3" s="7">
        <f>N3*3.28</f>
        <v>11.479999999999999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4.9000000000000004</v>
      </c>
      <c r="O4" s="7">
        <f>N4*3.28</f>
        <v>16.071999999999999</v>
      </c>
      <c r="P4" s="8"/>
      <c r="Q4" s="8"/>
    </row>
    <row r="5" spans="1:19" x14ac:dyDescent="0.3">
      <c r="A5" s="9" t="s">
        <v>17</v>
      </c>
      <c r="B5" s="5"/>
      <c r="C5" s="162" t="s">
        <v>168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11.479999999999999</v>
      </c>
      <c r="D7" s="19">
        <f>+N8</f>
        <v>16.071999999999999</v>
      </c>
      <c r="E7" s="20">
        <f>+N9</f>
        <v>184.50655999999998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11.479999999999999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16.071999999999999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184.50655999999998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2118.1353087999996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0</v>
      </c>
      <c r="M11" s="25" t="s">
        <v>43</v>
      </c>
      <c r="N11" s="27">
        <v>0</v>
      </c>
      <c r="P11" s="36" t="s">
        <v>46</v>
      </c>
      <c r="Q11" s="37">
        <v>5</v>
      </c>
      <c r="R11" s="32"/>
    </row>
    <row r="12" spans="1:19" x14ac:dyDescent="0.3">
      <c r="A12" s="156" t="s">
        <v>47</v>
      </c>
      <c r="B12" s="157"/>
      <c r="C12" s="19">
        <f>+N12</f>
        <v>0</v>
      </c>
      <c r="D12" s="5" t="s">
        <v>44</v>
      </c>
      <c r="E12" s="5">
        <v>12</v>
      </c>
      <c r="F12" s="33">
        <v>0.56000000000000005</v>
      </c>
      <c r="G12" s="34">
        <f>F12*E12*C12</f>
        <v>0</v>
      </c>
      <c r="H12" s="9" t="s">
        <v>48</v>
      </c>
      <c r="I12" s="5"/>
      <c r="J12" s="5"/>
      <c r="K12" s="5"/>
      <c r="L12" s="31">
        <f>+Q17</f>
        <v>33.891511680000001</v>
      </c>
      <c r="M12" s="25" t="s">
        <v>47</v>
      </c>
      <c r="N12" s="38">
        <v>0</v>
      </c>
      <c r="P12" s="32" t="s">
        <v>49</v>
      </c>
      <c r="Q12" s="39">
        <f>+Q11*C35</f>
        <v>15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9" t="s">
        <v>51</v>
      </c>
      <c r="I13" s="19">
        <f>N26</f>
        <v>3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0</v>
      </c>
      <c r="M14" s="25" t="s">
        <v>54</v>
      </c>
      <c r="N14" s="27">
        <v>0</v>
      </c>
      <c r="P14" s="29" t="s">
        <v>56</v>
      </c>
      <c r="Q14" s="27">
        <f>+Q13*E7</f>
        <v>11.070393599999999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26.070393599999999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v>0</v>
      </c>
      <c r="O16" s="40"/>
      <c r="P16" s="48" t="s">
        <v>61</v>
      </c>
      <c r="Q16" s="27">
        <f>Q15*30%</f>
        <v>7.8211180799999998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33.891511680000001</v>
      </c>
      <c r="R17" s="29"/>
    </row>
    <row r="18" spans="1:18" x14ac:dyDescent="0.3">
      <c r="A18" s="156" t="s">
        <v>60</v>
      </c>
      <c r="B18" s="157"/>
      <c r="C18" s="19">
        <f>+N16</f>
        <v>0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0</v>
      </c>
      <c r="H18" s="9"/>
      <c r="I18" s="5"/>
      <c r="J18" s="5"/>
      <c r="K18" s="5"/>
      <c r="L18" s="6"/>
      <c r="M18" s="25" t="s">
        <v>64</v>
      </c>
      <c r="N18" s="27">
        <f>(O7-N14)*N13</f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9"/>
      <c r="I19" s="5"/>
      <c r="J19" s="5"/>
      <c r="K19" s="47"/>
      <c r="L19" s="31"/>
      <c r="M19" s="25" t="s">
        <v>65</v>
      </c>
      <c r="N19" s="27">
        <f>N9</f>
        <v>184.50655999999998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9"/>
      <c r="I20" s="5"/>
      <c r="J20" s="5"/>
      <c r="K20" s="47"/>
      <c r="L20" s="31"/>
      <c r="M20" s="25" t="s">
        <v>66</v>
      </c>
      <c r="N20" s="27">
        <f>+N11+N12+N13+N14</f>
        <v>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184.50655999999998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3955.8206463999991</v>
      </c>
      <c r="H21" s="9"/>
      <c r="I21" s="5"/>
      <c r="J21" s="21"/>
      <c r="K21" s="47"/>
      <c r="L21" s="31"/>
      <c r="M21" s="52" t="s">
        <v>69</v>
      </c>
      <c r="N21" s="53">
        <f>Q25</f>
        <v>184.50655999999998</v>
      </c>
      <c r="P21" s="49" t="s">
        <v>70</v>
      </c>
      <c r="Q21" s="27">
        <v>0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f>N8*N10</f>
        <v>184.50655999999998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v>0</v>
      </c>
      <c r="R23" s="4">
        <v>0</v>
      </c>
    </row>
    <row r="24" spans="1:18" x14ac:dyDescent="0.3">
      <c r="A24" s="156" t="s">
        <v>76</v>
      </c>
      <c r="B24" s="157"/>
      <c r="C24" s="19">
        <f>N20</f>
        <v>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0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v>0</v>
      </c>
      <c r="R24" s="4">
        <v>0</v>
      </c>
    </row>
    <row r="25" spans="1:18" x14ac:dyDescent="0.3">
      <c r="A25" s="156" t="s">
        <v>69</v>
      </c>
      <c r="B25" s="157"/>
      <c r="C25" s="19">
        <f>+N21</f>
        <v>184.50655999999998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2110.7550463999992</v>
      </c>
      <c r="H25" s="179"/>
      <c r="I25" s="180"/>
      <c r="J25" s="180"/>
      <c r="K25" s="180"/>
      <c r="L25" s="181"/>
      <c r="M25" s="25" t="s">
        <v>79</v>
      </c>
      <c r="N25" s="27">
        <f>C32</f>
        <v>33.891511680000001</v>
      </c>
      <c r="O25" s="57"/>
      <c r="P25" s="58" t="s">
        <v>80</v>
      </c>
      <c r="Q25" s="27">
        <f>SUM(Q21:Q24)</f>
        <v>184.50655999999998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SUMMARY!I42</f>
        <v>3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SUMMARY!H42</f>
        <v>0.5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184.50655999999998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1.1513870998635756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33.891511680000001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147.5826211012608</v>
      </c>
      <c r="H32" s="9"/>
      <c r="I32" s="5"/>
      <c r="J32" s="5"/>
      <c r="K32" s="47"/>
      <c r="L32" s="63"/>
      <c r="M32" s="50" t="s">
        <v>87</v>
      </c>
      <c r="N32" s="46">
        <f>+L45</f>
        <v>565.64227995043393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1</v>
      </c>
    </row>
    <row r="35" spans="1:15" x14ac:dyDescent="0.3">
      <c r="A35" s="156" t="s">
        <v>81</v>
      </c>
      <c r="B35" s="157"/>
      <c r="C35" s="19">
        <f>I13</f>
        <v>3</v>
      </c>
      <c r="D35" s="5" t="s">
        <v>90</v>
      </c>
      <c r="E35" s="5">
        <v>240</v>
      </c>
      <c r="F35" s="5"/>
      <c r="G35" s="34">
        <f>E35*C35</f>
        <v>720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0.5</v>
      </c>
      <c r="D36" s="5" t="s">
        <v>91</v>
      </c>
      <c r="E36" s="5">
        <v>3413</v>
      </c>
      <c r="F36" s="5">
        <v>1</v>
      </c>
      <c r="G36" s="34">
        <f>F36*E36*C36</f>
        <v>1706.5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184.50655999999998</v>
      </c>
      <c r="D37" s="5" t="s">
        <v>92</v>
      </c>
      <c r="E37" s="5">
        <v>3.4129999999999998</v>
      </c>
      <c r="F37" s="5"/>
      <c r="G37" s="34">
        <f>+E37*C37</f>
        <v>629.72088927999994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9270.3792031812591</v>
      </c>
      <c r="H39" s="156" t="s">
        <v>97</v>
      </c>
      <c r="I39" s="157"/>
      <c r="J39" s="157"/>
      <c r="K39" s="157"/>
      <c r="L39" s="69">
        <f>G41</f>
        <v>10429.176603578917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1158.7974003976574</v>
      </c>
      <c r="H40" s="156" t="s">
        <v>99</v>
      </c>
      <c r="I40" s="157"/>
      <c r="J40" s="157"/>
      <c r="K40" s="157"/>
      <c r="L40" s="70">
        <f>G50</f>
        <v>11188.984782714753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10429.176603578917</v>
      </c>
      <c r="H41" s="156" t="s">
        <v>100</v>
      </c>
      <c r="I41" s="157"/>
      <c r="J41" s="157"/>
      <c r="K41" s="157"/>
      <c r="L41" s="72">
        <f>L39/L40</f>
        <v>0.93209319756072762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33.891511680000001</v>
      </c>
      <c r="D44" s="5" t="s">
        <v>86</v>
      </c>
      <c r="E44" s="5">
        <f>+L7</f>
        <v>76.2</v>
      </c>
      <c r="F44" s="5">
        <v>0.68</v>
      </c>
      <c r="G44" s="34">
        <f>F44*E44*C44*B44</f>
        <v>210.73470830530562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3</v>
      </c>
      <c r="D45" s="5" t="s">
        <v>90</v>
      </c>
      <c r="E45" s="5">
        <v>160</v>
      </c>
      <c r="F45" s="5"/>
      <c r="G45" s="30">
        <f>E45*C45</f>
        <v>480</v>
      </c>
      <c r="H45" s="156" t="s">
        <v>108</v>
      </c>
      <c r="I45" s="157"/>
      <c r="J45" s="157"/>
      <c r="K45" s="157"/>
      <c r="L45" s="77">
        <f>L39/(L44*1.08)</f>
        <v>565.64227995043393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690.73470830530562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69.073470830530567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759.80817913583621</v>
      </c>
      <c r="H49" s="9" t="s">
        <v>113</v>
      </c>
      <c r="I49" s="79"/>
      <c r="J49" s="79"/>
      <c r="K49" s="79"/>
      <c r="L49" s="55">
        <f>N34</f>
        <v>1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11188.984782714753</v>
      </c>
      <c r="H50" s="156" t="s">
        <v>114</v>
      </c>
      <c r="I50" s="157"/>
      <c r="J50" s="157"/>
      <c r="K50" s="157"/>
      <c r="L50" s="31">
        <f>L45</f>
        <v>565.64227995043393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1.1513870998635756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565.64227995043393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33.891511680000001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1082.2725547425791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33.891511680000001</v>
      </c>
      <c r="D55" s="5" t="s">
        <v>86</v>
      </c>
      <c r="E55" s="5">
        <f>+L7</f>
        <v>76.2</v>
      </c>
      <c r="F55" s="5">
        <v>0.68</v>
      </c>
      <c r="G55" s="34">
        <f>F55*E55*C55*B55</f>
        <v>1545.3878609055746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13816.645198362907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1.1513870998635756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s="137" customFormat="1" x14ac:dyDescent="0.3">
      <c r="A63" s="136"/>
      <c r="B63" s="136" t="s">
        <v>188</v>
      </c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N63" s="138"/>
      <c r="O63" s="138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4">
    <pageSetUpPr fitToPage="1"/>
  </sheetPr>
  <dimension ref="A1:S67"/>
  <sheetViews>
    <sheetView view="pageBreakPreview" zoomScale="70" zoomScaleNormal="100" zoomScaleSheetLayoutView="70" workbookViewId="0">
      <selection activeCell="L12" sqref="L12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3.5</v>
      </c>
      <c r="O3" s="7">
        <f>N3*3.28</f>
        <v>11.479999999999999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2.9</v>
      </c>
      <c r="O4" s="7">
        <f>N4*3.28</f>
        <v>9.5119999999999987</v>
      </c>
      <c r="P4" s="8"/>
      <c r="Q4" s="8"/>
    </row>
    <row r="5" spans="1:19" x14ac:dyDescent="0.3">
      <c r="A5" s="9" t="s">
        <v>17</v>
      </c>
      <c r="B5" s="5"/>
      <c r="C5" s="162" t="s">
        <v>169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11.479999999999999</v>
      </c>
      <c r="D7" s="19">
        <f>+N8</f>
        <v>9.5119999999999987</v>
      </c>
      <c r="E7" s="20">
        <f>+N9</f>
        <v>109.19775999999997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11.479999999999999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9.5119999999999987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109.19775999999997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1253.5902847999996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0</v>
      </c>
      <c r="M11" s="25" t="s">
        <v>43</v>
      </c>
      <c r="N11" s="27">
        <v>0</v>
      </c>
      <c r="P11" s="36" t="s">
        <v>46</v>
      </c>
      <c r="Q11" s="37">
        <v>5</v>
      </c>
      <c r="R11" s="32"/>
    </row>
    <row r="12" spans="1:19" x14ac:dyDescent="0.3">
      <c r="A12" s="156" t="s">
        <v>47</v>
      </c>
      <c r="B12" s="157"/>
      <c r="C12" s="19">
        <f>+N12</f>
        <v>0</v>
      </c>
      <c r="D12" s="5" t="s">
        <v>44</v>
      </c>
      <c r="E12" s="5">
        <v>12</v>
      </c>
      <c r="F12" s="33">
        <v>0.56000000000000005</v>
      </c>
      <c r="G12" s="34">
        <f>F12*E12*C12</f>
        <v>0</v>
      </c>
      <c r="H12" s="9" t="s">
        <v>48</v>
      </c>
      <c r="I12" s="5"/>
      <c r="J12" s="5"/>
      <c r="K12" s="5"/>
      <c r="L12" s="31">
        <f>+Q17</f>
        <v>28.017425279999998</v>
      </c>
      <c r="M12" s="25" t="s">
        <v>47</v>
      </c>
      <c r="N12" s="38">
        <v>0</v>
      </c>
      <c r="P12" s="32" t="s">
        <v>49</v>
      </c>
      <c r="Q12" s="39">
        <f>+Q11*C35</f>
        <v>15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9" t="s">
        <v>51</v>
      </c>
      <c r="I13" s="19">
        <f>N26</f>
        <v>3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0</v>
      </c>
      <c r="M14" s="25" t="s">
        <v>54</v>
      </c>
      <c r="N14" s="27">
        <v>0</v>
      </c>
      <c r="P14" s="29" t="s">
        <v>56</v>
      </c>
      <c r="Q14" s="27">
        <f>+Q13*E7</f>
        <v>6.5518655999999984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21.551865599999999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v>0</v>
      </c>
      <c r="O16" s="40"/>
      <c r="P16" s="48" t="s">
        <v>61</v>
      </c>
      <c r="Q16" s="27">
        <f>Q15*30%</f>
        <v>6.4655596799999993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28.017425279999998</v>
      </c>
      <c r="R17" s="29"/>
    </row>
    <row r="18" spans="1:18" x14ac:dyDescent="0.3">
      <c r="A18" s="156" t="s">
        <v>60</v>
      </c>
      <c r="B18" s="157"/>
      <c r="C18" s="19">
        <f>+N16</f>
        <v>0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0</v>
      </c>
      <c r="H18" s="9"/>
      <c r="I18" s="5"/>
      <c r="J18" s="5"/>
      <c r="K18" s="5"/>
      <c r="L18" s="6"/>
      <c r="M18" s="25" t="s">
        <v>64</v>
      </c>
      <c r="N18" s="27">
        <f>(O7-N14)*N13</f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9"/>
      <c r="I19" s="5"/>
      <c r="J19" s="5"/>
      <c r="K19" s="47"/>
      <c r="L19" s="31"/>
      <c r="M19" s="25" t="s">
        <v>65</v>
      </c>
      <c r="N19" s="27">
        <f>N9</f>
        <v>109.19775999999997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9"/>
      <c r="I20" s="5"/>
      <c r="J20" s="5"/>
      <c r="K20" s="47"/>
      <c r="L20" s="31"/>
      <c r="M20" s="25" t="s">
        <v>66</v>
      </c>
      <c r="N20" s="27">
        <f>+N11+N12+N13+N14</f>
        <v>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109.19775999999997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2341.1999743999991</v>
      </c>
      <c r="H21" s="9"/>
      <c r="I21" s="5"/>
      <c r="J21" s="21"/>
      <c r="K21" s="47"/>
      <c r="L21" s="31"/>
      <c r="M21" s="52" t="s">
        <v>69</v>
      </c>
      <c r="N21" s="53">
        <f>Q25</f>
        <v>0</v>
      </c>
      <c r="P21" s="49" t="s">
        <v>70</v>
      </c>
      <c r="Q21" s="27">
        <v>0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v>0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v>0</v>
      </c>
      <c r="R23" s="4">
        <v>0</v>
      </c>
    </row>
    <row r="24" spans="1:18" x14ac:dyDescent="0.3">
      <c r="A24" s="156" t="s">
        <v>76</v>
      </c>
      <c r="B24" s="157"/>
      <c r="C24" s="19">
        <f>N20</f>
        <v>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0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v>0</v>
      </c>
      <c r="R24" s="4">
        <v>0</v>
      </c>
    </row>
    <row r="25" spans="1:18" x14ac:dyDescent="0.3">
      <c r="A25" s="156" t="s">
        <v>69</v>
      </c>
      <c r="B25" s="157"/>
      <c r="C25" s="19">
        <f>+N21</f>
        <v>0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0</v>
      </c>
      <c r="H25" s="179"/>
      <c r="I25" s="180"/>
      <c r="J25" s="180"/>
      <c r="K25" s="180"/>
      <c r="L25" s="181"/>
      <c r="M25" s="25" t="s">
        <v>79</v>
      </c>
      <c r="N25" s="27">
        <f>C32</f>
        <v>28.017425279999998</v>
      </c>
      <c r="O25" s="57"/>
      <c r="P25" s="58" t="s">
        <v>80</v>
      </c>
      <c r="Q25" s="27">
        <f>SUM(Q21:Q24)</f>
        <v>0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SUMMARY!I43</f>
        <v>3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SUMMARY!H43</f>
        <v>0.5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109.19775999999997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0.73433830109476916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28.017425279999998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122.00355942727677</v>
      </c>
      <c r="H32" s="9"/>
      <c r="I32" s="5"/>
      <c r="J32" s="5"/>
      <c r="K32" s="47"/>
      <c r="L32" s="63"/>
      <c r="M32" s="50" t="s">
        <v>87</v>
      </c>
      <c r="N32" s="46">
        <f>+L45</f>
        <v>321.09079003065898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1</v>
      </c>
    </row>
    <row r="35" spans="1:15" x14ac:dyDescent="0.3">
      <c r="A35" s="156" t="s">
        <v>81</v>
      </c>
      <c r="B35" s="157"/>
      <c r="C35" s="19">
        <f>I13</f>
        <v>3</v>
      </c>
      <c r="D35" s="5" t="s">
        <v>90</v>
      </c>
      <c r="E35" s="5">
        <v>240</v>
      </c>
      <c r="F35" s="5"/>
      <c r="G35" s="34">
        <f>E35*C35</f>
        <v>720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0.5</v>
      </c>
      <c r="D36" s="5" t="s">
        <v>91</v>
      </c>
      <c r="E36" s="5">
        <v>3413</v>
      </c>
      <c r="F36" s="5">
        <v>1</v>
      </c>
      <c r="G36" s="34">
        <f>F36*E36*C36</f>
        <v>1706.5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109.19775999999997</v>
      </c>
      <c r="D37" s="5" t="s">
        <v>92</v>
      </c>
      <c r="E37" s="5">
        <v>3.4129999999999998</v>
      </c>
      <c r="F37" s="5"/>
      <c r="G37" s="34">
        <f>+E37*C37</f>
        <v>372.69195487999991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5262.3954887072759</v>
      </c>
      <c r="H39" s="156" t="s">
        <v>97</v>
      </c>
      <c r="I39" s="157"/>
      <c r="J39" s="157"/>
      <c r="K39" s="157"/>
      <c r="L39" s="69">
        <f>G41</f>
        <v>5920.1949247956854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657.79943608840949</v>
      </c>
      <c r="H40" s="156" t="s">
        <v>99</v>
      </c>
      <c r="I40" s="157"/>
      <c r="J40" s="157"/>
      <c r="K40" s="157"/>
      <c r="L40" s="70">
        <f>G50</f>
        <v>6639.826044692405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5920.1949247956854</v>
      </c>
      <c r="H41" s="156" t="s">
        <v>100</v>
      </c>
      <c r="I41" s="157"/>
      <c r="J41" s="157"/>
      <c r="K41" s="157"/>
      <c r="L41" s="72">
        <f>L39/L40</f>
        <v>0.89161897991710759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28.017425279999998</v>
      </c>
      <c r="D44" s="5" t="s">
        <v>86</v>
      </c>
      <c r="E44" s="5">
        <f>+L7</f>
        <v>76.2</v>
      </c>
      <c r="F44" s="5">
        <v>0.68</v>
      </c>
      <c r="G44" s="34">
        <f>F44*E44*C44*B44</f>
        <v>174.21010899701758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3</v>
      </c>
      <c r="D45" s="5" t="s">
        <v>90</v>
      </c>
      <c r="E45" s="5">
        <v>160</v>
      </c>
      <c r="F45" s="5"/>
      <c r="G45" s="30">
        <f>E45*C45</f>
        <v>480</v>
      </c>
      <c r="H45" s="156" t="s">
        <v>108</v>
      </c>
      <c r="I45" s="157"/>
      <c r="J45" s="157"/>
      <c r="K45" s="157"/>
      <c r="L45" s="77">
        <f>L39/(L44*1.08)</f>
        <v>321.09079003065898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654.21010899701764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65.42101089970177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719.63111989671938</v>
      </c>
      <c r="H49" s="9" t="s">
        <v>113</v>
      </c>
      <c r="I49" s="79"/>
      <c r="J49" s="79"/>
      <c r="K49" s="79"/>
      <c r="L49" s="55">
        <f>N34</f>
        <v>1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6639.826044692405</v>
      </c>
      <c r="H50" s="156" t="s">
        <v>114</v>
      </c>
      <c r="I50" s="157"/>
      <c r="J50" s="157"/>
      <c r="K50" s="157"/>
      <c r="L50" s="31">
        <f>L45</f>
        <v>321.09079003065898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0.73433830109476916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321.09079003065898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28.017425279999998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894.69276913336307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28.017425279999998</v>
      </c>
      <c r="D55" s="5" t="s">
        <v>86</v>
      </c>
      <c r="E55" s="5">
        <f>+L7</f>
        <v>76.2</v>
      </c>
      <c r="F55" s="5">
        <v>0.68</v>
      </c>
      <c r="G55" s="34">
        <f>F55*E55*C55*B55</f>
        <v>1277.5407993114623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8812.0596131372295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0.73433830109476916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s="137" customFormat="1" x14ac:dyDescent="0.3">
      <c r="A63" s="136"/>
      <c r="B63" s="136" t="s">
        <v>188</v>
      </c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N63" s="138"/>
      <c r="O63" s="138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>
    <pageSetUpPr fitToPage="1"/>
  </sheetPr>
  <dimension ref="A1:S67"/>
  <sheetViews>
    <sheetView view="pageBreakPreview" zoomScale="70" zoomScaleNormal="100" zoomScaleSheetLayoutView="70" workbookViewId="0">
      <selection activeCell="M56" sqref="M56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3.5</v>
      </c>
      <c r="O3" s="7">
        <f>N3*3.28</f>
        <v>11.479999999999999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2.9</v>
      </c>
      <c r="O4" s="7">
        <f>N4*3.28</f>
        <v>9.5119999999999987</v>
      </c>
      <c r="P4" s="8"/>
      <c r="Q4" s="8"/>
    </row>
    <row r="5" spans="1:19" x14ac:dyDescent="0.3">
      <c r="A5" s="9" t="s">
        <v>17</v>
      </c>
      <c r="B5" s="5"/>
      <c r="C5" s="162" t="s">
        <v>170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11.479999999999999</v>
      </c>
      <c r="D7" s="19">
        <f>+N8</f>
        <v>9.5119999999999987</v>
      </c>
      <c r="E7" s="20">
        <f>+N9</f>
        <v>109.19775999999997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11.479999999999999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9.5119999999999987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109.19775999999997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1253.5902847999996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0</v>
      </c>
      <c r="M11" s="25" t="s">
        <v>43</v>
      </c>
      <c r="N11" s="27">
        <v>0</v>
      </c>
      <c r="P11" s="36" t="s">
        <v>46</v>
      </c>
      <c r="Q11" s="37">
        <v>7.5</v>
      </c>
      <c r="R11" s="32"/>
    </row>
    <row r="12" spans="1:19" x14ac:dyDescent="0.3">
      <c r="A12" s="156" t="s">
        <v>47</v>
      </c>
      <c r="B12" s="157"/>
      <c r="C12" s="19">
        <f>+N12</f>
        <v>0</v>
      </c>
      <c r="D12" s="5" t="s">
        <v>44</v>
      </c>
      <c r="E12" s="5">
        <v>12</v>
      </c>
      <c r="F12" s="33">
        <v>0.56000000000000005</v>
      </c>
      <c r="G12" s="34">
        <f>F12*E12*C12</f>
        <v>0</v>
      </c>
      <c r="H12" s="9" t="s">
        <v>48</v>
      </c>
      <c r="I12" s="5"/>
      <c r="J12" s="5"/>
      <c r="K12" s="5"/>
      <c r="L12" s="31">
        <f>+Q17</f>
        <v>37.767425279999998</v>
      </c>
      <c r="M12" s="25" t="s">
        <v>47</v>
      </c>
      <c r="N12" s="38">
        <v>0</v>
      </c>
      <c r="P12" s="32" t="s">
        <v>49</v>
      </c>
      <c r="Q12" s="39">
        <f>+Q11*C35</f>
        <v>22.5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9" t="s">
        <v>51</v>
      </c>
      <c r="I13" s="19">
        <f>N26</f>
        <v>3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0</v>
      </c>
      <c r="M14" s="25" t="s">
        <v>54</v>
      </c>
      <c r="N14" s="27">
        <v>0</v>
      </c>
      <c r="P14" s="29" t="s">
        <v>56</v>
      </c>
      <c r="Q14" s="27">
        <f>+Q13*E7</f>
        <v>6.5518655999999984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29.051865599999999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v>0</v>
      </c>
      <c r="O16" s="40"/>
      <c r="P16" s="48" t="s">
        <v>61</v>
      </c>
      <c r="Q16" s="27">
        <f>Q15*30%</f>
        <v>8.7155596800000001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37.767425279999998</v>
      </c>
      <c r="R17" s="29"/>
    </row>
    <row r="18" spans="1:18" x14ac:dyDescent="0.3">
      <c r="A18" s="156" t="s">
        <v>60</v>
      </c>
      <c r="B18" s="157"/>
      <c r="C18" s="19">
        <f>+N16</f>
        <v>0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0</v>
      </c>
      <c r="H18" s="9"/>
      <c r="I18" s="5"/>
      <c r="J18" s="5"/>
      <c r="K18" s="5"/>
      <c r="L18" s="6"/>
      <c r="M18" s="25" t="s">
        <v>64</v>
      </c>
      <c r="N18" s="27">
        <f>(O7-N14)*N13</f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9"/>
      <c r="I19" s="5"/>
      <c r="J19" s="5"/>
      <c r="K19" s="47"/>
      <c r="L19" s="31"/>
      <c r="M19" s="25" t="s">
        <v>65</v>
      </c>
      <c r="N19" s="27">
        <f>N9</f>
        <v>109.19775999999997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9"/>
      <c r="I20" s="5"/>
      <c r="J20" s="5"/>
      <c r="K20" s="47"/>
      <c r="L20" s="31"/>
      <c r="M20" s="25" t="s">
        <v>66</v>
      </c>
      <c r="N20" s="27">
        <f>+N11+N12+N13+N14</f>
        <v>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109.19775999999997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2341.1999743999991</v>
      </c>
      <c r="H21" s="9"/>
      <c r="I21" s="5"/>
      <c r="J21" s="21"/>
      <c r="K21" s="47"/>
      <c r="L21" s="31"/>
      <c r="M21" s="52" t="s">
        <v>69</v>
      </c>
      <c r="N21" s="53">
        <f>Q25</f>
        <v>0</v>
      </c>
      <c r="P21" s="49" t="s">
        <v>70</v>
      </c>
      <c r="Q21" s="27">
        <v>0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v>0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v>0</v>
      </c>
      <c r="R23" s="4">
        <v>0</v>
      </c>
    </row>
    <row r="24" spans="1:18" x14ac:dyDescent="0.3">
      <c r="A24" s="156" t="s">
        <v>76</v>
      </c>
      <c r="B24" s="157"/>
      <c r="C24" s="19">
        <f>N20</f>
        <v>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0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v>0</v>
      </c>
      <c r="R24" s="4">
        <v>0</v>
      </c>
    </row>
    <row r="25" spans="1:18" x14ac:dyDescent="0.3">
      <c r="A25" s="156" t="s">
        <v>69</v>
      </c>
      <c r="B25" s="157"/>
      <c r="C25" s="19">
        <f>+N21</f>
        <v>0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0</v>
      </c>
      <c r="H25" s="179"/>
      <c r="I25" s="180"/>
      <c r="J25" s="180"/>
      <c r="K25" s="180"/>
      <c r="L25" s="181"/>
      <c r="M25" s="25" t="s">
        <v>79</v>
      </c>
      <c r="N25" s="27">
        <f>C32</f>
        <v>37.767425279999998</v>
      </c>
      <c r="O25" s="57"/>
      <c r="P25" s="58" t="s">
        <v>80</v>
      </c>
      <c r="Q25" s="27">
        <f>SUM(Q21:Q24)</f>
        <v>0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SUMMARY!I44</f>
        <v>3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SUMMARY!H44</f>
        <v>0.5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109.19775999999997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0.80687026709476894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37.767425279999998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164.46051942727678</v>
      </c>
      <c r="H32" s="9"/>
      <c r="I32" s="5"/>
      <c r="J32" s="5"/>
      <c r="K32" s="47"/>
      <c r="L32" s="63"/>
      <c r="M32" s="50" t="s">
        <v>87</v>
      </c>
      <c r="N32" s="46">
        <f>+L45</f>
        <v>323.68134766889699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0.5</v>
      </c>
    </row>
    <row r="35" spans="1:15" x14ac:dyDescent="0.3">
      <c r="A35" s="156" t="s">
        <v>81</v>
      </c>
      <c r="B35" s="157"/>
      <c r="C35" s="19">
        <f>I13</f>
        <v>3</v>
      </c>
      <c r="D35" s="5" t="s">
        <v>90</v>
      </c>
      <c r="E35" s="5">
        <v>240</v>
      </c>
      <c r="F35" s="5"/>
      <c r="G35" s="34">
        <f>E35*C35</f>
        <v>720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0.5</v>
      </c>
      <c r="D36" s="5" t="s">
        <v>91</v>
      </c>
      <c r="E36" s="5">
        <v>3413</v>
      </c>
      <c r="F36" s="5">
        <v>1</v>
      </c>
      <c r="G36" s="34">
        <f>F36*E36*C36</f>
        <v>1706.5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109.19775999999997</v>
      </c>
      <c r="D37" s="5" t="s">
        <v>92</v>
      </c>
      <c r="E37" s="5">
        <v>3.4129999999999998</v>
      </c>
      <c r="F37" s="5"/>
      <c r="G37" s="34">
        <f>+E37*C37</f>
        <v>372.69195487999991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5304.8524487072755</v>
      </c>
      <c r="H39" s="156" t="s">
        <v>97</v>
      </c>
      <c r="I39" s="157"/>
      <c r="J39" s="157"/>
      <c r="K39" s="157"/>
      <c r="L39" s="69">
        <f>G41</f>
        <v>5967.9590047956845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663.10655608840943</v>
      </c>
      <c r="H40" s="156" t="s">
        <v>99</v>
      </c>
      <c r="I40" s="157"/>
      <c r="J40" s="157"/>
      <c r="K40" s="157"/>
      <c r="L40" s="70">
        <f>G50</f>
        <v>6754.2773166924035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5967.9590047956845</v>
      </c>
      <c r="H41" s="156" t="s">
        <v>100</v>
      </c>
      <c r="I41" s="157"/>
      <c r="J41" s="157"/>
      <c r="K41" s="157"/>
      <c r="L41" s="72">
        <f>L39/L40</f>
        <v>0.88358216948637491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37.767425279999998</v>
      </c>
      <c r="D44" s="5" t="s">
        <v>86</v>
      </c>
      <c r="E44" s="5">
        <f>+L7</f>
        <v>76.2</v>
      </c>
      <c r="F44" s="5">
        <v>0.68</v>
      </c>
      <c r="G44" s="34">
        <f>F44*E44*C44*B44</f>
        <v>234.83482899701758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3</v>
      </c>
      <c r="D45" s="5" t="s">
        <v>90</v>
      </c>
      <c r="E45" s="5">
        <v>160</v>
      </c>
      <c r="F45" s="5"/>
      <c r="G45" s="30">
        <f>E45*C45</f>
        <v>480</v>
      </c>
      <c r="H45" s="156" t="s">
        <v>108</v>
      </c>
      <c r="I45" s="157"/>
      <c r="J45" s="157"/>
      <c r="K45" s="157"/>
      <c r="L45" s="77">
        <f>L39/(L44*1.08)</f>
        <v>323.68134766889699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714.83482899701755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71.483482899701755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786.31831189671925</v>
      </c>
      <c r="H49" s="9" t="s">
        <v>113</v>
      </c>
      <c r="I49" s="79"/>
      <c r="J49" s="79"/>
      <c r="K49" s="79"/>
      <c r="L49" s="55">
        <f>N34</f>
        <v>0.5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6754.2773166924035</v>
      </c>
      <c r="H50" s="156" t="s">
        <v>114</v>
      </c>
      <c r="I50" s="157"/>
      <c r="J50" s="157"/>
      <c r="K50" s="157"/>
      <c r="L50" s="31">
        <f>L45</f>
        <v>323.68134766889699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0.80687026709476894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323.68134766889699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37.767425279999998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1206.0438091333631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37.767425279999998</v>
      </c>
      <c r="D55" s="5" t="s">
        <v>86</v>
      </c>
      <c r="E55" s="5">
        <f>+L7</f>
        <v>76.2</v>
      </c>
      <c r="F55" s="5">
        <v>0.68</v>
      </c>
      <c r="G55" s="34">
        <f>F55*E55*C55*B55</f>
        <v>1722.1220793114624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9682.4432051372278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0.80687026709476894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s="137" customFormat="1" x14ac:dyDescent="0.3">
      <c r="A63" s="136"/>
      <c r="B63" s="136" t="s">
        <v>188</v>
      </c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N63" s="138"/>
      <c r="O63" s="138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6">
    <pageSetUpPr fitToPage="1"/>
  </sheetPr>
  <dimension ref="A1:S67"/>
  <sheetViews>
    <sheetView view="pageBreakPreview" topLeftCell="B1" zoomScale="70" zoomScaleNormal="100" zoomScaleSheetLayoutView="70" workbookViewId="0">
      <selection activeCell="Q53" sqref="Q53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7.1</v>
      </c>
      <c r="O3" s="7">
        <f>N3*3.28</f>
        <v>23.287999999999997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2.9</v>
      </c>
      <c r="O4" s="7">
        <f>N4*3.28</f>
        <v>9.5119999999999987</v>
      </c>
      <c r="P4" s="8"/>
      <c r="Q4" s="8"/>
    </row>
    <row r="5" spans="1:19" x14ac:dyDescent="0.3">
      <c r="A5" s="9" t="s">
        <v>17</v>
      </c>
      <c r="B5" s="5"/>
      <c r="C5" s="162" t="s">
        <v>171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23.287999999999997</v>
      </c>
      <c r="D7" s="19">
        <f>+N8</f>
        <v>9.5119999999999987</v>
      </c>
      <c r="E7" s="20">
        <f>+N9</f>
        <v>221.51545599999994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23.287999999999997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9.5119999999999987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221.51545599999994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2542.9974348799992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0</v>
      </c>
      <c r="M11" s="25" t="s">
        <v>43</v>
      </c>
      <c r="N11" s="27">
        <v>0</v>
      </c>
      <c r="P11" s="36" t="s">
        <v>46</v>
      </c>
      <c r="Q11" s="37">
        <v>5</v>
      </c>
      <c r="R11" s="32"/>
    </row>
    <row r="12" spans="1:19" x14ac:dyDescent="0.3">
      <c r="A12" s="156" t="s">
        <v>47</v>
      </c>
      <c r="B12" s="157"/>
      <c r="C12" s="19">
        <f>+N12</f>
        <v>0</v>
      </c>
      <c r="D12" s="5" t="s">
        <v>44</v>
      </c>
      <c r="E12" s="5">
        <v>12</v>
      </c>
      <c r="F12" s="33">
        <v>0.56000000000000005</v>
      </c>
      <c r="G12" s="34">
        <f>F12*E12*C12</f>
        <v>0</v>
      </c>
      <c r="H12" s="9" t="s">
        <v>48</v>
      </c>
      <c r="I12" s="5"/>
      <c r="J12" s="5"/>
      <c r="K12" s="5"/>
      <c r="L12" s="31">
        <f>+Q17</f>
        <v>36.778205567999997</v>
      </c>
      <c r="M12" s="25" t="s">
        <v>47</v>
      </c>
      <c r="N12" s="38">
        <v>0</v>
      </c>
      <c r="P12" s="32" t="s">
        <v>49</v>
      </c>
      <c r="Q12" s="39">
        <f>+Q11*C35</f>
        <v>15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9" t="s">
        <v>51</v>
      </c>
      <c r="I13" s="19">
        <f>N26</f>
        <v>3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0</v>
      </c>
      <c r="M14" s="25" t="s">
        <v>54</v>
      </c>
      <c r="N14" s="27">
        <v>0</v>
      </c>
      <c r="P14" s="29" t="s">
        <v>56</v>
      </c>
      <c r="Q14" s="27">
        <f>+Q13*E7</f>
        <v>13.290927359999996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28.290927359999998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v>0</v>
      </c>
      <c r="O16" s="40"/>
      <c r="P16" s="48" t="s">
        <v>61</v>
      </c>
      <c r="Q16" s="27">
        <f>Q15*30%</f>
        <v>8.4872782079999993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36.778205567999997</v>
      </c>
      <c r="R17" s="29"/>
    </row>
    <row r="18" spans="1:18" x14ac:dyDescent="0.3">
      <c r="A18" s="156" t="s">
        <v>60</v>
      </c>
      <c r="B18" s="157"/>
      <c r="C18" s="19">
        <f>+N16</f>
        <v>0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0</v>
      </c>
      <c r="H18" s="9"/>
      <c r="I18" s="5"/>
      <c r="J18" s="5"/>
      <c r="K18" s="5"/>
      <c r="L18" s="6"/>
      <c r="M18" s="25" t="s">
        <v>64</v>
      </c>
      <c r="N18" s="27">
        <f>(O7-N14)*N13</f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9"/>
      <c r="I19" s="5"/>
      <c r="J19" s="5"/>
      <c r="K19" s="47"/>
      <c r="L19" s="31"/>
      <c r="M19" s="25" t="s">
        <v>65</v>
      </c>
      <c r="N19" s="27">
        <f>N9</f>
        <v>221.51545599999994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9"/>
      <c r="I20" s="5"/>
      <c r="J20" s="5"/>
      <c r="K20" s="47"/>
      <c r="L20" s="31"/>
      <c r="M20" s="25" t="s">
        <v>66</v>
      </c>
      <c r="N20" s="27">
        <f>+N11+N12+N13+N14</f>
        <v>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221.51545599999994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4749.2913766399979</v>
      </c>
      <c r="H21" s="9"/>
      <c r="I21" s="5"/>
      <c r="J21" s="21"/>
      <c r="K21" s="47"/>
      <c r="L21" s="31"/>
      <c r="M21" s="52" t="s">
        <v>69</v>
      </c>
      <c r="N21" s="53">
        <f>Q25</f>
        <v>109.19775999999997</v>
      </c>
      <c r="P21" s="49" t="s">
        <v>70</v>
      </c>
      <c r="Q21" s="27">
        <v>0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v>0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f>N8*N10</f>
        <v>109.19775999999997</v>
      </c>
      <c r="R23" s="4">
        <v>0</v>
      </c>
    </row>
    <row r="24" spans="1:18" x14ac:dyDescent="0.3">
      <c r="A24" s="156" t="s">
        <v>76</v>
      </c>
      <c r="B24" s="157"/>
      <c r="C24" s="19">
        <f>N20</f>
        <v>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0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v>0</v>
      </c>
      <c r="R24" s="4">
        <v>0</v>
      </c>
    </row>
    <row r="25" spans="1:18" x14ac:dyDescent="0.3">
      <c r="A25" s="156" t="s">
        <v>69</v>
      </c>
      <c r="B25" s="157"/>
      <c r="C25" s="19">
        <f>+N21</f>
        <v>109.19775999999997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1249.2223743999994</v>
      </c>
      <c r="H25" s="179"/>
      <c r="I25" s="180"/>
      <c r="J25" s="180"/>
      <c r="K25" s="180"/>
      <c r="L25" s="181"/>
      <c r="M25" s="25" t="s">
        <v>79</v>
      </c>
      <c r="N25" s="27">
        <f>C32</f>
        <v>36.778205567999997</v>
      </c>
      <c r="O25" s="57"/>
      <c r="P25" s="58" t="s">
        <v>80</v>
      </c>
      <c r="Q25" s="27">
        <f>SUM(Q21:Q24)</f>
        <v>109.19775999999997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SUMMARY!I45</f>
        <v>3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SUMMARY!H45</f>
        <v>0.5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221.51545599999994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1.1783226069065316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36.778205567999997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160.15290283819004</v>
      </c>
      <c r="H32" s="9"/>
      <c r="I32" s="5"/>
      <c r="J32" s="5"/>
      <c r="K32" s="47"/>
      <c r="L32" s="63"/>
      <c r="M32" s="50" t="s">
        <v>87</v>
      </c>
      <c r="N32" s="46">
        <f>+L45</f>
        <v>569.96342117247195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1</v>
      </c>
    </row>
    <row r="35" spans="1:15" x14ac:dyDescent="0.3">
      <c r="A35" s="156" t="s">
        <v>81</v>
      </c>
      <c r="B35" s="157"/>
      <c r="C35" s="19">
        <f>I13</f>
        <v>3</v>
      </c>
      <c r="D35" s="5" t="s">
        <v>90</v>
      </c>
      <c r="E35" s="5">
        <v>240</v>
      </c>
      <c r="F35" s="5"/>
      <c r="G35" s="34">
        <f>E35*C35</f>
        <v>720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0.5</v>
      </c>
      <c r="D36" s="5" t="s">
        <v>91</v>
      </c>
      <c r="E36" s="5">
        <v>3413</v>
      </c>
      <c r="F36" s="5">
        <v>1</v>
      </c>
      <c r="G36" s="34">
        <f>F36*E36*C36</f>
        <v>1706.5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221.51545599999994</v>
      </c>
      <c r="D37" s="5" t="s">
        <v>92</v>
      </c>
      <c r="E37" s="5">
        <v>3.4129999999999998</v>
      </c>
      <c r="F37" s="5"/>
      <c r="G37" s="34">
        <f>+E37*C37</f>
        <v>756.0322513279998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9341.1989052061872</v>
      </c>
      <c r="H39" s="156" t="s">
        <v>97</v>
      </c>
      <c r="I39" s="157"/>
      <c r="J39" s="157"/>
      <c r="K39" s="157"/>
      <c r="L39" s="69">
        <f>G41</f>
        <v>10508.84876835696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1167.6498631507734</v>
      </c>
      <c r="H40" s="156" t="s">
        <v>99</v>
      </c>
      <c r="I40" s="157"/>
      <c r="J40" s="157"/>
      <c r="K40" s="157"/>
      <c r="L40" s="70">
        <f>G50</f>
        <v>11288.401102318876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10508.84876835696</v>
      </c>
      <c r="H41" s="156" t="s">
        <v>100</v>
      </c>
      <c r="I41" s="157"/>
      <c r="J41" s="157"/>
      <c r="K41" s="157"/>
      <c r="L41" s="72">
        <f>L39/L40</f>
        <v>0.93094218331754885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36.778205567999997</v>
      </c>
      <c r="D44" s="5" t="s">
        <v>86</v>
      </c>
      <c r="E44" s="5">
        <f>+L7</f>
        <v>76.2</v>
      </c>
      <c r="F44" s="5">
        <v>0.68</v>
      </c>
      <c r="G44" s="34">
        <f>F44*E44*C44*B44</f>
        <v>228.68393996537856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3</v>
      </c>
      <c r="D45" s="5" t="s">
        <v>90</v>
      </c>
      <c r="E45" s="5">
        <v>160</v>
      </c>
      <c r="F45" s="5"/>
      <c r="G45" s="30">
        <f>E45*C45</f>
        <v>480</v>
      </c>
      <c r="H45" s="156" t="s">
        <v>108</v>
      </c>
      <c r="I45" s="157"/>
      <c r="J45" s="157"/>
      <c r="K45" s="157"/>
      <c r="L45" s="77">
        <f>L39/(L44*1.08)</f>
        <v>569.96342117247195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708.68393996537861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70.868393996537861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779.55233396191647</v>
      </c>
      <c r="H49" s="9" t="s">
        <v>113</v>
      </c>
      <c r="I49" s="79"/>
      <c r="J49" s="79"/>
      <c r="K49" s="79"/>
      <c r="L49" s="55">
        <f>N34</f>
        <v>1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11288.401102318876</v>
      </c>
      <c r="H50" s="156" t="s">
        <v>114</v>
      </c>
      <c r="I50" s="157"/>
      <c r="J50" s="157"/>
      <c r="K50" s="157"/>
      <c r="L50" s="31">
        <f>L45</f>
        <v>569.96342117247195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1.1783226069065316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569.96342117247195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36.778205567999997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1174.4546208133936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36.778205567999997</v>
      </c>
      <c r="D55" s="5" t="s">
        <v>86</v>
      </c>
      <c r="E55" s="5">
        <f>+L7</f>
        <v>76.2</v>
      </c>
      <c r="F55" s="5">
        <v>0.68</v>
      </c>
      <c r="G55" s="34">
        <f>F55*E55*C55*B55</f>
        <v>1677.0155597461094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14139.871282878379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1.1783226069065316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s="137" customFormat="1" x14ac:dyDescent="0.3">
      <c r="A63" s="136"/>
      <c r="B63" s="136" t="s">
        <v>188</v>
      </c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N63" s="138"/>
      <c r="O63" s="138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7">
    <pageSetUpPr fitToPage="1"/>
  </sheetPr>
  <dimension ref="A1:S67"/>
  <sheetViews>
    <sheetView view="pageBreakPreview" topLeftCell="B1" zoomScale="70" zoomScaleNormal="100" zoomScaleSheetLayoutView="70" workbookViewId="0">
      <selection activeCell="N53" sqref="N53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7.1</v>
      </c>
      <c r="O3" s="7">
        <f>N3*3.28</f>
        <v>23.287999999999997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2.9</v>
      </c>
      <c r="O4" s="7">
        <f>N4*3.28</f>
        <v>9.5119999999999987</v>
      </c>
      <c r="P4" s="8"/>
      <c r="Q4" s="8"/>
    </row>
    <row r="5" spans="1:19" x14ac:dyDescent="0.3">
      <c r="A5" s="9" t="s">
        <v>17</v>
      </c>
      <c r="B5" s="5"/>
      <c r="C5" s="162" t="s">
        <v>172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23.287999999999997</v>
      </c>
      <c r="D7" s="19">
        <f>+N8</f>
        <v>9.5119999999999987</v>
      </c>
      <c r="E7" s="20">
        <f>+N9</f>
        <v>221.51545599999994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23.287999999999997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9.5119999999999987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221.51545599999994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2542.9974348799992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0</v>
      </c>
      <c r="M11" s="25" t="s">
        <v>43</v>
      </c>
      <c r="N11" s="27">
        <v>0</v>
      </c>
      <c r="P11" s="36" t="s">
        <v>46</v>
      </c>
      <c r="Q11" s="37">
        <v>5</v>
      </c>
      <c r="R11" s="32"/>
    </row>
    <row r="12" spans="1:19" x14ac:dyDescent="0.3">
      <c r="A12" s="156" t="s">
        <v>47</v>
      </c>
      <c r="B12" s="157"/>
      <c r="C12" s="19">
        <f>+N12</f>
        <v>0</v>
      </c>
      <c r="D12" s="5" t="s">
        <v>44</v>
      </c>
      <c r="E12" s="5">
        <v>12</v>
      </c>
      <c r="F12" s="33">
        <v>0.56000000000000005</v>
      </c>
      <c r="G12" s="34">
        <f>F12*E12*C12</f>
        <v>0</v>
      </c>
      <c r="H12" s="9" t="s">
        <v>48</v>
      </c>
      <c r="I12" s="5"/>
      <c r="J12" s="5"/>
      <c r="K12" s="5"/>
      <c r="L12" s="31">
        <f>+Q17</f>
        <v>36.778205567999997</v>
      </c>
      <c r="M12" s="25" t="s">
        <v>47</v>
      </c>
      <c r="N12" s="38">
        <v>0</v>
      </c>
      <c r="P12" s="32" t="s">
        <v>49</v>
      </c>
      <c r="Q12" s="39">
        <f>+Q11*C35</f>
        <v>15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9" t="s">
        <v>51</v>
      </c>
      <c r="I13" s="19">
        <f>N26</f>
        <v>3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0</v>
      </c>
      <c r="M14" s="25" t="s">
        <v>54</v>
      </c>
      <c r="N14" s="27">
        <v>0</v>
      </c>
      <c r="P14" s="29" t="s">
        <v>56</v>
      </c>
      <c r="Q14" s="27">
        <f>+Q13*E7</f>
        <v>13.290927359999996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28.290927359999998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v>0</v>
      </c>
      <c r="O16" s="40"/>
      <c r="P16" s="48" t="s">
        <v>61</v>
      </c>
      <c r="Q16" s="27">
        <f>Q15*30%</f>
        <v>8.4872782079999993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36.778205567999997</v>
      </c>
      <c r="R17" s="29"/>
    </row>
    <row r="18" spans="1:18" x14ac:dyDescent="0.3">
      <c r="A18" s="156" t="s">
        <v>60</v>
      </c>
      <c r="B18" s="157"/>
      <c r="C18" s="19">
        <f>+N16</f>
        <v>0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0</v>
      </c>
      <c r="H18" s="9"/>
      <c r="I18" s="5"/>
      <c r="J18" s="5"/>
      <c r="K18" s="5"/>
      <c r="L18" s="6"/>
      <c r="M18" s="25" t="s">
        <v>64</v>
      </c>
      <c r="N18" s="27">
        <f>(O7-N14)*N13</f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9"/>
      <c r="I19" s="5"/>
      <c r="J19" s="5"/>
      <c r="K19" s="47"/>
      <c r="L19" s="31"/>
      <c r="M19" s="25" t="s">
        <v>65</v>
      </c>
      <c r="N19" s="27">
        <f>N9</f>
        <v>221.51545599999994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9"/>
      <c r="I20" s="5"/>
      <c r="J20" s="5"/>
      <c r="K20" s="47"/>
      <c r="L20" s="31"/>
      <c r="M20" s="25" t="s">
        <v>66</v>
      </c>
      <c r="N20" s="27">
        <f>+N11+N12+N13+N14</f>
        <v>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221.51545599999994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4749.2913766399979</v>
      </c>
      <c r="H21" s="9"/>
      <c r="I21" s="5"/>
      <c r="J21" s="21"/>
      <c r="K21" s="47"/>
      <c r="L21" s="31"/>
      <c r="M21" s="52" t="s">
        <v>69</v>
      </c>
      <c r="N21" s="53">
        <f>Q25</f>
        <v>109.19775999999997</v>
      </c>
      <c r="P21" s="49" t="s">
        <v>70</v>
      </c>
      <c r="Q21" s="27">
        <v>0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v>0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f>N8*N10</f>
        <v>109.19775999999997</v>
      </c>
      <c r="R23" s="4">
        <v>0</v>
      </c>
    </row>
    <row r="24" spans="1:18" x14ac:dyDescent="0.3">
      <c r="A24" s="156" t="s">
        <v>76</v>
      </c>
      <c r="B24" s="157"/>
      <c r="C24" s="19">
        <f>N20</f>
        <v>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0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v>0</v>
      </c>
      <c r="R24" s="4">
        <v>0</v>
      </c>
    </row>
    <row r="25" spans="1:18" x14ac:dyDescent="0.3">
      <c r="A25" s="156" t="s">
        <v>69</v>
      </c>
      <c r="B25" s="157"/>
      <c r="C25" s="19">
        <f>+N21</f>
        <v>109.19775999999997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1249.2223743999994</v>
      </c>
      <c r="H25" s="179"/>
      <c r="I25" s="180"/>
      <c r="J25" s="180"/>
      <c r="K25" s="180"/>
      <c r="L25" s="181"/>
      <c r="M25" s="25" t="s">
        <v>79</v>
      </c>
      <c r="N25" s="27">
        <f>C32</f>
        <v>36.778205567999997</v>
      </c>
      <c r="O25" s="57"/>
      <c r="P25" s="58" t="s">
        <v>80</v>
      </c>
      <c r="Q25" s="27">
        <f>SUM(Q21:Q24)</f>
        <v>109.19775999999997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SUMMARY!I46</f>
        <v>3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SUMMARY!H46</f>
        <v>0.5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221.51545599999994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1.1783226069065316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36.778205567999997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160.15290283819004</v>
      </c>
      <c r="H32" s="9"/>
      <c r="I32" s="5"/>
      <c r="J32" s="5"/>
      <c r="K32" s="47"/>
      <c r="L32" s="63"/>
      <c r="M32" s="50" t="s">
        <v>87</v>
      </c>
      <c r="N32" s="46">
        <f>+L45</f>
        <v>569.96342117247195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1</v>
      </c>
    </row>
    <row r="35" spans="1:15" x14ac:dyDescent="0.3">
      <c r="A35" s="156" t="s">
        <v>81</v>
      </c>
      <c r="B35" s="157"/>
      <c r="C35" s="19">
        <f>I13</f>
        <v>3</v>
      </c>
      <c r="D35" s="5" t="s">
        <v>90</v>
      </c>
      <c r="E35" s="5">
        <v>240</v>
      </c>
      <c r="F35" s="5"/>
      <c r="G35" s="34">
        <f>E35*C35</f>
        <v>720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0.5</v>
      </c>
      <c r="D36" s="5" t="s">
        <v>91</v>
      </c>
      <c r="E36" s="5">
        <v>3413</v>
      </c>
      <c r="F36" s="5">
        <v>1</v>
      </c>
      <c r="G36" s="34">
        <f>F36*E36*C36</f>
        <v>1706.5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221.51545599999994</v>
      </c>
      <c r="D37" s="5" t="s">
        <v>92</v>
      </c>
      <c r="E37" s="5">
        <v>3.4129999999999998</v>
      </c>
      <c r="F37" s="5"/>
      <c r="G37" s="34">
        <f>+E37*C37</f>
        <v>756.0322513279998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9341.1989052061872</v>
      </c>
      <c r="H39" s="156" t="s">
        <v>97</v>
      </c>
      <c r="I39" s="157"/>
      <c r="J39" s="157"/>
      <c r="K39" s="157"/>
      <c r="L39" s="69">
        <f>G41</f>
        <v>10508.84876835696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1167.6498631507734</v>
      </c>
      <c r="H40" s="156" t="s">
        <v>99</v>
      </c>
      <c r="I40" s="157"/>
      <c r="J40" s="157"/>
      <c r="K40" s="157"/>
      <c r="L40" s="70">
        <f>G50</f>
        <v>11288.401102318876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10508.84876835696</v>
      </c>
      <c r="H41" s="156" t="s">
        <v>100</v>
      </c>
      <c r="I41" s="157"/>
      <c r="J41" s="157"/>
      <c r="K41" s="157"/>
      <c r="L41" s="72">
        <f>L39/L40</f>
        <v>0.93094218331754885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36.778205567999997</v>
      </c>
      <c r="D44" s="5" t="s">
        <v>86</v>
      </c>
      <c r="E44" s="5">
        <f>+L7</f>
        <v>76.2</v>
      </c>
      <c r="F44" s="5">
        <v>0.68</v>
      </c>
      <c r="G44" s="34">
        <f>F44*E44*C44*B44</f>
        <v>228.68393996537856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3</v>
      </c>
      <c r="D45" s="5" t="s">
        <v>90</v>
      </c>
      <c r="E45" s="5">
        <v>160</v>
      </c>
      <c r="F45" s="5"/>
      <c r="G45" s="30">
        <f>E45*C45</f>
        <v>480</v>
      </c>
      <c r="H45" s="156" t="s">
        <v>108</v>
      </c>
      <c r="I45" s="157"/>
      <c r="J45" s="157"/>
      <c r="K45" s="157"/>
      <c r="L45" s="77">
        <f>L39/(L44*1.08)</f>
        <v>569.96342117247195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708.68393996537861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70.868393996537861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779.55233396191647</v>
      </c>
      <c r="H49" s="9" t="s">
        <v>113</v>
      </c>
      <c r="I49" s="79"/>
      <c r="J49" s="79"/>
      <c r="K49" s="79"/>
      <c r="L49" s="55">
        <f>N34</f>
        <v>1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11288.401102318876</v>
      </c>
      <c r="H50" s="156" t="s">
        <v>114</v>
      </c>
      <c r="I50" s="157"/>
      <c r="J50" s="157"/>
      <c r="K50" s="157"/>
      <c r="L50" s="31">
        <f>L45</f>
        <v>569.96342117247195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1.1783226069065316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569.96342117247195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36.778205567999997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1174.4546208133936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36.778205567999997</v>
      </c>
      <c r="D55" s="5" t="s">
        <v>86</v>
      </c>
      <c r="E55" s="5">
        <f>+L7</f>
        <v>76.2</v>
      </c>
      <c r="F55" s="5">
        <v>0.68</v>
      </c>
      <c r="G55" s="34">
        <f>F55*E55*C55*B55</f>
        <v>1677.0155597461094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14139.871282878379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1.1783226069065316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s="137" customFormat="1" x14ac:dyDescent="0.3">
      <c r="A63" s="136"/>
      <c r="B63" s="136" t="s">
        <v>188</v>
      </c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N63" s="138"/>
      <c r="O63" s="138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8">
    <pageSetUpPr fitToPage="1"/>
  </sheetPr>
  <dimension ref="A1:S67"/>
  <sheetViews>
    <sheetView view="pageBreakPreview" topLeftCell="B1" zoomScale="70" zoomScaleNormal="100" zoomScaleSheetLayoutView="70" workbookViewId="0">
      <selection activeCell="O59" sqref="O59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7.1</v>
      </c>
      <c r="O3" s="7">
        <f>N3*3.28</f>
        <v>23.287999999999997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2.9</v>
      </c>
      <c r="O4" s="7">
        <f>N4*3.28</f>
        <v>9.5119999999999987</v>
      </c>
      <c r="P4" s="8"/>
      <c r="Q4" s="8"/>
    </row>
    <row r="5" spans="1:19" x14ac:dyDescent="0.3">
      <c r="A5" s="9" t="s">
        <v>17</v>
      </c>
      <c r="B5" s="5"/>
      <c r="C5" s="162" t="s">
        <v>173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23.287999999999997</v>
      </c>
      <c r="D7" s="19">
        <f>+N8</f>
        <v>9.5119999999999987</v>
      </c>
      <c r="E7" s="20">
        <f>+N9</f>
        <v>221.51545599999994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23.287999999999997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9.5119999999999987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221.51545599999994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2542.9974348799992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0</v>
      </c>
      <c r="M11" s="25" t="s">
        <v>43</v>
      </c>
      <c r="N11" s="27">
        <v>0</v>
      </c>
      <c r="P11" s="36" t="s">
        <v>46</v>
      </c>
      <c r="Q11" s="37">
        <v>5</v>
      </c>
      <c r="R11" s="32"/>
    </row>
    <row r="12" spans="1:19" x14ac:dyDescent="0.3">
      <c r="A12" s="156" t="s">
        <v>47</v>
      </c>
      <c r="B12" s="157"/>
      <c r="C12" s="19">
        <f>+N12</f>
        <v>0</v>
      </c>
      <c r="D12" s="5" t="s">
        <v>44</v>
      </c>
      <c r="E12" s="5">
        <v>12</v>
      </c>
      <c r="F12" s="33">
        <v>0.56000000000000005</v>
      </c>
      <c r="G12" s="34">
        <f>F12*E12*C12</f>
        <v>0</v>
      </c>
      <c r="H12" s="9" t="s">
        <v>48</v>
      </c>
      <c r="I12" s="5"/>
      <c r="J12" s="5"/>
      <c r="K12" s="5"/>
      <c r="L12" s="31">
        <f>+Q17</f>
        <v>36.778205567999997</v>
      </c>
      <c r="M12" s="25" t="s">
        <v>47</v>
      </c>
      <c r="N12" s="38">
        <v>0</v>
      </c>
      <c r="P12" s="32" t="s">
        <v>49</v>
      </c>
      <c r="Q12" s="39">
        <f>+Q11*C35</f>
        <v>15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9" t="s">
        <v>51</v>
      </c>
      <c r="I13" s="19">
        <f>N26</f>
        <v>3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0</v>
      </c>
      <c r="M14" s="25" t="s">
        <v>54</v>
      </c>
      <c r="N14" s="27">
        <v>0</v>
      </c>
      <c r="P14" s="29" t="s">
        <v>56</v>
      </c>
      <c r="Q14" s="27">
        <f>+Q13*E7</f>
        <v>13.290927359999996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28.290927359999998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v>0</v>
      </c>
      <c r="O16" s="40"/>
      <c r="P16" s="48" t="s">
        <v>61</v>
      </c>
      <c r="Q16" s="27">
        <f>Q15*30%</f>
        <v>8.4872782079999993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36.778205567999997</v>
      </c>
      <c r="R17" s="29"/>
    </row>
    <row r="18" spans="1:18" x14ac:dyDescent="0.3">
      <c r="A18" s="156" t="s">
        <v>60</v>
      </c>
      <c r="B18" s="157"/>
      <c r="C18" s="19">
        <f>+N16</f>
        <v>0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0</v>
      </c>
      <c r="H18" s="9"/>
      <c r="I18" s="5"/>
      <c r="J18" s="5"/>
      <c r="K18" s="5"/>
      <c r="L18" s="6"/>
      <c r="M18" s="25" t="s">
        <v>64</v>
      </c>
      <c r="N18" s="27">
        <f>(O7-N14)*N13</f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9"/>
      <c r="I19" s="5"/>
      <c r="J19" s="5"/>
      <c r="K19" s="47"/>
      <c r="L19" s="31"/>
      <c r="M19" s="25" t="s">
        <v>65</v>
      </c>
      <c r="N19" s="27">
        <f>N9</f>
        <v>221.51545599999994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9"/>
      <c r="I20" s="5"/>
      <c r="J20" s="5"/>
      <c r="K20" s="47"/>
      <c r="L20" s="31"/>
      <c r="M20" s="25" t="s">
        <v>66</v>
      </c>
      <c r="N20" s="27">
        <f>+N11+N12+N13+N14</f>
        <v>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221.51545599999994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4749.2913766399979</v>
      </c>
      <c r="H21" s="9"/>
      <c r="I21" s="5"/>
      <c r="J21" s="21"/>
      <c r="K21" s="47"/>
      <c r="L21" s="31"/>
      <c r="M21" s="52" t="s">
        <v>69</v>
      </c>
      <c r="N21" s="53">
        <f>Q25</f>
        <v>109.19775999999997</v>
      </c>
      <c r="P21" s="49" t="s">
        <v>70</v>
      </c>
      <c r="Q21" s="27">
        <v>0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v>0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f>N8*N10</f>
        <v>109.19775999999997</v>
      </c>
      <c r="R23" s="4">
        <v>0</v>
      </c>
    </row>
    <row r="24" spans="1:18" x14ac:dyDescent="0.3">
      <c r="A24" s="156" t="s">
        <v>76</v>
      </c>
      <c r="B24" s="157"/>
      <c r="C24" s="19">
        <f>N20</f>
        <v>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0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v>0</v>
      </c>
      <c r="R24" s="4">
        <v>0</v>
      </c>
    </row>
    <row r="25" spans="1:18" x14ac:dyDescent="0.3">
      <c r="A25" s="156" t="s">
        <v>69</v>
      </c>
      <c r="B25" s="157"/>
      <c r="C25" s="19">
        <f>+N21</f>
        <v>109.19775999999997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1249.2223743999994</v>
      </c>
      <c r="H25" s="179"/>
      <c r="I25" s="180"/>
      <c r="J25" s="180"/>
      <c r="K25" s="180"/>
      <c r="L25" s="181"/>
      <c r="M25" s="25" t="s">
        <v>79</v>
      </c>
      <c r="N25" s="27">
        <f>C32</f>
        <v>36.778205567999997</v>
      </c>
      <c r="O25" s="57"/>
      <c r="P25" s="58" t="s">
        <v>80</v>
      </c>
      <c r="Q25" s="27">
        <f>SUM(Q21:Q24)</f>
        <v>109.19775999999997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SUMMARY!I47</f>
        <v>3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SUMMARY!H47</f>
        <v>0.5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221.51545599999994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1.1783226069065316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36.778205567999997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160.15290283819004</v>
      </c>
      <c r="H32" s="9"/>
      <c r="I32" s="5"/>
      <c r="J32" s="5"/>
      <c r="K32" s="47"/>
      <c r="L32" s="63"/>
      <c r="M32" s="50" t="s">
        <v>87</v>
      </c>
      <c r="N32" s="46">
        <f>+L45</f>
        <v>569.96342117247195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1</v>
      </c>
    </row>
    <row r="35" spans="1:15" x14ac:dyDescent="0.3">
      <c r="A35" s="156" t="s">
        <v>81</v>
      </c>
      <c r="B35" s="157"/>
      <c r="C35" s="19">
        <f>I13</f>
        <v>3</v>
      </c>
      <c r="D35" s="5" t="s">
        <v>90</v>
      </c>
      <c r="E35" s="5">
        <v>240</v>
      </c>
      <c r="F35" s="5"/>
      <c r="G35" s="34">
        <f>E35*C35</f>
        <v>720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0.5</v>
      </c>
      <c r="D36" s="5" t="s">
        <v>91</v>
      </c>
      <c r="E36" s="5">
        <v>3413</v>
      </c>
      <c r="F36" s="5">
        <v>1</v>
      </c>
      <c r="G36" s="34">
        <f>F36*E36*C36</f>
        <v>1706.5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221.51545599999994</v>
      </c>
      <c r="D37" s="5" t="s">
        <v>92</v>
      </c>
      <c r="E37" s="5">
        <v>3.4129999999999998</v>
      </c>
      <c r="F37" s="5"/>
      <c r="G37" s="34">
        <f>+E37*C37</f>
        <v>756.0322513279998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9341.1989052061872</v>
      </c>
      <c r="H39" s="156" t="s">
        <v>97</v>
      </c>
      <c r="I39" s="157"/>
      <c r="J39" s="157"/>
      <c r="K39" s="157"/>
      <c r="L39" s="69">
        <f>G41</f>
        <v>10508.84876835696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1167.6498631507734</v>
      </c>
      <c r="H40" s="156" t="s">
        <v>99</v>
      </c>
      <c r="I40" s="157"/>
      <c r="J40" s="157"/>
      <c r="K40" s="157"/>
      <c r="L40" s="70">
        <f>G50</f>
        <v>11288.401102318876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10508.84876835696</v>
      </c>
      <c r="H41" s="156" t="s">
        <v>100</v>
      </c>
      <c r="I41" s="157"/>
      <c r="J41" s="157"/>
      <c r="K41" s="157"/>
      <c r="L41" s="72">
        <f>L39/L40</f>
        <v>0.93094218331754885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36.778205567999997</v>
      </c>
      <c r="D44" s="5" t="s">
        <v>86</v>
      </c>
      <c r="E44" s="5">
        <f>+L7</f>
        <v>76.2</v>
      </c>
      <c r="F44" s="5">
        <v>0.68</v>
      </c>
      <c r="G44" s="34">
        <f>F44*E44*C44*B44</f>
        <v>228.68393996537856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3</v>
      </c>
      <c r="D45" s="5" t="s">
        <v>90</v>
      </c>
      <c r="E45" s="5">
        <v>160</v>
      </c>
      <c r="F45" s="5"/>
      <c r="G45" s="30">
        <f>E45*C45</f>
        <v>480</v>
      </c>
      <c r="H45" s="156" t="s">
        <v>108</v>
      </c>
      <c r="I45" s="157"/>
      <c r="J45" s="157"/>
      <c r="K45" s="157"/>
      <c r="L45" s="77">
        <f>L39/(L44*1.08)</f>
        <v>569.96342117247195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708.68393996537861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70.868393996537861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779.55233396191647</v>
      </c>
      <c r="H49" s="9" t="s">
        <v>113</v>
      </c>
      <c r="I49" s="79"/>
      <c r="J49" s="79"/>
      <c r="K49" s="79"/>
      <c r="L49" s="55">
        <f>N34</f>
        <v>1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11288.401102318876</v>
      </c>
      <c r="H50" s="156" t="s">
        <v>114</v>
      </c>
      <c r="I50" s="157"/>
      <c r="J50" s="157"/>
      <c r="K50" s="157"/>
      <c r="L50" s="31">
        <f>L45</f>
        <v>569.96342117247195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1.1783226069065316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569.96342117247195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36.778205567999997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1174.4546208133936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36.778205567999997</v>
      </c>
      <c r="D55" s="5" t="s">
        <v>86</v>
      </c>
      <c r="E55" s="5">
        <f>+L7</f>
        <v>76.2</v>
      </c>
      <c r="F55" s="5">
        <v>0.68</v>
      </c>
      <c r="G55" s="34">
        <f>F55*E55*C55*B55</f>
        <v>1677.0155597461094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14139.871282878379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1.1783226069065316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s="137" customFormat="1" x14ac:dyDescent="0.3">
      <c r="A63" s="136"/>
      <c r="B63" s="136" t="s">
        <v>188</v>
      </c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N63" s="138"/>
      <c r="O63" s="138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9">
    <pageSetUpPr fitToPage="1"/>
  </sheetPr>
  <dimension ref="A1:S67"/>
  <sheetViews>
    <sheetView view="pageBreakPreview" topLeftCell="B1" zoomScale="70" zoomScaleNormal="100" zoomScaleSheetLayoutView="70" workbookViewId="0">
      <selection activeCell="M60" sqref="M60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7.1</v>
      </c>
      <c r="O3" s="7">
        <f>N3*3.28</f>
        <v>23.287999999999997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2.9</v>
      </c>
      <c r="O4" s="7">
        <f>N4*3.28</f>
        <v>9.5119999999999987</v>
      </c>
      <c r="P4" s="8"/>
      <c r="Q4" s="8"/>
    </row>
    <row r="5" spans="1:19" x14ac:dyDescent="0.3">
      <c r="A5" s="9" t="s">
        <v>17</v>
      </c>
      <c r="B5" s="5"/>
      <c r="C5" s="162" t="s">
        <v>174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23.287999999999997</v>
      </c>
      <c r="D7" s="19">
        <f>+N8</f>
        <v>9.5119999999999987</v>
      </c>
      <c r="E7" s="20">
        <f>+N9</f>
        <v>221.51545599999994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23.287999999999997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9.5119999999999987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221.51545599999994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2542.9974348799992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0</v>
      </c>
      <c r="M11" s="25" t="s">
        <v>43</v>
      </c>
      <c r="N11" s="27">
        <v>0</v>
      </c>
      <c r="P11" s="36" t="s">
        <v>46</v>
      </c>
      <c r="Q11" s="37">
        <v>5</v>
      </c>
      <c r="R11" s="32"/>
    </row>
    <row r="12" spans="1:19" x14ac:dyDescent="0.3">
      <c r="A12" s="156" t="s">
        <v>47</v>
      </c>
      <c r="B12" s="157"/>
      <c r="C12" s="19">
        <f>+N12</f>
        <v>0</v>
      </c>
      <c r="D12" s="5" t="s">
        <v>44</v>
      </c>
      <c r="E12" s="5">
        <v>12</v>
      </c>
      <c r="F12" s="33">
        <v>0.56000000000000005</v>
      </c>
      <c r="G12" s="34">
        <f>F12*E12*C12</f>
        <v>0</v>
      </c>
      <c r="H12" s="9" t="s">
        <v>48</v>
      </c>
      <c r="I12" s="5"/>
      <c r="J12" s="5"/>
      <c r="K12" s="5"/>
      <c r="L12" s="31">
        <f>+Q17</f>
        <v>36.778205567999997</v>
      </c>
      <c r="M12" s="25" t="s">
        <v>47</v>
      </c>
      <c r="N12" s="38">
        <v>0</v>
      </c>
      <c r="P12" s="32" t="s">
        <v>49</v>
      </c>
      <c r="Q12" s="39">
        <f>+Q11*C35</f>
        <v>15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9" t="s">
        <v>51</v>
      </c>
      <c r="I13" s="19">
        <f>N26</f>
        <v>3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0</v>
      </c>
      <c r="M14" s="25" t="s">
        <v>54</v>
      </c>
      <c r="N14" s="27">
        <v>0</v>
      </c>
      <c r="P14" s="29" t="s">
        <v>56</v>
      </c>
      <c r="Q14" s="27">
        <f>+Q13*E7</f>
        <v>13.290927359999996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28.290927359999998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v>0</v>
      </c>
      <c r="O16" s="40"/>
      <c r="P16" s="48" t="s">
        <v>61</v>
      </c>
      <c r="Q16" s="27">
        <f>Q15*30%</f>
        <v>8.4872782079999993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36.778205567999997</v>
      </c>
      <c r="R17" s="29"/>
    </row>
    <row r="18" spans="1:18" x14ac:dyDescent="0.3">
      <c r="A18" s="156" t="s">
        <v>60</v>
      </c>
      <c r="B18" s="157"/>
      <c r="C18" s="19">
        <f>+N16</f>
        <v>0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0</v>
      </c>
      <c r="H18" s="9"/>
      <c r="I18" s="5"/>
      <c r="J18" s="5"/>
      <c r="K18" s="5"/>
      <c r="L18" s="6"/>
      <c r="M18" s="25" t="s">
        <v>64</v>
      </c>
      <c r="N18" s="27">
        <f>(O7-N14)*N13</f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9"/>
      <c r="I19" s="5"/>
      <c r="J19" s="5"/>
      <c r="K19" s="47"/>
      <c r="L19" s="31"/>
      <c r="M19" s="25" t="s">
        <v>65</v>
      </c>
      <c r="N19" s="27">
        <f>N9</f>
        <v>221.51545599999994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9"/>
      <c r="I20" s="5"/>
      <c r="J20" s="5"/>
      <c r="K20" s="47"/>
      <c r="L20" s="31"/>
      <c r="M20" s="25" t="s">
        <v>66</v>
      </c>
      <c r="N20" s="27">
        <f>+N11+N12+N13+N14</f>
        <v>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221.51545599999994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4749.2913766399979</v>
      </c>
      <c r="H21" s="9"/>
      <c r="I21" s="5"/>
      <c r="J21" s="21"/>
      <c r="K21" s="47"/>
      <c r="L21" s="31"/>
      <c r="M21" s="52" t="s">
        <v>69</v>
      </c>
      <c r="N21" s="53">
        <f>Q25</f>
        <v>109.19775999999997</v>
      </c>
      <c r="P21" s="49" t="s">
        <v>70</v>
      </c>
      <c r="Q21" s="27">
        <v>0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v>0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f>N8*N10</f>
        <v>109.19775999999997</v>
      </c>
      <c r="R23" s="4">
        <v>0</v>
      </c>
    </row>
    <row r="24" spans="1:18" x14ac:dyDescent="0.3">
      <c r="A24" s="156" t="s">
        <v>76</v>
      </c>
      <c r="B24" s="157"/>
      <c r="C24" s="19">
        <f>N20</f>
        <v>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0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v>0</v>
      </c>
      <c r="R24" s="4">
        <v>0</v>
      </c>
    </row>
    <row r="25" spans="1:18" x14ac:dyDescent="0.3">
      <c r="A25" s="156" t="s">
        <v>69</v>
      </c>
      <c r="B25" s="157"/>
      <c r="C25" s="19">
        <f>+N21</f>
        <v>109.19775999999997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1249.2223743999994</v>
      </c>
      <c r="H25" s="179"/>
      <c r="I25" s="180"/>
      <c r="J25" s="180"/>
      <c r="K25" s="180"/>
      <c r="L25" s="181"/>
      <c r="M25" s="25" t="s">
        <v>79</v>
      </c>
      <c r="N25" s="27">
        <f>C32</f>
        <v>36.778205567999997</v>
      </c>
      <c r="O25" s="57"/>
      <c r="P25" s="58" t="s">
        <v>80</v>
      </c>
      <c r="Q25" s="27">
        <f>SUM(Q21:Q24)</f>
        <v>109.19775999999997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SUMMARY!I48</f>
        <v>3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SUMMARY!H48</f>
        <v>0.5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221.51545599999994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1.1783226069065316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36.778205567999997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160.15290283819004</v>
      </c>
      <c r="H32" s="9"/>
      <c r="I32" s="5"/>
      <c r="J32" s="5"/>
      <c r="K32" s="47"/>
      <c r="L32" s="63"/>
      <c r="M32" s="50" t="s">
        <v>87</v>
      </c>
      <c r="N32" s="46">
        <f>+L45</f>
        <v>569.96342117247195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1</v>
      </c>
    </row>
    <row r="35" spans="1:15" x14ac:dyDescent="0.3">
      <c r="A35" s="156" t="s">
        <v>81</v>
      </c>
      <c r="B35" s="157"/>
      <c r="C35" s="19">
        <f>I13</f>
        <v>3</v>
      </c>
      <c r="D35" s="5" t="s">
        <v>90</v>
      </c>
      <c r="E35" s="5">
        <v>240</v>
      </c>
      <c r="F35" s="5"/>
      <c r="G35" s="34">
        <f>E35*C35</f>
        <v>720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0.5</v>
      </c>
      <c r="D36" s="5" t="s">
        <v>91</v>
      </c>
      <c r="E36" s="5">
        <v>3413</v>
      </c>
      <c r="F36" s="5">
        <v>1</v>
      </c>
      <c r="G36" s="34">
        <f>F36*E36*C36</f>
        <v>1706.5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221.51545599999994</v>
      </c>
      <c r="D37" s="5" t="s">
        <v>92</v>
      </c>
      <c r="E37" s="5">
        <v>3.4129999999999998</v>
      </c>
      <c r="F37" s="5"/>
      <c r="G37" s="34">
        <f>+E37*C37</f>
        <v>756.0322513279998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9341.1989052061872</v>
      </c>
      <c r="H39" s="156" t="s">
        <v>97</v>
      </c>
      <c r="I39" s="157"/>
      <c r="J39" s="157"/>
      <c r="K39" s="157"/>
      <c r="L39" s="69">
        <f>G41</f>
        <v>10508.84876835696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1167.6498631507734</v>
      </c>
      <c r="H40" s="156" t="s">
        <v>99</v>
      </c>
      <c r="I40" s="157"/>
      <c r="J40" s="157"/>
      <c r="K40" s="157"/>
      <c r="L40" s="70">
        <f>G50</f>
        <v>11288.401102318876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10508.84876835696</v>
      </c>
      <c r="H41" s="156" t="s">
        <v>100</v>
      </c>
      <c r="I41" s="157"/>
      <c r="J41" s="157"/>
      <c r="K41" s="157"/>
      <c r="L41" s="72">
        <f>L39/L40</f>
        <v>0.93094218331754885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36.778205567999997</v>
      </c>
      <c r="D44" s="5" t="s">
        <v>86</v>
      </c>
      <c r="E44" s="5">
        <f>+L7</f>
        <v>76.2</v>
      </c>
      <c r="F44" s="5">
        <v>0.68</v>
      </c>
      <c r="G44" s="34">
        <f>F44*E44*C44*B44</f>
        <v>228.68393996537856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3</v>
      </c>
      <c r="D45" s="5" t="s">
        <v>90</v>
      </c>
      <c r="E45" s="5">
        <v>160</v>
      </c>
      <c r="F45" s="5"/>
      <c r="G45" s="30">
        <f>E45*C45</f>
        <v>480</v>
      </c>
      <c r="H45" s="156" t="s">
        <v>108</v>
      </c>
      <c r="I45" s="157"/>
      <c r="J45" s="157"/>
      <c r="K45" s="157"/>
      <c r="L45" s="77">
        <f>L39/(L44*1.08)</f>
        <v>569.96342117247195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708.68393996537861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70.868393996537861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779.55233396191647</v>
      </c>
      <c r="H49" s="9" t="s">
        <v>113</v>
      </c>
      <c r="I49" s="79"/>
      <c r="J49" s="79"/>
      <c r="K49" s="79"/>
      <c r="L49" s="55">
        <f>N34</f>
        <v>1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11288.401102318876</v>
      </c>
      <c r="H50" s="156" t="s">
        <v>114</v>
      </c>
      <c r="I50" s="157"/>
      <c r="J50" s="157"/>
      <c r="K50" s="157"/>
      <c r="L50" s="31">
        <f>L45</f>
        <v>569.96342117247195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1.1783226069065316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569.96342117247195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36.778205567999997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1174.4546208133936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36.778205567999997</v>
      </c>
      <c r="D55" s="5" t="s">
        <v>86</v>
      </c>
      <c r="E55" s="5">
        <f>+L7</f>
        <v>76.2</v>
      </c>
      <c r="F55" s="5">
        <v>0.68</v>
      </c>
      <c r="G55" s="34">
        <f>F55*E55*C55*B55</f>
        <v>1677.0155597461094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14139.871282878379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1.1783226069065316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s="137" customFormat="1" x14ac:dyDescent="0.3">
      <c r="A63" s="136"/>
      <c r="B63" s="136" t="s">
        <v>188</v>
      </c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N63" s="138"/>
      <c r="O63" s="138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66"/>
    <pageSetUpPr fitToPage="1"/>
  </sheetPr>
  <dimension ref="A1:S67"/>
  <sheetViews>
    <sheetView view="pageBreakPreview" topLeftCell="C1" zoomScale="85" zoomScaleNormal="100" zoomScaleSheetLayoutView="85" workbookViewId="0">
      <selection activeCell="N35" sqref="N35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6</v>
      </c>
      <c r="O3" s="7">
        <f>N3*3.28</f>
        <v>19.68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7.2</v>
      </c>
      <c r="O4" s="7">
        <f>N4*3.28</f>
        <v>23.616</v>
      </c>
      <c r="P4" s="8"/>
      <c r="Q4" s="8"/>
    </row>
    <row r="5" spans="1:19" x14ac:dyDescent="0.3">
      <c r="A5" s="9" t="s">
        <v>17</v>
      </c>
      <c r="B5" s="5"/>
      <c r="C5" s="162" t="s">
        <v>148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19.68</v>
      </c>
      <c r="D7" s="19">
        <f>+N8</f>
        <v>23.616</v>
      </c>
      <c r="E7" s="20">
        <f>+N9</f>
        <v>464.76288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19.68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23.616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464.76288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5335.4778623999991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0</v>
      </c>
      <c r="M11" s="25" t="s">
        <v>43</v>
      </c>
      <c r="N11" s="27">
        <v>0</v>
      </c>
      <c r="P11" s="36" t="s">
        <v>46</v>
      </c>
      <c r="Q11" s="37">
        <v>5</v>
      </c>
      <c r="R11" s="32"/>
    </row>
    <row r="12" spans="1:19" x14ac:dyDescent="0.3">
      <c r="A12" s="156" t="s">
        <v>47</v>
      </c>
      <c r="B12" s="157"/>
      <c r="C12" s="19">
        <f>+N12</f>
        <v>0</v>
      </c>
      <c r="D12" s="5" t="s">
        <v>44</v>
      </c>
      <c r="E12" s="5">
        <v>12</v>
      </c>
      <c r="F12" s="33">
        <v>0.56000000000000005</v>
      </c>
      <c r="G12" s="34">
        <f>F12*E12*C12</f>
        <v>0</v>
      </c>
      <c r="H12" s="9" t="s">
        <v>48</v>
      </c>
      <c r="I12" s="5"/>
      <c r="J12" s="5"/>
      <c r="K12" s="5"/>
      <c r="L12" s="31">
        <f>+Q17</f>
        <v>75.251504639999993</v>
      </c>
      <c r="M12" s="25" t="s">
        <v>47</v>
      </c>
      <c r="N12" s="38">
        <v>0</v>
      </c>
      <c r="P12" s="32" t="s">
        <v>49</v>
      </c>
      <c r="Q12" s="39">
        <f>+Q11*C35</f>
        <v>30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9" t="s">
        <v>51</v>
      </c>
      <c r="I13" s="19">
        <f>N26</f>
        <v>6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0</v>
      </c>
      <c r="M14" s="25" t="s">
        <v>54</v>
      </c>
      <c r="N14" s="27">
        <v>0</v>
      </c>
      <c r="P14" s="29" t="s">
        <v>56</v>
      </c>
      <c r="Q14" s="27">
        <f>+Q13*E7</f>
        <v>27.885772799999998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57.885772799999998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v>0</v>
      </c>
      <c r="O16" s="40"/>
      <c r="P16" s="48" t="s">
        <v>61</v>
      </c>
      <c r="Q16" s="27">
        <f>Q15*30%</f>
        <v>17.365731839999999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75.251504639999993</v>
      </c>
      <c r="R17" s="29"/>
    </row>
    <row r="18" spans="1:18" x14ac:dyDescent="0.3">
      <c r="A18" s="156" t="s">
        <v>60</v>
      </c>
      <c r="B18" s="157"/>
      <c r="C18" s="19">
        <f>+N16</f>
        <v>0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0</v>
      </c>
      <c r="H18" s="9"/>
      <c r="I18" s="5"/>
      <c r="J18" s="5"/>
      <c r="K18" s="5"/>
      <c r="L18" s="6"/>
      <c r="M18" s="25" t="s">
        <v>64</v>
      </c>
      <c r="N18" s="27">
        <f>(O7-N14)*N13</f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9"/>
      <c r="I19" s="5"/>
      <c r="J19" s="5"/>
      <c r="K19" s="47"/>
      <c r="L19" s="31"/>
      <c r="M19" s="25" t="s">
        <v>65</v>
      </c>
      <c r="N19" s="27">
        <v>0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9"/>
      <c r="I20" s="5"/>
      <c r="J20" s="5"/>
      <c r="K20" s="47"/>
      <c r="L20" s="31"/>
      <c r="M20" s="25" t="s">
        <v>66</v>
      </c>
      <c r="N20" s="27">
        <f>+N11+N12+N13+N14</f>
        <v>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0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0</v>
      </c>
      <c r="H21" s="9"/>
      <c r="I21" s="5"/>
      <c r="J21" s="21"/>
      <c r="K21" s="47"/>
      <c r="L21" s="31"/>
      <c r="M21" s="52" t="s">
        <v>69</v>
      </c>
      <c r="N21" s="53">
        <f>Q25</f>
        <v>497.03807999999992</v>
      </c>
      <c r="P21" s="49" t="s">
        <v>70</v>
      </c>
      <c r="Q21" s="27">
        <f>N8*N10</f>
        <v>271.11167999999998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v>0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f>N7*N10</f>
        <v>225.92639999999997</v>
      </c>
      <c r="R23" s="4">
        <v>0</v>
      </c>
    </row>
    <row r="24" spans="1:18" x14ac:dyDescent="0.3">
      <c r="A24" s="156" t="s">
        <v>76</v>
      </c>
      <c r="B24" s="157"/>
      <c r="C24" s="19">
        <f>N20</f>
        <v>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0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v>0</v>
      </c>
      <c r="R24" s="4">
        <v>0</v>
      </c>
    </row>
    <row r="25" spans="1:18" x14ac:dyDescent="0.3">
      <c r="A25" s="156" t="s">
        <v>69</v>
      </c>
      <c r="B25" s="157"/>
      <c r="C25" s="19">
        <f>+N21</f>
        <v>497.03807999999992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5686.115635199998</v>
      </c>
      <c r="H25" s="179"/>
      <c r="I25" s="180"/>
      <c r="J25" s="180"/>
      <c r="K25" s="180"/>
      <c r="L25" s="181"/>
      <c r="M25" s="25" t="s">
        <v>79</v>
      </c>
      <c r="N25" s="27">
        <f>C32</f>
        <v>75.251504639999993</v>
      </c>
      <c r="O25" s="57"/>
      <c r="P25" s="58" t="s">
        <v>80</v>
      </c>
      <c r="Q25" s="27">
        <f>SUM(Q21:Q24)</f>
        <v>497.03807999999992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SUMMARY!I9</f>
        <v>6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SUMMARY!H9</f>
        <v>0.5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464.76288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1.6245765008417763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75.251504639999993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327.68719204515833</v>
      </c>
      <c r="H32" s="9"/>
      <c r="I32" s="5"/>
      <c r="J32" s="5"/>
      <c r="K32" s="47"/>
      <c r="L32" s="63"/>
      <c r="M32" s="50" t="s">
        <v>87</v>
      </c>
      <c r="N32" s="46">
        <f>+L45</f>
        <v>655.71174881172089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1.5</v>
      </c>
    </row>
    <row r="35" spans="1:15" x14ac:dyDescent="0.3">
      <c r="A35" s="156" t="s">
        <v>81</v>
      </c>
      <c r="B35" s="157"/>
      <c r="C35" s="19">
        <f>I13</f>
        <v>6</v>
      </c>
      <c r="D35" s="5" t="s">
        <v>90</v>
      </c>
      <c r="E35" s="5">
        <v>240</v>
      </c>
      <c r="F35" s="5"/>
      <c r="G35" s="34">
        <f>E35*C35</f>
        <v>1440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0.5</v>
      </c>
      <c r="D36" s="5" t="s">
        <v>91</v>
      </c>
      <c r="E36" s="5">
        <v>3413</v>
      </c>
      <c r="F36" s="5">
        <v>1</v>
      </c>
      <c r="G36" s="34">
        <f>F36*E36*C36</f>
        <v>1706.5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464.76288</v>
      </c>
      <c r="D37" s="5" t="s">
        <v>92</v>
      </c>
      <c r="E37" s="5">
        <v>3.4129999999999998</v>
      </c>
      <c r="F37" s="5"/>
      <c r="G37" s="34">
        <f>+E37*C37</f>
        <v>1586.2357094399999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10746.538536685155</v>
      </c>
      <c r="H39" s="156" t="s">
        <v>97</v>
      </c>
      <c r="I39" s="157"/>
      <c r="J39" s="157"/>
      <c r="K39" s="157"/>
      <c r="L39" s="69">
        <f>G41</f>
        <v>12089.8558537708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1343.3173170856444</v>
      </c>
      <c r="H40" s="156" t="s">
        <v>99</v>
      </c>
      <c r="I40" s="157"/>
      <c r="J40" s="157"/>
      <c r="K40" s="157"/>
      <c r="L40" s="70">
        <f>G50</f>
        <v>13660.554473075063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12089.8558537708</v>
      </c>
      <c r="H41" s="156" t="s">
        <v>100</v>
      </c>
      <c r="I41" s="157"/>
      <c r="J41" s="157"/>
      <c r="K41" s="157"/>
      <c r="L41" s="72">
        <f>L39/L40</f>
        <v>0.88501940954153013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75.251504639999993</v>
      </c>
      <c r="D44" s="5" t="s">
        <v>86</v>
      </c>
      <c r="E44" s="5">
        <f>+L7</f>
        <v>76.2</v>
      </c>
      <c r="F44" s="5">
        <v>0.68</v>
      </c>
      <c r="G44" s="34">
        <f>F44*E44*C44*B44</f>
        <v>467.90783573114874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6</v>
      </c>
      <c r="D45" s="5" t="s">
        <v>90</v>
      </c>
      <c r="E45" s="5">
        <v>160</v>
      </c>
      <c r="F45" s="5"/>
      <c r="G45" s="30">
        <f>E45*C45</f>
        <v>960</v>
      </c>
      <c r="H45" s="156" t="s">
        <v>108</v>
      </c>
      <c r="I45" s="157"/>
      <c r="J45" s="157"/>
      <c r="K45" s="157"/>
      <c r="L45" s="77">
        <f>L39/(L44*1.08)</f>
        <v>655.71174881172089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1427.9078357311487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142.79078357311488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1570.6986193042635</v>
      </c>
      <c r="H49" s="9" t="s">
        <v>113</v>
      </c>
      <c r="I49" s="79"/>
      <c r="J49" s="79"/>
      <c r="K49" s="79"/>
      <c r="L49" s="55">
        <f>N34</f>
        <v>1.5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13660.554473075063</v>
      </c>
      <c r="H50" s="156" t="s">
        <v>114</v>
      </c>
      <c r="I50" s="157"/>
      <c r="J50" s="157"/>
      <c r="K50" s="157"/>
      <c r="L50" s="31">
        <f>L45</f>
        <v>655.71174881172089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1.6245765008417763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655.71174881172089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75.251504639999993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2403.0394083311612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75.251504639999993</v>
      </c>
      <c r="D55" s="5" t="s">
        <v>86</v>
      </c>
      <c r="E55" s="5">
        <f>+L7</f>
        <v>76.2</v>
      </c>
      <c r="F55" s="5">
        <v>0.68</v>
      </c>
      <c r="G55" s="34">
        <f>F55*E55*C55*B55</f>
        <v>3431.3241286950911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19494.918010101315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1.6245765008417763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x14ac:dyDescent="0.3">
      <c r="B63" s="17" t="s">
        <v>122</v>
      </c>
      <c r="G63" s="17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0">
    <pageSetUpPr fitToPage="1"/>
  </sheetPr>
  <dimension ref="A1:S67"/>
  <sheetViews>
    <sheetView view="pageBreakPreview" topLeftCell="B1" zoomScale="70" zoomScaleNormal="100" zoomScaleSheetLayoutView="70" workbookViewId="0">
      <selection activeCell="O52" sqref="O52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7.1</v>
      </c>
      <c r="O3" s="7">
        <f>N3*3.28</f>
        <v>23.287999999999997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2.9</v>
      </c>
      <c r="O4" s="7">
        <f>N4*3.28</f>
        <v>9.5119999999999987</v>
      </c>
      <c r="P4" s="8"/>
      <c r="Q4" s="8"/>
    </row>
    <row r="5" spans="1:19" x14ac:dyDescent="0.3">
      <c r="A5" s="9" t="s">
        <v>17</v>
      </c>
      <c r="B5" s="5"/>
      <c r="C5" s="162" t="s">
        <v>175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23.287999999999997</v>
      </c>
      <c r="D7" s="19">
        <f>+N8</f>
        <v>9.5119999999999987</v>
      </c>
      <c r="E7" s="20">
        <f>+N9</f>
        <v>221.51545599999994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23.287999999999997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9.5119999999999987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221.51545599999994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2542.9974348799992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0</v>
      </c>
      <c r="M11" s="25" t="s">
        <v>43</v>
      </c>
      <c r="N11" s="27">
        <v>0</v>
      </c>
      <c r="P11" s="36" t="s">
        <v>46</v>
      </c>
      <c r="Q11" s="37">
        <v>5</v>
      </c>
      <c r="R11" s="32"/>
    </row>
    <row r="12" spans="1:19" x14ac:dyDescent="0.3">
      <c r="A12" s="156" t="s">
        <v>47</v>
      </c>
      <c r="B12" s="157"/>
      <c r="C12" s="19">
        <f>+N12</f>
        <v>0</v>
      </c>
      <c r="D12" s="5" t="s">
        <v>44</v>
      </c>
      <c r="E12" s="5">
        <v>12</v>
      </c>
      <c r="F12" s="33">
        <v>0.56000000000000005</v>
      </c>
      <c r="G12" s="34">
        <f>F12*E12*C12</f>
        <v>0</v>
      </c>
      <c r="H12" s="9" t="s">
        <v>48</v>
      </c>
      <c r="I12" s="5"/>
      <c r="J12" s="5"/>
      <c r="K12" s="5"/>
      <c r="L12" s="31">
        <f>+Q17</f>
        <v>36.778205567999997</v>
      </c>
      <c r="M12" s="25" t="s">
        <v>47</v>
      </c>
      <c r="N12" s="38">
        <v>0</v>
      </c>
      <c r="P12" s="32" t="s">
        <v>49</v>
      </c>
      <c r="Q12" s="39">
        <f>+Q11*C35</f>
        <v>15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9" t="s">
        <v>51</v>
      </c>
      <c r="I13" s="19">
        <f>N26</f>
        <v>3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0</v>
      </c>
      <c r="M14" s="25" t="s">
        <v>54</v>
      </c>
      <c r="N14" s="27">
        <v>0</v>
      </c>
      <c r="P14" s="29" t="s">
        <v>56</v>
      </c>
      <c r="Q14" s="27">
        <f>+Q13*E7</f>
        <v>13.290927359999996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28.290927359999998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v>0</v>
      </c>
      <c r="O16" s="40"/>
      <c r="P16" s="48" t="s">
        <v>61</v>
      </c>
      <c r="Q16" s="27">
        <f>Q15*30%</f>
        <v>8.4872782079999993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36.778205567999997</v>
      </c>
      <c r="R17" s="29"/>
    </row>
    <row r="18" spans="1:18" x14ac:dyDescent="0.3">
      <c r="A18" s="156" t="s">
        <v>60</v>
      </c>
      <c r="B18" s="157"/>
      <c r="C18" s="19">
        <f>+N16</f>
        <v>0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0</v>
      </c>
      <c r="H18" s="9"/>
      <c r="I18" s="5"/>
      <c r="J18" s="5"/>
      <c r="K18" s="5"/>
      <c r="L18" s="6"/>
      <c r="M18" s="25" t="s">
        <v>64</v>
      </c>
      <c r="N18" s="27">
        <f>(O7-N14)*N13</f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9"/>
      <c r="I19" s="5"/>
      <c r="J19" s="5"/>
      <c r="K19" s="47"/>
      <c r="L19" s="31"/>
      <c r="M19" s="25" t="s">
        <v>65</v>
      </c>
      <c r="N19" s="27">
        <f>N9</f>
        <v>221.51545599999994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9"/>
      <c r="I20" s="5"/>
      <c r="J20" s="5"/>
      <c r="K20" s="47"/>
      <c r="L20" s="31"/>
      <c r="M20" s="25" t="s">
        <v>66</v>
      </c>
      <c r="N20" s="27">
        <f>+N11+N12+N13+N14</f>
        <v>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221.51545599999994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4749.2913766399979</v>
      </c>
      <c r="H21" s="9"/>
      <c r="I21" s="5"/>
      <c r="J21" s="21"/>
      <c r="K21" s="47"/>
      <c r="L21" s="31"/>
      <c r="M21" s="52" t="s">
        <v>69</v>
      </c>
      <c r="N21" s="53">
        <f>Q25</f>
        <v>109.19775999999997</v>
      </c>
      <c r="P21" s="49" t="s">
        <v>70</v>
      </c>
      <c r="Q21" s="27">
        <v>0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v>0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f>N8*N10</f>
        <v>109.19775999999997</v>
      </c>
      <c r="R23" s="4">
        <v>0</v>
      </c>
    </row>
    <row r="24" spans="1:18" x14ac:dyDescent="0.3">
      <c r="A24" s="156" t="s">
        <v>76</v>
      </c>
      <c r="B24" s="157"/>
      <c r="C24" s="19">
        <f>N20</f>
        <v>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0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v>0</v>
      </c>
      <c r="R24" s="4">
        <v>0</v>
      </c>
    </row>
    <row r="25" spans="1:18" x14ac:dyDescent="0.3">
      <c r="A25" s="156" t="s">
        <v>69</v>
      </c>
      <c r="B25" s="157"/>
      <c r="C25" s="19">
        <f>+N21</f>
        <v>109.19775999999997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1249.2223743999994</v>
      </c>
      <c r="H25" s="179"/>
      <c r="I25" s="180"/>
      <c r="J25" s="180"/>
      <c r="K25" s="180"/>
      <c r="L25" s="181"/>
      <c r="M25" s="25" t="s">
        <v>79</v>
      </c>
      <c r="N25" s="27">
        <f>C32</f>
        <v>36.778205567999997</v>
      </c>
      <c r="O25" s="57"/>
      <c r="P25" s="58" t="s">
        <v>80</v>
      </c>
      <c r="Q25" s="27">
        <f>SUM(Q21:Q24)</f>
        <v>109.19775999999997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SUMMARY!I49</f>
        <v>3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SUMMARY!H49</f>
        <v>0.5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221.51545599999994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1.1783226069065316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36.778205567999997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160.15290283819004</v>
      </c>
      <c r="H32" s="9"/>
      <c r="I32" s="5"/>
      <c r="J32" s="5"/>
      <c r="K32" s="47"/>
      <c r="L32" s="63"/>
      <c r="M32" s="50" t="s">
        <v>87</v>
      </c>
      <c r="N32" s="46">
        <f>+L45</f>
        <v>569.96342117247195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1</v>
      </c>
    </row>
    <row r="35" spans="1:15" x14ac:dyDescent="0.3">
      <c r="A35" s="156" t="s">
        <v>81</v>
      </c>
      <c r="B35" s="157"/>
      <c r="C35" s="19">
        <f>I13</f>
        <v>3</v>
      </c>
      <c r="D35" s="5" t="s">
        <v>90</v>
      </c>
      <c r="E35" s="5">
        <v>240</v>
      </c>
      <c r="F35" s="5"/>
      <c r="G35" s="34">
        <f>E35*C35</f>
        <v>720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0.5</v>
      </c>
      <c r="D36" s="5" t="s">
        <v>91</v>
      </c>
      <c r="E36" s="5">
        <v>3413</v>
      </c>
      <c r="F36" s="5">
        <v>1</v>
      </c>
      <c r="G36" s="34">
        <f>F36*E36*C36</f>
        <v>1706.5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221.51545599999994</v>
      </c>
      <c r="D37" s="5" t="s">
        <v>92</v>
      </c>
      <c r="E37" s="5">
        <v>3.4129999999999998</v>
      </c>
      <c r="F37" s="5"/>
      <c r="G37" s="34">
        <f>+E37*C37</f>
        <v>756.0322513279998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9341.1989052061872</v>
      </c>
      <c r="H39" s="156" t="s">
        <v>97</v>
      </c>
      <c r="I39" s="157"/>
      <c r="J39" s="157"/>
      <c r="K39" s="157"/>
      <c r="L39" s="69">
        <f>G41</f>
        <v>10508.84876835696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1167.6498631507734</v>
      </c>
      <c r="H40" s="156" t="s">
        <v>99</v>
      </c>
      <c r="I40" s="157"/>
      <c r="J40" s="157"/>
      <c r="K40" s="157"/>
      <c r="L40" s="70">
        <f>G50</f>
        <v>11288.401102318876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10508.84876835696</v>
      </c>
      <c r="H41" s="156" t="s">
        <v>100</v>
      </c>
      <c r="I41" s="157"/>
      <c r="J41" s="157"/>
      <c r="K41" s="157"/>
      <c r="L41" s="72">
        <f>L39/L40</f>
        <v>0.93094218331754885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36.778205567999997</v>
      </c>
      <c r="D44" s="5" t="s">
        <v>86</v>
      </c>
      <c r="E44" s="5">
        <f>+L7</f>
        <v>76.2</v>
      </c>
      <c r="F44" s="5">
        <v>0.68</v>
      </c>
      <c r="G44" s="34">
        <f>F44*E44*C44*B44</f>
        <v>228.68393996537856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3</v>
      </c>
      <c r="D45" s="5" t="s">
        <v>90</v>
      </c>
      <c r="E45" s="5">
        <v>160</v>
      </c>
      <c r="F45" s="5"/>
      <c r="G45" s="30">
        <f>E45*C45</f>
        <v>480</v>
      </c>
      <c r="H45" s="156" t="s">
        <v>108</v>
      </c>
      <c r="I45" s="157"/>
      <c r="J45" s="157"/>
      <c r="K45" s="157"/>
      <c r="L45" s="77">
        <f>L39/(L44*1.08)</f>
        <v>569.96342117247195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708.68393996537861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70.868393996537861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779.55233396191647</v>
      </c>
      <c r="H49" s="9" t="s">
        <v>113</v>
      </c>
      <c r="I49" s="79"/>
      <c r="J49" s="79"/>
      <c r="K49" s="79"/>
      <c r="L49" s="55">
        <f>N34</f>
        <v>1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11288.401102318876</v>
      </c>
      <c r="H50" s="156" t="s">
        <v>114</v>
      </c>
      <c r="I50" s="157"/>
      <c r="J50" s="157"/>
      <c r="K50" s="157"/>
      <c r="L50" s="31">
        <f>L45</f>
        <v>569.96342117247195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1.1783226069065316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569.96342117247195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36.778205567999997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1174.4546208133936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36.778205567999997</v>
      </c>
      <c r="D55" s="5" t="s">
        <v>86</v>
      </c>
      <c r="E55" s="5">
        <f>+L7</f>
        <v>76.2</v>
      </c>
      <c r="F55" s="5">
        <v>0.68</v>
      </c>
      <c r="G55" s="34">
        <f>F55*E55*C55*B55</f>
        <v>1677.0155597461094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14139.871282878379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1.1783226069065316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s="137" customFormat="1" x14ac:dyDescent="0.3">
      <c r="A63" s="136"/>
      <c r="B63" s="136" t="s">
        <v>188</v>
      </c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N63" s="138"/>
      <c r="O63" s="138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1">
    <pageSetUpPr fitToPage="1"/>
  </sheetPr>
  <dimension ref="A1:S67"/>
  <sheetViews>
    <sheetView view="pageBreakPreview" zoomScale="70" zoomScaleNormal="100" zoomScaleSheetLayoutView="70" workbookViewId="0">
      <selection activeCell="P52" sqref="P52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7.1</v>
      </c>
      <c r="O3" s="7">
        <f>N3*3.28</f>
        <v>23.287999999999997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2.9</v>
      </c>
      <c r="O4" s="7">
        <f>N4*3.28</f>
        <v>9.5119999999999987</v>
      </c>
      <c r="P4" s="8"/>
      <c r="Q4" s="8"/>
    </row>
    <row r="5" spans="1:19" x14ac:dyDescent="0.3">
      <c r="A5" s="9" t="s">
        <v>17</v>
      </c>
      <c r="B5" s="5"/>
      <c r="C5" s="162" t="s">
        <v>176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23.287999999999997</v>
      </c>
      <c r="D7" s="19">
        <f>+N8</f>
        <v>9.5119999999999987</v>
      </c>
      <c r="E7" s="20">
        <f>+N9</f>
        <v>221.51545599999994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23.287999999999997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9.5119999999999987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221.51545599999994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2542.9974348799992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0</v>
      </c>
      <c r="M11" s="25" t="s">
        <v>43</v>
      </c>
      <c r="N11" s="27">
        <v>0</v>
      </c>
      <c r="P11" s="36" t="s">
        <v>46</v>
      </c>
      <c r="Q11" s="37">
        <v>5</v>
      </c>
      <c r="R11" s="32"/>
    </row>
    <row r="12" spans="1:19" x14ac:dyDescent="0.3">
      <c r="A12" s="156" t="s">
        <v>47</v>
      </c>
      <c r="B12" s="157"/>
      <c r="C12" s="19">
        <f>+N12</f>
        <v>0</v>
      </c>
      <c r="D12" s="5" t="s">
        <v>44</v>
      </c>
      <c r="E12" s="5">
        <v>12</v>
      </c>
      <c r="F12" s="33">
        <v>0.56000000000000005</v>
      </c>
      <c r="G12" s="34">
        <f>F12*E12*C12</f>
        <v>0</v>
      </c>
      <c r="H12" s="9" t="s">
        <v>48</v>
      </c>
      <c r="I12" s="5"/>
      <c r="J12" s="5"/>
      <c r="K12" s="5"/>
      <c r="L12" s="31">
        <f>+Q17</f>
        <v>36.778205567999997</v>
      </c>
      <c r="M12" s="25" t="s">
        <v>47</v>
      </c>
      <c r="N12" s="38">
        <v>0</v>
      </c>
      <c r="P12" s="32" t="s">
        <v>49</v>
      </c>
      <c r="Q12" s="39">
        <f>+Q11*C35</f>
        <v>15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9" t="s">
        <v>51</v>
      </c>
      <c r="I13" s="19">
        <f>N26</f>
        <v>3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0</v>
      </c>
      <c r="M14" s="25" t="s">
        <v>54</v>
      </c>
      <c r="N14" s="27">
        <v>0</v>
      </c>
      <c r="P14" s="29" t="s">
        <v>56</v>
      </c>
      <c r="Q14" s="27">
        <f>+Q13*E7</f>
        <v>13.290927359999996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28.290927359999998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v>0</v>
      </c>
      <c r="O16" s="40"/>
      <c r="P16" s="48" t="s">
        <v>61</v>
      </c>
      <c r="Q16" s="27">
        <f>Q15*30%</f>
        <v>8.4872782079999993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36.778205567999997</v>
      </c>
      <c r="R17" s="29"/>
    </row>
    <row r="18" spans="1:18" x14ac:dyDescent="0.3">
      <c r="A18" s="156" t="s">
        <v>60</v>
      </c>
      <c r="B18" s="157"/>
      <c r="C18" s="19">
        <f>+N16</f>
        <v>0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0</v>
      </c>
      <c r="H18" s="9"/>
      <c r="I18" s="5"/>
      <c r="J18" s="5"/>
      <c r="K18" s="5"/>
      <c r="L18" s="6"/>
      <c r="M18" s="25" t="s">
        <v>64</v>
      </c>
      <c r="N18" s="27">
        <f>(O7-N14)*N13</f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9"/>
      <c r="I19" s="5"/>
      <c r="J19" s="5"/>
      <c r="K19" s="47"/>
      <c r="L19" s="31"/>
      <c r="M19" s="25" t="s">
        <v>65</v>
      </c>
      <c r="N19" s="27">
        <f>N9</f>
        <v>221.51545599999994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9"/>
      <c r="I20" s="5"/>
      <c r="J20" s="5"/>
      <c r="K20" s="47"/>
      <c r="L20" s="31"/>
      <c r="M20" s="25" t="s">
        <v>66</v>
      </c>
      <c r="N20" s="27">
        <f>+N11+N12+N13+N14</f>
        <v>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221.51545599999994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4749.2913766399979</v>
      </c>
      <c r="H21" s="9"/>
      <c r="I21" s="5"/>
      <c r="J21" s="21"/>
      <c r="K21" s="47"/>
      <c r="L21" s="31"/>
      <c r="M21" s="52" t="s">
        <v>69</v>
      </c>
      <c r="N21" s="53">
        <f>Q25</f>
        <v>376.54399999999987</v>
      </c>
      <c r="P21" s="49" t="s">
        <v>70</v>
      </c>
      <c r="Q21" s="27">
        <v>0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v>0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f>N8*N10</f>
        <v>109.19775999999997</v>
      </c>
      <c r="R23" s="4">
        <v>0</v>
      </c>
    </row>
    <row r="24" spans="1:18" x14ac:dyDescent="0.3">
      <c r="A24" s="156" t="s">
        <v>76</v>
      </c>
      <c r="B24" s="157"/>
      <c r="C24" s="19">
        <f>N20</f>
        <v>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0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f>N7*N10</f>
        <v>267.34623999999991</v>
      </c>
      <c r="R24" s="4">
        <v>0</v>
      </c>
    </row>
    <row r="25" spans="1:18" x14ac:dyDescent="0.3">
      <c r="A25" s="156" t="s">
        <v>69</v>
      </c>
      <c r="B25" s="157"/>
      <c r="C25" s="19">
        <f>+N21</f>
        <v>376.54399999999987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4307.6633599999977</v>
      </c>
      <c r="H25" s="179"/>
      <c r="I25" s="180"/>
      <c r="J25" s="180"/>
      <c r="K25" s="180"/>
      <c r="L25" s="181"/>
      <c r="M25" s="25" t="s">
        <v>79</v>
      </c>
      <c r="N25" s="27">
        <f>C32</f>
        <v>36.778205567999997</v>
      </c>
      <c r="O25" s="57"/>
      <c r="P25" s="58" t="s">
        <v>80</v>
      </c>
      <c r="Q25" s="27">
        <f>SUM(Q21:Q24)</f>
        <v>376.54399999999987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SUMMARY!I50</f>
        <v>3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SUMMARY!H50</f>
        <v>0.5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221.51545599999994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1.4650514493065314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36.778205567999997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160.15290283819004</v>
      </c>
      <c r="H32" s="9"/>
      <c r="I32" s="5"/>
      <c r="J32" s="5"/>
      <c r="K32" s="47"/>
      <c r="L32" s="63"/>
      <c r="M32" s="50" t="s">
        <v>87</v>
      </c>
      <c r="N32" s="46">
        <f>+L45</f>
        <v>756.57752770168133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1.5</v>
      </c>
    </row>
    <row r="35" spans="1:15" x14ac:dyDescent="0.3">
      <c r="A35" s="156" t="s">
        <v>81</v>
      </c>
      <c r="B35" s="157"/>
      <c r="C35" s="19">
        <f>I13</f>
        <v>3</v>
      </c>
      <c r="D35" s="5" t="s">
        <v>90</v>
      </c>
      <c r="E35" s="5">
        <v>240</v>
      </c>
      <c r="F35" s="5"/>
      <c r="G35" s="34">
        <f>E35*C35</f>
        <v>720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0.5</v>
      </c>
      <c r="D36" s="5" t="s">
        <v>91</v>
      </c>
      <c r="E36" s="5">
        <v>3413</v>
      </c>
      <c r="F36" s="5">
        <v>1</v>
      </c>
      <c r="G36" s="34">
        <f>F36*E36*C36</f>
        <v>1706.5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221.51545599999994</v>
      </c>
      <c r="D37" s="5" t="s">
        <v>92</v>
      </c>
      <c r="E37" s="5">
        <v>3.4129999999999998</v>
      </c>
      <c r="F37" s="5"/>
      <c r="G37" s="34">
        <f>+E37*C37</f>
        <v>756.0322513279998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12399.639890806186</v>
      </c>
      <c r="H39" s="156" t="s">
        <v>97</v>
      </c>
      <c r="I39" s="157"/>
      <c r="J39" s="157"/>
      <c r="K39" s="157"/>
      <c r="L39" s="69">
        <f>G41</f>
        <v>13949.594877156958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1549.9549863507732</v>
      </c>
      <c r="H40" s="156" t="s">
        <v>99</v>
      </c>
      <c r="I40" s="157"/>
      <c r="J40" s="157"/>
      <c r="K40" s="157"/>
      <c r="L40" s="70">
        <f>G50</f>
        <v>14729.147211118874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13949.594877156958</v>
      </c>
      <c r="H41" s="156" t="s">
        <v>100</v>
      </c>
      <c r="I41" s="157"/>
      <c r="J41" s="157"/>
      <c r="K41" s="157"/>
      <c r="L41" s="72">
        <f>L39/L40</f>
        <v>0.94707417050096154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36.778205567999997</v>
      </c>
      <c r="D44" s="5" t="s">
        <v>86</v>
      </c>
      <c r="E44" s="5">
        <f>+L7</f>
        <v>76.2</v>
      </c>
      <c r="F44" s="5">
        <v>0.68</v>
      </c>
      <c r="G44" s="34">
        <f>F44*E44*C44*B44</f>
        <v>228.68393996537856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3</v>
      </c>
      <c r="D45" s="5" t="s">
        <v>90</v>
      </c>
      <c r="E45" s="5">
        <v>160</v>
      </c>
      <c r="F45" s="5"/>
      <c r="G45" s="30">
        <f>E45*C45</f>
        <v>480</v>
      </c>
      <c r="H45" s="156" t="s">
        <v>108</v>
      </c>
      <c r="I45" s="157"/>
      <c r="J45" s="157"/>
      <c r="K45" s="157"/>
      <c r="L45" s="77">
        <f>L39/(L44*1.08)</f>
        <v>756.57752770168133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708.68393996537861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70.868393996537861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779.55233396191647</v>
      </c>
      <c r="H49" s="9" t="s">
        <v>113</v>
      </c>
      <c r="I49" s="79"/>
      <c r="J49" s="79"/>
      <c r="K49" s="79"/>
      <c r="L49" s="55">
        <f>N34</f>
        <v>1.5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14729.147211118874</v>
      </c>
      <c r="H50" s="156" t="s">
        <v>114</v>
      </c>
      <c r="I50" s="157"/>
      <c r="J50" s="157"/>
      <c r="K50" s="157"/>
      <c r="L50" s="31">
        <f>L45</f>
        <v>756.57752770168133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1.4650514493065314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756.57752770168133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36.778205567999997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1174.4546208133936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36.778205567999997</v>
      </c>
      <c r="D55" s="5" t="s">
        <v>86</v>
      </c>
      <c r="E55" s="5">
        <f>+L7</f>
        <v>76.2</v>
      </c>
      <c r="F55" s="5">
        <v>0.68</v>
      </c>
      <c r="G55" s="34">
        <f>F55*E55*C55*B55</f>
        <v>1677.0155597461094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17580.617391678377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1.4650514493065314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s="137" customFormat="1" x14ac:dyDescent="0.3">
      <c r="A63" s="136"/>
      <c r="B63" s="136" t="s">
        <v>188</v>
      </c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N63" s="138"/>
      <c r="O63" s="138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2">
    <pageSetUpPr fitToPage="1"/>
  </sheetPr>
  <dimension ref="A1:S67"/>
  <sheetViews>
    <sheetView view="pageBreakPreview" topLeftCell="B1" zoomScale="70" zoomScaleNormal="100" zoomScaleSheetLayoutView="70" workbookViewId="0">
      <selection activeCell="Q52" sqref="Q52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18</v>
      </c>
      <c r="O3" s="7">
        <f>N3*3.28</f>
        <v>59.04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7.1</v>
      </c>
      <c r="O4" s="7">
        <f>N4*3.28</f>
        <v>23.287999999999997</v>
      </c>
      <c r="P4" s="8"/>
      <c r="Q4" s="8"/>
    </row>
    <row r="5" spans="1:19" x14ac:dyDescent="0.3">
      <c r="A5" s="9" t="s">
        <v>17</v>
      </c>
      <c r="B5" s="5"/>
      <c r="C5" s="162" t="s">
        <v>177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59.04</v>
      </c>
      <c r="D7" s="19">
        <f>+N8</f>
        <v>23.287999999999997</v>
      </c>
      <c r="E7" s="20">
        <f>+N9</f>
        <v>1374.9235199999998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59.04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23.287999999999997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1374.9235199999998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15784.122009599996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0</v>
      </c>
      <c r="M11" s="25" t="s">
        <v>43</v>
      </c>
      <c r="N11" s="27">
        <v>0</v>
      </c>
      <c r="P11" s="36" t="s">
        <v>46</v>
      </c>
      <c r="Q11" s="37">
        <v>5</v>
      </c>
      <c r="R11" s="32"/>
    </row>
    <row r="12" spans="1:19" x14ac:dyDescent="0.3">
      <c r="A12" s="156" t="s">
        <v>47</v>
      </c>
      <c r="B12" s="157"/>
      <c r="C12" s="19">
        <f>+N12</f>
        <v>120</v>
      </c>
      <c r="D12" s="5" t="s">
        <v>44</v>
      </c>
      <c r="E12" s="5">
        <v>12</v>
      </c>
      <c r="F12" s="33">
        <v>0.56000000000000005</v>
      </c>
      <c r="G12" s="34">
        <f>F12*E12*C12</f>
        <v>806.40000000000009</v>
      </c>
      <c r="H12" s="9" t="s">
        <v>48</v>
      </c>
      <c r="I12" s="5"/>
      <c r="J12" s="5"/>
      <c r="K12" s="5"/>
      <c r="L12" s="31">
        <f>+Q17</f>
        <v>172.24403455999996</v>
      </c>
      <c r="M12" s="25" t="s">
        <v>47</v>
      </c>
      <c r="N12" s="38">
        <f>6*4*5</f>
        <v>120</v>
      </c>
      <c r="P12" s="32" t="s">
        <v>49</v>
      </c>
      <c r="Q12" s="39">
        <f>+Q11*C35</f>
        <v>50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9" t="s">
        <v>51</v>
      </c>
      <c r="I13" s="19">
        <f>N26</f>
        <v>10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0</v>
      </c>
      <c r="M14" s="25" t="s">
        <v>54</v>
      </c>
      <c r="N14" s="27">
        <v>0</v>
      </c>
      <c r="P14" s="29" t="s">
        <v>56</v>
      </c>
      <c r="Q14" s="27">
        <f>+Q13*E7</f>
        <v>82.495411199999992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132.49541119999998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f>N7*N10-N12</f>
        <v>557.77919999999995</v>
      </c>
      <c r="O16" s="40"/>
      <c r="P16" s="48" t="s">
        <v>61</v>
      </c>
      <c r="Q16" s="27">
        <f>Q15*30%</f>
        <v>39.748623359999989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172.24403455999996</v>
      </c>
      <c r="R17" s="29"/>
    </row>
    <row r="18" spans="1:18" x14ac:dyDescent="0.3">
      <c r="A18" s="156" t="s">
        <v>60</v>
      </c>
      <c r="B18" s="157"/>
      <c r="C18" s="19">
        <f>+N16</f>
        <v>557.77919999999995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6941.0043647999992</v>
      </c>
      <c r="H18" s="9"/>
      <c r="I18" s="5"/>
      <c r="J18" s="5"/>
      <c r="K18" s="5"/>
      <c r="L18" s="6"/>
      <c r="M18" s="25" t="s">
        <v>64</v>
      </c>
      <c r="N18" s="27">
        <f>(O7-N14)*N13</f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9"/>
      <c r="I19" s="5"/>
      <c r="J19" s="5"/>
      <c r="K19" s="47"/>
      <c r="L19" s="31"/>
      <c r="M19" s="25" t="s">
        <v>65</v>
      </c>
      <c r="N19" s="27">
        <f>N9</f>
        <v>1374.9235199999998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9"/>
      <c r="I20" s="5"/>
      <c r="J20" s="5"/>
      <c r="K20" s="47"/>
      <c r="L20" s="31"/>
      <c r="M20" s="25" t="s">
        <v>66</v>
      </c>
      <c r="N20" s="27">
        <f>+N11+N12+N13+N14</f>
        <v>120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1374.9235199999998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29478.360268799992</v>
      </c>
      <c r="H21" s="9"/>
      <c r="I21" s="5"/>
      <c r="J21" s="21"/>
      <c r="K21" s="47"/>
      <c r="L21" s="31"/>
      <c r="M21" s="52" t="s">
        <v>69</v>
      </c>
      <c r="N21" s="53">
        <f>Q25</f>
        <v>0</v>
      </c>
      <c r="P21" s="49" t="s">
        <v>70</v>
      </c>
      <c r="Q21" s="27">
        <v>0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v>0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v>0</v>
      </c>
      <c r="R23" s="4">
        <v>0</v>
      </c>
    </row>
    <row r="24" spans="1:18" x14ac:dyDescent="0.3">
      <c r="A24" s="156" t="s">
        <v>76</v>
      </c>
      <c r="B24" s="157"/>
      <c r="C24" s="19">
        <f>N20</f>
        <v>120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4556.1599999999989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v>0</v>
      </c>
      <c r="R24" s="4">
        <v>0</v>
      </c>
    </row>
    <row r="25" spans="1:18" x14ac:dyDescent="0.3">
      <c r="A25" s="156" t="s">
        <v>69</v>
      </c>
      <c r="B25" s="157"/>
      <c r="C25" s="19">
        <f>+N21</f>
        <v>0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0</v>
      </c>
      <c r="H25" s="179"/>
      <c r="I25" s="180"/>
      <c r="J25" s="180"/>
      <c r="K25" s="180"/>
      <c r="L25" s="181"/>
      <c r="M25" s="25" t="s">
        <v>79</v>
      </c>
      <c r="N25" s="27">
        <f>C32</f>
        <v>172.24403455999996</v>
      </c>
      <c r="O25" s="57"/>
      <c r="P25" s="58" t="s">
        <v>80</v>
      </c>
      <c r="Q25" s="27">
        <f>SUM(Q21:Q24)</f>
        <v>0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SUMMARY!I51</f>
        <v>10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SUMMARY!H51</f>
        <v>1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1374.9235199999998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6.3299770991485866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172.24403455999996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750.04698313359336</v>
      </c>
      <c r="H32" s="9"/>
      <c r="I32" s="5"/>
      <c r="J32" s="5"/>
      <c r="K32" s="47"/>
      <c r="L32" s="63"/>
      <c r="M32" s="50" t="s">
        <v>87</v>
      </c>
      <c r="N32" s="46">
        <f>+L45</f>
        <v>3236.1460280047709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6.5</v>
      </c>
    </row>
    <row r="35" spans="1:15" x14ac:dyDescent="0.3">
      <c r="A35" s="156" t="s">
        <v>81</v>
      </c>
      <c r="B35" s="157"/>
      <c r="C35" s="19">
        <f>I13</f>
        <v>10</v>
      </c>
      <c r="D35" s="5" t="s">
        <v>90</v>
      </c>
      <c r="E35" s="5">
        <v>240</v>
      </c>
      <c r="F35" s="5"/>
      <c r="G35" s="34">
        <f>E35*C35</f>
        <v>2400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1</v>
      </c>
      <c r="D36" s="5" t="s">
        <v>91</v>
      </c>
      <c r="E36" s="5">
        <v>3413</v>
      </c>
      <c r="F36" s="5">
        <v>1</v>
      </c>
      <c r="G36" s="34">
        <f>F36*E36*C36</f>
        <v>3413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1374.9235199999998</v>
      </c>
      <c r="D37" s="5" t="s">
        <v>92</v>
      </c>
      <c r="E37" s="5">
        <v>3.4129999999999998</v>
      </c>
      <c r="F37" s="5"/>
      <c r="G37" s="34">
        <f>+E37*C37</f>
        <v>4692.6139737599988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53037.585590493574</v>
      </c>
      <c r="H39" s="156" t="s">
        <v>97</v>
      </c>
      <c r="I39" s="157"/>
      <c r="J39" s="157"/>
      <c r="K39" s="157"/>
      <c r="L39" s="69">
        <f>G41</f>
        <v>59667.283789305271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6629.6981988116968</v>
      </c>
      <c r="H40" s="156" t="s">
        <v>99</v>
      </c>
      <c r="I40" s="157"/>
      <c r="J40" s="157"/>
      <c r="K40" s="157"/>
      <c r="L40" s="70">
        <f>G50</f>
        <v>62605.383379413717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59667.283789305271</v>
      </c>
      <c r="H41" s="156" t="s">
        <v>100</v>
      </c>
      <c r="I41" s="157"/>
      <c r="J41" s="157"/>
      <c r="K41" s="157"/>
      <c r="L41" s="72">
        <f>L39/L40</f>
        <v>0.9530695376098508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172.24403455999996</v>
      </c>
      <c r="D44" s="5" t="s">
        <v>86</v>
      </c>
      <c r="E44" s="5">
        <f>+L7</f>
        <v>76.2</v>
      </c>
      <c r="F44" s="5">
        <v>0.68</v>
      </c>
      <c r="G44" s="34">
        <f>F44*E44*C44*B44</f>
        <v>1070.999627371315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10</v>
      </c>
      <c r="D45" s="5" t="s">
        <v>90</v>
      </c>
      <c r="E45" s="5">
        <v>160</v>
      </c>
      <c r="F45" s="5"/>
      <c r="G45" s="30">
        <f>E45*C45</f>
        <v>1600</v>
      </c>
      <c r="H45" s="156" t="s">
        <v>108</v>
      </c>
      <c r="I45" s="157"/>
      <c r="J45" s="157"/>
      <c r="K45" s="157"/>
      <c r="L45" s="77">
        <f>L39/(L44*1.08)</f>
        <v>3236.1460280047709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2670.999627371315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267.09996273713153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2938.0995901084466</v>
      </c>
      <c r="H49" s="9" t="s">
        <v>113</v>
      </c>
      <c r="I49" s="79"/>
      <c r="J49" s="79"/>
      <c r="K49" s="79"/>
      <c r="L49" s="55">
        <f>N34</f>
        <v>6.5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62605.383379413717</v>
      </c>
      <c r="H50" s="156" t="s">
        <v>114</v>
      </c>
      <c r="I50" s="157"/>
      <c r="J50" s="157"/>
      <c r="K50" s="157"/>
      <c r="L50" s="31">
        <f>L45</f>
        <v>3236.1460280047709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6.3299770991485866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3236.1460280047709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172.24403455999996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5500.3445429796848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172.24403455999996</v>
      </c>
      <c r="D55" s="5" t="s">
        <v>86</v>
      </c>
      <c r="E55" s="5">
        <f>+L7</f>
        <v>76.2</v>
      </c>
      <c r="F55" s="5">
        <v>0.68</v>
      </c>
      <c r="G55" s="34">
        <f>F55*E55*C55*B55</f>
        <v>7853.9972673896427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75959.725189783043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6.3299770991485866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s="137" customFormat="1" x14ac:dyDescent="0.3">
      <c r="A63" s="136"/>
      <c r="B63" s="136" t="s">
        <v>188</v>
      </c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N63" s="138"/>
      <c r="O63" s="138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3">
    <pageSetUpPr fitToPage="1"/>
  </sheetPr>
  <dimension ref="A1:S67"/>
  <sheetViews>
    <sheetView view="pageBreakPreview" topLeftCell="B1" zoomScale="70" zoomScaleNormal="100" zoomScaleSheetLayoutView="70" workbookViewId="0">
      <selection activeCell="O50" sqref="O50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13.8</v>
      </c>
      <c r="O3" s="7">
        <f>N3*3.28</f>
        <v>45.264000000000003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6</v>
      </c>
      <c r="O4" s="7">
        <f>N4*3.28</f>
        <v>19.68</v>
      </c>
      <c r="P4" s="8"/>
      <c r="Q4" s="8"/>
    </row>
    <row r="5" spans="1:19" x14ac:dyDescent="0.3">
      <c r="A5" s="9" t="s">
        <v>17</v>
      </c>
      <c r="B5" s="5"/>
      <c r="C5" s="162" t="s">
        <v>178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45.264000000000003</v>
      </c>
      <c r="D7" s="19">
        <f>+N8</f>
        <v>19.68</v>
      </c>
      <c r="E7" s="20">
        <f>+N9</f>
        <v>890.79552000000001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45.264000000000003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19.68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890.79552000000001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10226.332569599999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0</v>
      </c>
      <c r="M11" s="25" t="s">
        <v>43</v>
      </c>
      <c r="N11" s="27">
        <v>0</v>
      </c>
      <c r="P11" s="36" t="s">
        <v>46</v>
      </c>
      <c r="Q11" s="37">
        <v>7.5</v>
      </c>
      <c r="R11" s="32"/>
    </row>
    <row r="12" spans="1:19" x14ac:dyDescent="0.3">
      <c r="A12" s="156" t="s">
        <v>47</v>
      </c>
      <c r="B12" s="157"/>
      <c r="C12" s="19">
        <f>+N12</f>
        <v>40</v>
      </c>
      <c r="D12" s="5" t="s">
        <v>44</v>
      </c>
      <c r="E12" s="5">
        <v>12</v>
      </c>
      <c r="F12" s="33">
        <v>0.56000000000000005</v>
      </c>
      <c r="G12" s="34">
        <f>F12*E12*C12</f>
        <v>268.8</v>
      </c>
      <c r="H12" s="9" t="s">
        <v>48</v>
      </c>
      <c r="I12" s="5"/>
      <c r="J12" s="5"/>
      <c r="K12" s="5"/>
      <c r="L12" s="31">
        <f>+Q17</f>
        <v>118.23205055999999</v>
      </c>
      <c r="M12" s="25" t="s">
        <v>47</v>
      </c>
      <c r="N12" s="38">
        <f>4*5*2</f>
        <v>40</v>
      </c>
      <c r="P12" s="32" t="s">
        <v>49</v>
      </c>
      <c r="Q12" s="39">
        <f>+Q11*C35</f>
        <v>37.5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9" t="s">
        <v>51</v>
      </c>
      <c r="I13" s="19">
        <f>N26</f>
        <v>5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80</v>
      </c>
      <c r="D14" s="5" t="s">
        <v>44</v>
      </c>
      <c r="E14" s="5">
        <v>12</v>
      </c>
      <c r="F14" s="33">
        <v>0.56000000000000005</v>
      </c>
      <c r="G14" s="34">
        <f>F14*E14*C14</f>
        <v>537.6</v>
      </c>
      <c r="H14" s="41" t="s">
        <v>55</v>
      </c>
      <c r="I14" s="42"/>
      <c r="J14" s="42"/>
      <c r="K14" s="42"/>
      <c r="L14" s="43">
        <f>L11*L10/60</f>
        <v>0</v>
      </c>
      <c r="M14" s="25" t="s">
        <v>54</v>
      </c>
      <c r="N14" s="27">
        <f>4*5*4</f>
        <v>80</v>
      </c>
      <c r="P14" s="29" t="s">
        <v>56</v>
      </c>
      <c r="Q14" s="27">
        <f>+Q13*E7</f>
        <v>53.4477312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90.947731199999993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f>N8*N10-N12</f>
        <v>185.92639999999997</v>
      </c>
      <c r="O16" s="40"/>
      <c r="P16" s="48" t="s">
        <v>61</v>
      </c>
      <c r="Q16" s="27">
        <f>Q15*30%</f>
        <v>27.284319359999998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118.23205055999999</v>
      </c>
      <c r="R17" s="29"/>
    </row>
    <row r="18" spans="1:18" x14ac:dyDescent="0.3">
      <c r="A18" s="156" t="s">
        <v>60</v>
      </c>
      <c r="B18" s="157"/>
      <c r="C18" s="19">
        <f>+N16</f>
        <v>185.92639999999997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2313.6681215999993</v>
      </c>
      <c r="H18" s="9"/>
      <c r="I18" s="5"/>
      <c r="J18" s="5"/>
      <c r="K18" s="5"/>
      <c r="L18" s="6"/>
      <c r="M18" s="25" t="s">
        <v>64</v>
      </c>
      <c r="N18" s="27">
        <f>N7*N10-N14</f>
        <v>439.63072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9"/>
      <c r="I19" s="5"/>
      <c r="J19" s="5"/>
      <c r="K19" s="47"/>
      <c r="L19" s="31"/>
      <c r="M19" s="25" t="s">
        <v>65</v>
      </c>
      <c r="N19" s="27">
        <f>N9</f>
        <v>890.79552000000001</v>
      </c>
      <c r="O19" s="40"/>
      <c r="P19" s="2"/>
    </row>
    <row r="20" spans="1:18" x14ac:dyDescent="0.3">
      <c r="A20" s="156" t="s">
        <v>64</v>
      </c>
      <c r="B20" s="157"/>
      <c r="C20" s="19">
        <f>+N18</f>
        <v>439.63072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5171.8157900799997</v>
      </c>
      <c r="H20" s="9"/>
      <c r="I20" s="5"/>
      <c r="J20" s="5"/>
      <c r="K20" s="47"/>
      <c r="L20" s="31"/>
      <c r="M20" s="25" t="s">
        <v>66</v>
      </c>
      <c r="N20" s="27">
        <f>+N11+N12+N13+N14</f>
        <v>120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890.79552000000001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19098.655948799998</v>
      </c>
      <c r="H21" s="9"/>
      <c r="I21" s="5"/>
      <c r="J21" s="21"/>
      <c r="K21" s="47"/>
      <c r="L21" s="31"/>
      <c r="M21" s="52" t="s">
        <v>69</v>
      </c>
      <c r="N21" s="53">
        <f>Q25</f>
        <v>225.92639999999997</v>
      </c>
      <c r="P21" s="49" t="s">
        <v>70</v>
      </c>
      <c r="Q21" s="27">
        <v>0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v>0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f>N8*N10</f>
        <v>225.92639999999997</v>
      </c>
      <c r="R23" s="4">
        <v>0</v>
      </c>
    </row>
    <row r="24" spans="1:18" x14ac:dyDescent="0.3">
      <c r="A24" s="156" t="s">
        <v>76</v>
      </c>
      <c r="B24" s="157"/>
      <c r="C24" s="19">
        <f>N20</f>
        <v>120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4556.1599999999989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v>0</v>
      </c>
      <c r="R24" s="4">
        <v>0</v>
      </c>
    </row>
    <row r="25" spans="1:18" x14ac:dyDescent="0.3">
      <c r="A25" s="156" t="s">
        <v>69</v>
      </c>
      <c r="B25" s="157"/>
      <c r="C25" s="19">
        <f>+N21</f>
        <v>225.92639999999997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2584.598015999999</v>
      </c>
      <c r="H25" s="179"/>
      <c r="I25" s="180"/>
      <c r="J25" s="180"/>
      <c r="K25" s="180"/>
      <c r="L25" s="181"/>
      <c r="M25" s="25" t="s">
        <v>79</v>
      </c>
      <c r="N25" s="27">
        <f>C32</f>
        <v>118.23205055999999</v>
      </c>
      <c r="O25" s="57"/>
      <c r="P25" s="58" t="s">
        <v>80</v>
      </c>
      <c r="Q25" s="27">
        <f>SUM(Q21:Q24)</f>
        <v>225.92639999999997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SUMMARY!I52</f>
        <v>5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SUMMARY!H52</f>
        <v>2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890.79552000000001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5.2276557712500713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118.23205055999999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514.84855808655345</v>
      </c>
      <c r="H32" s="9"/>
      <c r="I32" s="5"/>
      <c r="J32" s="5"/>
      <c r="K32" s="47"/>
      <c r="L32" s="63"/>
      <c r="M32" s="50" t="s">
        <v>87</v>
      </c>
      <c r="N32" s="46">
        <f>+L45</f>
        <v>2813.600214308427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5.5</v>
      </c>
    </row>
    <row r="35" spans="1:15" x14ac:dyDescent="0.3">
      <c r="A35" s="156" t="s">
        <v>81</v>
      </c>
      <c r="B35" s="157"/>
      <c r="C35" s="19">
        <f>I13</f>
        <v>5</v>
      </c>
      <c r="D35" s="5" t="s">
        <v>90</v>
      </c>
      <c r="E35" s="5">
        <v>240</v>
      </c>
      <c r="F35" s="5"/>
      <c r="G35" s="34">
        <f>E35*C35</f>
        <v>1200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2</v>
      </c>
      <c r="D36" s="5" t="s">
        <v>91</v>
      </c>
      <c r="E36" s="5">
        <v>3413</v>
      </c>
      <c r="F36" s="5">
        <v>1</v>
      </c>
      <c r="G36" s="34">
        <f>F36*E36*C36</f>
        <v>6826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890.79552000000001</v>
      </c>
      <c r="D37" s="5" t="s">
        <v>92</v>
      </c>
      <c r="E37" s="5">
        <v>3.4129999999999998</v>
      </c>
      <c r="F37" s="5"/>
      <c r="G37" s="34">
        <f>+E37*C37</f>
        <v>3040.2851097600001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46112.431544326551</v>
      </c>
      <c r="H39" s="156" t="s">
        <v>97</v>
      </c>
      <c r="I39" s="157"/>
      <c r="J39" s="157"/>
      <c r="K39" s="157"/>
      <c r="L39" s="69">
        <f>G41</f>
        <v>51876.485487367368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5764.0539430408189</v>
      </c>
      <c r="H40" s="156" t="s">
        <v>99</v>
      </c>
      <c r="I40" s="157"/>
      <c r="J40" s="157"/>
      <c r="K40" s="157"/>
      <c r="L40" s="70">
        <f>G50</f>
        <v>53565.158662367205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51876.485487367368</v>
      </c>
      <c r="H41" s="156" t="s">
        <v>100</v>
      </c>
      <c r="I41" s="157"/>
      <c r="J41" s="157"/>
      <c r="K41" s="157"/>
      <c r="L41" s="72">
        <f>L39/L40</f>
        <v>0.96847441103191889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118.23205055999999</v>
      </c>
      <c r="D44" s="5" t="s">
        <v>86</v>
      </c>
      <c r="E44" s="5">
        <f>+L7</f>
        <v>76.2</v>
      </c>
      <c r="F44" s="5">
        <v>0.68</v>
      </c>
      <c r="G44" s="34">
        <f>F44*E44*C44*B44</f>
        <v>735.15743181803521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5</v>
      </c>
      <c r="D45" s="5" t="s">
        <v>90</v>
      </c>
      <c r="E45" s="5">
        <v>160</v>
      </c>
      <c r="F45" s="5"/>
      <c r="G45" s="30">
        <f>E45*C45</f>
        <v>800</v>
      </c>
      <c r="H45" s="156" t="s">
        <v>108</v>
      </c>
      <c r="I45" s="157"/>
      <c r="J45" s="157"/>
      <c r="K45" s="157"/>
      <c r="L45" s="77">
        <f>L39/(L44*1.08)</f>
        <v>2813.600214308427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1535.1574318180351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153.51574318180351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1688.6731749998387</v>
      </c>
      <c r="H49" s="9" t="s">
        <v>113</v>
      </c>
      <c r="I49" s="79"/>
      <c r="J49" s="79"/>
      <c r="K49" s="79"/>
      <c r="L49" s="55">
        <f>N34</f>
        <v>5.5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53565.158662367205</v>
      </c>
      <c r="H50" s="156" t="s">
        <v>114</v>
      </c>
      <c r="I50" s="157"/>
      <c r="J50" s="157"/>
      <c r="K50" s="157"/>
      <c r="L50" s="31">
        <f>L45</f>
        <v>2813.600214308427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5.2276557712500713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2813.600214308427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118.23205055999999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3775.5560926347252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118.23205055999999</v>
      </c>
      <c r="D55" s="5" t="s">
        <v>86</v>
      </c>
      <c r="E55" s="5">
        <f>+L7</f>
        <v>76.2</v>
      </c>
      <c r="F55" s="5">
        <v>0.68</v>
      </c>
      <c r="G55" s="34">
        <f>F55*E55*C55*B55</f>
        <v>5391.1544999989246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62731.869255000856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5.2276557712500713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s="137" customFormat="1" x14ac:dyDescent="0.3">
      <c r="A63" s="136"/>
      <c r="B63" s="136" t="s">
        <v>188</v>
      </c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N63" s="138"/>
      <c r="O63" s="138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S67"/>
  <sheetViews>
    <sheetView view="pageBreakPreview" zoomScale="70" zoomScaleNormal="100" zoomScaleSheetLayoutView="70" workbookViewId="0">
      <selection activeCell="N35" sqref="N35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9.3000000000000007</v>
      </c>
      <c r="O3" s="7">
        <f>N3*3.28</f>
        <v>30.504000000000001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6</v>
      </c>
      <c r="O4" s="7">
        <f>N4*3.28</f>
        <v>19.68</v>
      </c>
      <c r="P4" s="8"/>
      <c r="Q4" s="8"/>
    </row>
    <row r="5" spans="1:19" x14ac:dyDescent="0.3">
      <c r="A5" s="9" t="s">
        <v>17</v>
      </c>
      <c r="B5" s="5"/>
      <c r="C5" s="162" t="s">
        <v>138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30.504000000000001</v>
      </c>
      <c r="D7" s="19">
        <f>+N8</f>
        <v>19.68</v>
      </c>
      <c r="E7" s="20">
        <f>+N9</f>
        <v>600.31871999999998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30.504000000000001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19.68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600.31871999999998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6891.6589055999993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0</v>
      </c>
      <c r="M11" s="25" t="s">
        <v>43</v>
      </c>
      <c r="N11" s="27">
        <v>0</v>
      </c>
      <c r="P11" s="36" t="s">
        <v>46</v>
      </c>
      <c r="Q11" s="37">
        <v>7.5</v>
      </c>
      <c r="R11" s="32"/>
    </row>
    <row r="12" spans="1:19" x14ac:dyDescent="0.3">
      <c r="A12" s="156" t="s">
        <v>47</v>
      </c>
      <c r="B12" s="157"/>
      <c r="C12" s="19">
        <f>+N12</f>
        <v>0</v>
      </c>
      <c r="D12" s="5" t="s">
        <v>44</v>
      </c>
      <c r="E12" s="5">
        <v>12</v>
      </c>
      <c r="F12" s="33">
        <v>0.56000000000000005</v>
      </c>
      <c r="G12" s="34">
        <f>F12*E12*C12</f>
        <v>0</v>
      </c>
      <c r="H12" s="9" t="s">
        <v>48</v>
      </c>
      <c r="I12" s="5"/>
      <c r="J12" s="5"/>
      <c r="K12" s="5"/>
      <c r="L12" s="31">
        <f>+Q17</f>
        <v>105.32486015999999</v>
      </c>
      <c r="M12" s="25" t="s">
        <v>47</v>
      </c>
      <c r="N12" s="38">
        <v>0</v>
      </c>
      <c r="P12" s="32" t="s">
        <v>49</v>
      </c>
      <c r="Q12" s="39">
        <f>+Q11*C35</f>
        <v>45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9" t="s">
        <v>51</v>
      </c>
      <c r="I13" s="19">
        <f>N26</f>
        <v>6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0</v>
      </c>
      <c r="M14" s="25" t="s">
        <v>54</v>
      </c>
      <c r="N14" s="27">
        <v>0</v>
      </c>
      <c r="P14" s="29" t="s">
        <v>56</v>
      </c>
      <c r="Q14" s="27">
        <f>+Q13*E7</f>
        <v>36.019123199999996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81.019123199999996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v>0</v>
      </c>
      <c r="O16" s="40"/>
      <c r="P16" s="48" t="s">
        <v>61</v>
      </c>
      <c r="Q16" s="27">
        <f>Q15*30%</f>
        <v>24.305736959999997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105.32486015999999</v>
      </c>
      <c r="R17" s="29"/>
    </row>
    <row r="18" spans="1:18" x14ac:dyDescent="0.3">
      <c r="A18" s="156" t="s">
        <v>60</v>
      </c>
      <c r="B18" s="157"/>
      <c r="C18" s="19">
        <f>+N16</f>
        <v>0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0</v>
      </c>
      <c r="H18" s="9"/>
      <c r="I18" s="5"/>
      <c r="J18" s="5"/>
      <c r="K18" s="5"/>
      <c r="L18" s="6"/>
      <c r="M18" s="25" t="s">
        <v>64</v>
      </c>
      <c r="N18" s="27">
        <f>(O7-N14)*N13</f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9"/>
      <c r="I19" s="5"/>
      <c r="J19" s="5"/>
      <c r="K19" s="47"/>
      <c r="L19" s="31"/>
      <c r="M19" s="25" t="s">
        <v>65</v>
      </c>
      <c r="N19" s="27">
        <v>0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9"/>
      <c r="I20" s="5"/>
      <c r="J20" s="5"/>
      <c r="K20" s="47"/>
      <c r="L20" s="31"/>
      <c r="M20" s="25" t="s">
        <v>66</v>
      </c>
      <c r="N20" s="27">
        <f>+N11+N12+N13+N14</f>
        <v>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0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0</v>
      </c>
      <c r="H21" s="9"/>
      <c r="I21" s="5"/>
      <c r="J21" s="21"/>
      <c r="K21" s="47"/>
      <c r="L21" s="31"/>
      <c r="M21" s="52" t="s">
        <v>69</v>
      </c>
      <c r="N21" s="53">
        <f>Q25</f>
        <v>576.11231999999995</v>
      </c>
      <c r="P21" s="49" t="s">
        <v>70</v>
      </c>
      <c r="Q21" s="27">
        <f>N7*N10</f>
        <v>350.18591999999995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f>N8*N10</f>
        <v>225.92639999999997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v>0</v>
      </c>
      <c r="R23" s="4">
        <v>0</v>
      </c>
    </row>
    <row r="24" spans="1:18" x14ac:dyDescent="0.3">
      <c r="A24" s="156" t="s">
        <v>76</v>
      </c>
      <c r="B24" s="157"/>
      <c r="C24" s="19">
        <f>N20</f>
        <v>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0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v>0</v>
      </c>
      <c r="R24" s="4">
        <v>0</v>
      </c>
    </row>
    <row r="25" spans="1:18" x14ac:dyDescent="0.3">
      <c r="A25" s="156" t="s">
        <v>69</v>
      </c>
      <c r="B25" s="157"/>
      <c r="C25" s="19">
        <f>+N21</f>
        <v>576.11231999999995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6590.724940799998</v>
      </c>
      <c r="H25" s="179"/>
      <c r="I25" s="180"/>
      <c r="J25" s="180"/>
      <c r="K25" s="180"/>
      <c r="L25" s="181"/>
      <c r="M25" s="25" t="s">
        <v>79</v>
      </c>
      <c r="N25" s="27">
        <f>C32</f>
        <v>105.32486015999999</v>
      </c>
      <c r="O25" s="57"/>
      <c r="P25" s="58" t="s">
        <v>80</v>
      </c>
      <c r="Q25" s="27">
        <f>SUM(Q21:Q24)</f>
        <v>576.11231999999995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SUMMARY!I10</f>
        <v>6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SUMMARY!H10</f>
        <v>0.5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600.31871999999998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1.976478240545628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105.32486015999999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458.64342305832946</v>
      </c>
      <c r="H32" s="9"/>
      <c r="I32" s="5"/>
      <c r="J32" s="5"/>
      <c r="K32" s="47"/>
      <c r="L32" s="63"/>
      <c r="M32" s="50" t="s">
        <v>87</v>
      </c>
      <c r="N32" s="46">
        <f>+L45</f>
        <v>747.12712794941547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2</v>
      </c>
    </row>
    <row r="35" spans="1:15" x14ac:dyDescent="0.3">
      <c r="A35" s="156" t="s">
        <v>81</v>
      </c>
      <c r="B35" s="157"/>
      <c r="C35" s="19">
        <f>I13</f>
        <v>6</v>
      </c>
      <c r="D35" s="5" t="s">
        <v>90</v>
      </c>
      <c r="E35" s="5">
        <v>240</v>
      </c>
      <c r="F35" s="5"/>
      <c r="G35" s="34">
        <f>E35*C35</f>
        <v>1440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0.5</v>
      </c>
      <c r="D36" s="5" t="s">
        <v>91</v>
      </c>
      <c r="E36" s="5">
        <v>3413</v>
      </c>
      <c r="F36" s="5">
        <v>1</v>
      </c>
      <c r="G36" s="34">
        <f>F36*E36*C36</f>
        <v>1706.5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600.31871999999998</v>
      </c>
      <c r="D37" s="5" t="s">
        <v>92</v>
      </c>
      <c r="E37" s="5">
        <v>3.4129999999999998</v>
      </c>
      <c r="F37" s="5"/>
      <c r="G37" s="34">
        <f>+E37*C37</f>
        <v>2048.8877913599999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12244.756155218329</v>
      </c>
      <c r="H39" s="156" t="s">
        <v>97</v>
      </c>
      <c r="I39" s="157"/>
      <c r="J39" s="157"/>
      <c r="K39" s="157"/>
      <c r="L39" s="69">
        <f>G41</f>
        <v>13775.35067462062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1530.5945194022911</v>
      </c>
      <c r="H40" s="156" t="s">
        <v>99</v>
      </c>
      <c r="I40" s="157"/>
      <c r="J40" s="157"/>
      <c r="K40" s="157"/>
      <c r="L40" s="70">
        <f>G50</f>
        <v>15551.742384555295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13775.35067462062</v>
      </c>
      <c r="H41" s="156" t="s">
        <v>100</v>
      </c>
      <c r="I41" s="157"/>
      <c r="J41" s="157"/>
      <c r="K41" s="157"/>
      <c r="L41" s="72">
        <f>L39/L40</f>
        <v>0.88577538992037064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105.32486015999999</v>
      </c>
      <c r="D44" s="5" t="s">
        <v>86</v>
      </c>
      <c r="E44" s="5">
        <f>+L7</f>
        <v>76.2</v>
      </c>
      <c r="F44" s="5">
        <v>0.68</v>
      </c>
      <c r="G44" s="34">
        <f>F44*E44*C44*B44</f>
        <v>654.90155448606708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6</v>
      </c>
      <c r="D45" s="5" t="s">
        <v>90</v>
      </c>
      <c r="E45" s="5">
        <v>160</v>
      </c>
      <c r="F45" s="5"/>
      <c r="G45" s="30">
        <f>E45*C45</f>
        <v>960</v>
      </c>
      <c r="H45" s="156" t="s">
        <v>108</v>
      </c>
      <c r="I45" s="157"/>
      <c r="J45" s="157"/>
      <c r="K45" s="157"/>
      <c r="L45" s="77">
        <f>L39/(L44*1.08)</f>
        <v>747.12712794941547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1614.9015544860672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161.49015544860674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1776.3917099346741</v>
      </c>
      <c r="H49" s="9" t="s">
        <v>113</v>
      </c>
      <c r="I49" s="79"/>
      <c r="J49" s="79"/>
      <c r="K49" s="79"/>
      <c r="L49" s="55">
        <f>N34</f>
        <v>2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15551.742384555295</v>
      </c>
      <c r="H50" s="156" t="s">
        <v>114</v>
      </c>
      <c r="I50" s="157"/>
      <c r="J50" s="157"/>
      <c r="K50" s="157"/>
      <c r="L50" s="31">
        <f>L45</f>
        <v>747.12712794941547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1.976478240545628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747.12712794941547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105.32486015999999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3363.3851024277496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105.32486015999999</v>
      </c>
      <c r="D55" s="5" t="s">
        <v>86</v>
      </c>
      <c r="E55" s="5">
        <f>+L7</f>
        <v>76.2</v>
      </c>
      <c r="F55" s="5">
        <v>0.68</v>
      </c>
      <c r="G55" s="34">
        <f>F55*E55*C55*B55</f>
        <v>4802.6113995644928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23717.738886547537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1.976478240545628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x14ac:dyDescent="0.3">
      <c r="B63" s="17" t="s">
        <v>122</v>
      </c>
      <c r="G63" s="17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67"/>
  <sheetViews>
    <sheetView view="pageBreakPreview" topLeftCell="A7" zoomScale="70" zoomScaleNormal="100" zoomScaleSheetLayoutView="70" workbookViewId="0">
      <selection activeCell="N28" sqref="N28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20.6</v>
      </c>
      <c r="O3" s="7">
        <f>N3*3.28</f>
        <v>67.567999999999998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11.8</v>
      </c>
      <c r="O4" s="7">
        <f>N4*3.28</f>
        <v>38.704000000000001</v>
      </c>
      <c r="P4" s="8"/>
      <c r="Q4" s="8"/>
    </row>
    <row r="5" spans="1:19" x14ac:dyDescent="0.3">
      <c r="A5" s="9" t="s">
        <v>17</v>
      </c>
      <c r="B5" s="5"/>
      <c r="C5" s="162" t="s">
        <v>149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67.567999999999998</v>
      </c>
      <c r="D7" s="19">
        <f>+N8</f>
        <v>38.704000000000001</v>
      </c>
      <c r="E7" s="20">
        <f>+N9</f>
        <v>2615.1518719999999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67.567999999999998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38.704000000000001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2615.1518719999999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30021.943490559996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0</v>
      </c>
      <c r="M11" s="25" t="s">
        <v>43</v>
      </c>
      <c r="N11" s="27">
        <v>0</v>
      </c>
      <c r="P11" s="36" t="s">
        <v>46</v>
      </c>
      <c r="Q11" s="37">
        <v>5</v>
      </c>
      <c r="R11" s="32"/>
    </row>
    <row r="12" spans="1:19" x14ac:dyDescent="0.3">
      <c r="A12" s="156" t="s">
        <v>47</v>
      </c>
      <c r="B12" s="157"/>
      <c r="C12" s="19">
        <f>+N12</f>
        <v>80</v>
      </c>
      <c r="D12" s="5" t="s">
        <v>44</v>
      </c>
      <c r="E12" s="5">
        <v>12</v>
      </c>
      <c r="F12" s="33">
        <v>0.56000000000000005</v>
      </c>
      <c r="G12" s="34">
        <f>F12*E12*C12</f>
        <v>537.6</v>
      </c>
      <c r="H12" s="9" t="s">
        <v>48</v>
      </c>
      <c r="I12" s="5"/>
      <c r="J12" s="5"/>
      <c r="K12" s="5"/>
      <c r="L12" s="31">
        <f>+Q17</f>
        <v>236.48184601599999</v>
      </c>
      <c r="M12" s="25" t="s">
        <v>47</v>
      </c>
      <c r="N12" s="38">
        <f>5*4*4</f>
        <v>80</v>
      </c>
      <c r="P12" s="32" t="s">
        <v>49</v>
      </c>
      <c r="Q12" s="39">
        <f>+Q11*C35</f>
        <v>25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9" t="s">
        <v>51</v>
      </c>
      <c r="I13" s="19">
        <f>N26</f>
        <v>5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0</v>
      </c>
      <c r="M14" s="25" t="s">
        <v>54</v>
      </c>
      <c r="N14" s="27">
        <v>0</v>
      </c>
      <c r="P14" s="29" t="s">
        <v>56</v>
      </c>
      <c r="Q14" s="27">
        <f>+Q13*E7</f>
        <v>156.90911231999999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181.90911231999999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f>N8*N10-N12</f>
        <v>364.32191999999998</v>
      </c>
      <c r="O16" s="40"/>
      <c r="P16" s="48" t="s">
        <v>61</v>
      </c>
      <c r="Q16" s="27">
        <f>Q15*30%</f>
        <v>54.572733695999993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236.48184601599999</v>
      </c>
      <c r="R17" s="29"/>
    </row>
    <row r="18" spans="1:18" x14ac:dyDescent="0.3">
      <c r="A18" s="156" t="s">
        <v>60</v>
      </c>
      <c r="B18" s="157"/>
      <c r="C18" s="19">
        <f>+N16</f>
        <v>364.32191999999998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4533.6219724799994</v>
      </c>
      <c r="H18" s="9"/>
      <c r="I18" s="5"/>
      <c r="J18" s="5"/>
      <c r="K18" s="5"/>
      <c r="L18" s="6"/>
      <c r="M18" s="25" t="s">
        <v>64</v>
      </c>
      <c r="N18" s="27">
        <f>(O7-N14)*N13</f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9"/>
      <c r="I19" s="5"/>
      <c r="J19" s="5"/>
      <c r="K19" s="47"/>
      <c r="L19" s="31"/>
      <c r="M19" s="25" t="s">
        <v>65</v>
      </c>
      <c r="N19" s="27">
        <v>0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9"/>
      <c r="I20" s="5"/>
      <c r="J20" s="5"/>
      <c r="K20" s="47"/>
      <c r="L20" s="31"/>
      <c r="M20" s="25" t="s">
        <v>66</v>
      </c>
      <c r="N20" s="27">
        <f>+N11+N12+N13+N14</f>
        <v>80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0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0</v>
      </c>
      <c r="H21" s="9"/>
      <c r="I21" s="5"/>
      <c r="J21" s="21"/>
      <c r="K21" s="47"/>
      <c r="L21" s="31"/>
      <c r="M21" s="52" t="s">
        <v>69</v>
      </c>
      <c r="N21" s="53">
        <f>Q25</f>
        <v>854.75487999999996</v>
      </c>
      <c r="P21" s="49" t="s">
        <v>70</v>
      </c>
      <c r="Q21" s="27">
        <f>4*3.28*N10</f>
        <v>150.61759999999998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v>0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f>N8*N10</f>
        <v>444.32191999999998</v>
      </c>
      <c r="R23" s="4">
        <v>0</v>
      </c>
    </row>
    <row r="24" spans="1:18" x14ac:dyDescent="0.3">
      <c r="A24" s="156" t="s">
        <v>76</v>
      </c>
      <c r="B24" s="157"/>
      <c r="C24" s="19">
        <f>N20</f>
        <v>80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3037.4399999999991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f>6.9*3.28*N10</f>
        <v>259.81536</v>
      </c>
      <c r="R24" s="4">
        <v>0</v>
      </c>
    </row>
    <row r="25" spans="1:18" x14ac:dyDescent="0.3">
      <c r="A25" s="156" t="s">
        <v>69</v>
      </c>
      <c r="B25" s="157"/>
      <c r="C25" s="19">
        <f>+N21</f>
        <v>854.75487999999996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9778.3958271999982</v>
      </c>
      <c r="H25" s="179"/>
      <c r="I25" s="180"/>
      <c r="J25" s="180"/>
      <c r="K25" s="180"/>
      <c r="L25" s="181"/>
      <c r="M25" s="25" t="s">
        <v>79</v>
      </c>
      <c r="N25" s="27">
        <f>C32</f>
        <v>236.48184601599999</v>
      </c>
      <c r="O25" s="57"/>
      <c r="P25" s="58" t="s">
        <v>80</v>
      </c>
      <c r="Q25" s="27">
        <f>SUM(Q21:Q24)</f>
        <v>854.75487999999996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SUMMARY!I11</f>
        <v>5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SUMMARY!H11</f>
        <v>10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2615.1518719999999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7.6584294509152553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236.48184601599999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1029.7743873874329</v>
      </c>
      <c r="H32" s="9"/>
      <c r="I32" s="5"/>
      <c r="J32" s="5"/>
      <c r="K32" s="47"/>
      <c r="L32" s="63"/>
      <c r="M32" s="50" t="s">
        <v>87</v>
      </c>
      <c r="N32" s="46">
        <f>+L45</f>
        <v>3854.5294394209936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8</v>
      </c>
    </row>
    <row r="35" spans="1:15" x14ac:dyDescent="0.3">
      <c r="A35" s="156" t="s">
        <v>81</v>
      </c>
      <c r="B35" s="157"/>
      <c r="C35" s="19">
        <f>I13</f>
        <v>5</v>
      </c>
      <c r="D35" s="5" t="s">
        <v>90</v>
      </c>
      <c r="E35" s="5">
        <v>240</v>
      </c>
      <c r="F35" s="5"/>
      <c r="G35" s="34">
        <f>E35*C35</f>
        <v>1200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10</v>
      </c>
      <c r="D36" s="5" t="s">
        <v>91</v>
      </c>
      <c r="E36" s="5">
        <v>3413</v>
      </c>
      <c r="F36" s="5">
        <v>1</v>
      </c>
      <c r="G36" s="34">
        <f>F36*E36*C36</f>
        <v>34130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2615.1518719999999</v>
      </c>
      <c r="D37" s="5" t="s">
        <v>92</v>
      </c>
      <c r="E37" s="5">
        <v>3.4129999999999998</v>
      </c>
      <c r="F37" s="5"/>
      <c r="G37" s="34">
        <f>+E37*C37</f>
        <v>8925.5133391359996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63172.345526203426</v>
      </c>
      <c r="H39" s="156" t="s">
        <v>97</v>
      </c>
      <c r="I39" s="157"/>
      <c r="J39" s="157"/>
      <c r="K39" s="157"/>
      <c r="L39" s="69">
        <f>G41</f>
        <v>71068.88871697885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7896.5431907754282</v>
      </c>
      <c r="H40" s="156" t="s">
        <v>99</v>
      </c>
      <c r="I40" s="157"/>
      <c r="J40" s="157"/>
      <c r="K40" s="157"/>
      <c r="L40" s="70">
        <f>G50</f>
        <v>73566.356436956645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71068.88871697885</v>
      </c>
      <c r="H41" s="156" t="s">
        <v>100</v>
      </c>
      <c r="I41" s="157"/>
      <c r="J41" s="157"/>
      <c r="K41" s="157"/>
      <c r="L41" s="72">
        <f>L39/L40</f>
        <v>0.966051496350536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236.48184601599999</v>
      </c>
      <c r="D44" s="5" t="s">
        <v>86</v>
      </c>
      <c r="E44" s="5">
        <f>+L7</f>
        <v>76.2</v>
      </c>
      <c r="F44" s="5">
        <v>0.68</v>
      </c>
      <c r="G44" s="34">
        <f>F44*E44*C44*B44</f>
        <v>1470.4251999798066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5</v>
      </c>
      <c r="D45" s="5" t="s">
        <v>90</v>
      </c>
      <c r="E45" s="5">
        <v>160</v>
      </c>
      <c r="F45" s="5"/>
      <c r="G45" s="30">
        <f>E45*C45</f>
        <v>800</v>
      </c>
      <c r="H45" s="156" t="s">
        <v>108</v>
      </c>
      <c r="I45" s="157"/>
      <c r="J45" s="157"/>
      <c r="K45" s="157"/>
      <c r="L45" s="77">
        <f>L39/(L44*1.08)</f>
        <v>3854.5294394209936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2270.4251999798066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227.04251999798066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2497.4677199777871</v>
      </c>
      <c r="H49" s="9" t="s">
        <v>113</v>
      </c>
      <c r="I49" s="79"/>
      <c r="J49" s="79"/>
      <c r="K49" s="79"/>
      <c r="L49" s="55">
        <f>N34</f>
        <v>8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73566.356436956645</v>
      </c>
      <c r="H50" s="156" t="s">
        <v>114</v>
      </c>
      <c r="I50" s="157"/>
      <c r="J50" s="157"/>
      <c r="K50" s="157"/>
      <c r="L50" s="31">
        <f>L45</f>
        <v>3854.5294394209936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7.6584294509152553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3854.5294394209936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236.48184601599999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7551.6788408411749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236.48184601599999</v>
      </c>
      <c r="D55" s="5" t="s">
        <v>86</v>
      </c>
      <c r="E55" s="5">
        <f>+L7</f>
        <v>76.2</v>
      </c>
      <c r="F55" s="5">
        <v>0.68</v>
      </c>
      <c r="G55" s="34">
        <f>F55*E55*C55*B55</f>
        <v>10783.118133185249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91901.153410983068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7.6584294509152553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x14ac:dyDescent="0.3">
      <c r="B63" s="17" t="s">
        <v>122</v>
      </c>
      <c r="G63" s="17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S67"/>
  <sheetViews>
    <sheetView view="pageBreakPreview" zoomScale="70" zoomScaleNormal="100" zoomScaleSheetLayoutView="70" workbookViewId="0">
      <selection activeCell="N35" sqref="N35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3.3</v>
      </c>
      <c r="O3" s="7">
        <f>N3*3.28</f>
        <v>10.823999999999998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2.9</v>
      </c>
      <c r="O4" s="7">
        <f>N4*3.28</f>
        <v>9.5119999999999987</v>
      </c>
      <c r="P4" s="8"/>
      <c r="Q4" s="8"/>
    </row>
    <row r="5" spans="1:19" x14ac:dyDescent="0.3">
      <c r="A5" s="9" t="s">
        <v>17</v>
      </c>
      <c r="B5" s="5"/>
      <c r="C5" s="162" t="s">
        <v>141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10.823999999999998</v>
      </c>
      <c r="D7" s="19">
        <f>+N8</f>
        <v>9.5119999999999987</v>
      </c>
      <c r="E7" s="20">
        <f>+N9</f>
        <v>102.95788799999997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10.823999999999998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9.5119999999999987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102.95788799999997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1181.9565542399996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0</v>
      </c>
      <c r="M11" s="25" t="s">
        <v>43</v>
      </c>
      <c r="N11" s="27">
        <v>0</v>
      </c>
      <c r="P11" s="36" t="s">
        <v>46</v>
      </c>
      <c r="Q11" s="37">
        <v>7.5</v>
      </c>
      <c r="R11" s="32"/>
    </row>
    <row r="12" spans="1:19" x14ac:dyDescent="0.3">
      <c r="A12" s="156" t="s">
        <v>47</v>
      </c>
      <c r="B12" s="157"/>
      <c r="C12" s="19">
        <f>+N12</f>
        <v>0</v>
      </c>
      <c r="D12" s="5" t="s">
        <v>44</v>
      </c>
      <c r="E12" s="5">
        <v>12</v>
      </c>
      <c r="F12" s="33">
        <v>0.56000000000000005</v>
      </c>
      <c r="G12" s="34">
        <f>F12*E12*C12</f>
        <v>0</v>
      </c>
      <c r="H12" s="9" t="s">
        <v>48</v>
      </c>
      <c r="I12" s="5"/>
      <c r="J12" s="5"/>
      <c r="K12" s="5"/>
      <c r="L12" s="31">
        <f>+Q17</f>
        <v>27.530715263999998</v>
      </c>
      <c r="M12" s="25" t="s">
        <v>47</v>
      </c>
      <c r="N12" s="38">
        <v>0</v>
      </c>
      <c r="P12" s="32" t="s">
        <v>49</v>
      </c>
      <c r="Q12" s="39">
        <f>+Q11*C35</f>
        <v>15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9" t="s">
        <v>51</v>
      </c>
      <c r="I13" s="19">
        <f>N26</f>
        <v>2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0</v>
      </c>
      <c r="M14" s="25" t="s">
        <v>54</v>
      </c>
      <c r="N14" s="27">
        <v>0</v>
      </c>
      <c r="P14" s="29" t="s">
        <v>56</v>
      </c>
      <c r="Q14" s="27">
        <f>+Q13*E7</f>
        <v>6.1774732799999983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21.177473279999997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v>0</v>
      </c>
      <c r="O16" s="40"/>
      <c r="P16" s="48" t="s">
        <v>61</v>
      </c>
      <c r="Q16" s="27">
        <f>Q15*30%</f>
        <v>6.3532419839999994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27.530715263999998</v>
      </c>
      <c r="R17" s="29"/>
    </row>
    <row r="18" spans="1:18" x14ac:dyDescent="0.3">
      <c r="A18" s="156" t="s">
        <v>60</v>
      </c>
      <c r="B18" s="157"/>
      <c r="C18" s="19">
        <f>+N16</f>
        <v>0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0</v>
      </c>
      <c r="H18" s="9"/>
      <c r="I18" s="5"/>
      <c r="J18" s="5"/>
      <c r="K18" s="5"/>
      <c r="L18" s="6"/>
      <c r="M18" s="25" t="s">
        <v>64</v>
      </c>
      <c r="N18" s="27">
        <f>(O7-N14)*N13</f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9"/>
      <c r="I19" s="5"/>
      <c r="J19" s="5"/>
      <c r="K19" s="47"/>
      <c r="L19" s="31"/>
      <c r="M19" s="25" t="s">
        <v>65</v>
      </c>
      <c r="N19" s="27">
        <v>0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9"/>
      <c r="I20" s="5"/>
      <c r="J20" s="5"/>
      <c r="K20" s="47"/>
      <c r="L20" s="31"/>
      <c r="M20" s="25" t="s">
        <v>66</v>
      </c>
      <c r="N20" s="27">
        <f>+N11+N12+N13+N14</f>
        <v>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0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0</v>
      </c>
      <c r="H21" s="9"/>
      <c r="I21" s="5"/>
      <c r="J21" s="21"/>
      <c r="K21" s="47"/>
      <c r="L21" s="31"/>
      <c r="M21" s="52" t="s">
        <v>69</v>
      </c>
      <c r="N21" s="53">
        <f>Q25</f>
        <v>357.71679999999992</v>
      </c>
      <c r="P21" s="49" t="s">
        <v>70</v>
      </c>
      <c r="Q21" s="27">
        <f>N7*N10</f>
        <v>124.25951999999997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v>0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f>N8*N10</f>
        <v>109.19775999999997</v>
      </c>
      <c r="R23" s="4">
        <v>0</v>
      </c>
    </row>
    <row r="24" spans="1:18" x14ac:dyDescent="0.3">
      <c r="A24" s="156" t="s">
        <v>76</v>
      </c>
      <c r="B24" s="157"/>
      <c r="C24" s="19">
        <f>N20</f>
        <v>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0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f>N7*N10</f>
        <v>124.25951999999997</v>
      </c>
      <c r="R24" s="4">
        <v>0</v>
      </c>
    </row>
    <row r="25" spans="1:18" x14ac:dyDescent="0.3">
      <c r="A25" s="156" t="s">
        <v>69</v>
      </c>
      <c r="B25" s="157"/>
      <c r="C25" s="19">
        <f>+N21</f>
        <v>357.71679999999992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4092.2801919999984</v>
      </c>
      <c r="H25" s="179"/>
      <c r="I25" s="180"/>
      <c r="J25" s="180"/>
      <c r="K25" s="180"/>
      <c r="L25" s="181"/>
      <c r="M25" s="25" t="s">
        <v>79</v>
      </c>
      <c r="N25" s="27">
        <f>C32</f>
        <v>27.530715263999998</v>
      </c>
      <c r="O25" s="57"/>
      <c r="P25" s="58" t="s">
        <v>80</v>
      </c>
      <c r="Q25" s="27">
        <f>SUM(Q21:Q24)</f>
        <v>357.71679999999992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SUMMARY!I12</f>
        <v>2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SUMMARY!H12</f>
        <v>0.5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102.95788799999997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0.85571811931411568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27.530715263999998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119.88415146000382</v>
      </c>
      <c r="H32" s="9"/>
      <c r="I32" s="5"/>
      <c r="J32" s="5"/>
      <c r="K32" s="47"/>
      <c r="L32" s="63"/>
      <c r="M32" s="50" t="s">
        <v>87</v>
      </c>
      <c r="N32" s="46">
        <f>+L45</f>
        <v>411.86223636192784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1</v>
      </c>
    </row>
    <row r="35" spans="1:15" x14ac:dyDescent="0.3">
      <c r="A35" s="156" t="s">
        <v>81</v>
      </c>
      <c r="B35" s="157"/>
      <c r="C35" s="19">
        <f>I13</f>
        <v>2</v>
      </c>
      <c r="D35" s="5" t="s">
        <v>90</v>
      </c>
      <c r="E35" s="5">
        <v>240</v>
      </c>
      <c r="F35" s="5"/>
      <c r="G35" s="34">
        <f>E35*C35</f>
        <v>480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0.5</v>
      </c>
      <c r="D36" s="5" t="s">
        <v>91</v>
      </c>
      <c r="E36" s="5">
        <v>3413</v>
      </c>
      <c r="F36" s="5">
        <v>1</v>
      </c>
      <c r="G36" s="34">
        <f>F36*E36*C36</f>
        <v>1706.5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102.95788799999997</v>
      </c>
      <c r="D37" s="5" t="s">
        <v>92</v>
      </c>
      <c r="E37" s="5">
        <v>3.4129999999999998</v>
      </c>
      <c r="F37" s="5"/>
      <c r="G37" s="34">
        <f>+E37*C37</f>
        <v>351.3952717439999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6750.0596152040016</v>
      </c>
      <c r="H39" s="156" t="s">
        <v>97</v>
      </c>
      <c r="I39" s="157"/>
      <c r="J39" s="157"/>
      <c r="K39" s="157"/>
      <c r="L39" s="69">
        <f>G41</f>
        <v>7593.8170671045018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843.7574519005002</v>
      </c>
      <c r="H40" s="156" t="s">
        <v>99</v>
      </c>
      <c r="I40" s="157"/>
      <c r="J40" s="157"/>
      <c r="K40" s="157"/>
      <c r="L40" s="70">
        <f>G50</f>
        <v>8134.1192306642661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7593.8170671045018</v>
      </c>
      <c r="H41" s="156" t="s">
        <v>100</v>
      </c>
      <c r="I41" s="157"/>
      <c r="J41" s="157"/>
      <c r="K41" s="157"/>
      <c r="L41" s="72">
        <f>L39/L40</f>
        <v>0.93357582446997878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27.530715263999998</v>
      </c>
      <c r="D44" s="5" t="s">
        <v>86</v>
      </c>
      <c r="E44" s="5">
        <f>+L7</f>
        <v>76.2</v>
      </c>
      <c r="F44" s="5">
        <v>0.68</v>
      </c>
      <c r="G44" s="34">
        <f>F44*E44*C44*B44</f>
        <v>171.18378505433085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2</v>
      </c>
      <c r="D45" s="5" t="s">
        <v>90</v>
      </c>
      <c r="E45" s="5">
        <v>160</v>
      </c>
      <c r="F45" s="5"/>
      <c r="G45" s="30">
        <f>E45*C45</f>
        <v>320</v>
      </c>
      <c r="H45" s="156" t="s">
        <v>108</v>
      </c>
      <c r="I45" s="157"/>
      <c r="J45" s="157"/>
      <c r="K45" s="157"/>
      <c r="L45" s="77">
        <f>L39/(L44*1.08)</f>
        <v>411.86223636192784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491.18378505433088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49.118378505433093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540.30216355976393</v>
      </c>
      <c r="H49" s="9" t="s">
        <v>113</v>
      </c>
      <c r="I49" s="79"/>
      <c r="J49" s="79"/>
      <c r="K49" s="79"/>
      <c r="L49" s="55">
        <f>N34</f>
        <v>1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8134.1192306642661</v>
      </c>
      <c r="H50" s="156" t="s">
        <v>114</v>
      </c>
      <c r="I50" s="157"/>
      <c r="J50" s="157"/>
      <c r="K50" s="157"/>
      <c r="L50" s="31">
        <f>L45</f>
        <v>411.86223636192784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0.85571811931411568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411.86223636192784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27.530715263999998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879.15044404002799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27.530715263999998</v>
      </c>
      <c r="D55" s="5" t="s">
        <v>86</v>
      </c>
      <c r="E55" s="5">
        <f>+L7</f>
        <v>76.2</v>
      </c>
      <c r="F55" s="5">
        <v>0.68</v>
      </c>
      <c r="G55" s="34">
        <f>F55*E55*C55*B55</f>
        <v>1255.347757065093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10268.617431769388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0.85571811931411568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x14ac:dyDescent="0.3">
      <c r="B63" s="17" t="s">
        <v>122</v>
      </c>
      <c r="G63" s="17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67"/>
  <sheetViews>
    <sheetView view="pageBreakPreview" zoomScale="70" zoomScaleNormal="100" zoomScaleSheetLayoutView="70" workbookViewId="0">
      <selection activeCell="N35" sqref="N35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13.9</v>
      </c>
      <c r="O3" s="7">
        <f>N3*3.28</f>
        <v>45.591999999999999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11.8</v>
      </c>
      <c r="O4" s="7">
        <f>N4*3.28</f>
        <v>38.704000000000001</v>
      </c>
      <c r="P4" s="8"/>
      <c r="Q4" s="8"/>
    </row>
    <row r="5" spans="1:19" x14ac:dyDescent="0.3">
      <c r="A5" s="9" t="s">
        <v>17</v>
      </c>
      <c r="B5" s="5"/>
      <c r="C5" s="162" t="s">
        <v>150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45.591999999999999</v>
      </c>
      <c r="D7" s="19">
        <f>+N8</f>
        <v>38.704000000000001</v>
      </c>
      <c r="E7" s="20">
        <f>+N9</f>
        <v>1764.592768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45.591999999999999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38.704000000000001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1764.592768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20257.524976639997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0</v>
      </c>
      <c r="M11" s="25" t="s">
        <v>43</v>
      </c>
      <c r="N11" s="27">
        <v>0</v>
      </c>
      <c r="P11" s="36" t="s">
        <v>46</v>
      </c>
      <c r="Q11" s="37">
        <v>7.5</v>
      </c>
      <c r="R11" s="32"/>
    </row>
    <row r="12" spans="1:19" x14ac:dyDescent="0.3">
      <c r="A12" s="156" t="s">
        <v>47</v>
      </c>
      <c r="B12" s="157"/>
      <c r="C12" s="19">
        <f>+N12</f>
        <v>80</v>
      </c>
      <c r="D12" s="5" t="s">
        <v>44</v>
      </c>
      <c r="E12" s="5">
        <v>12</v>
      </c>
      <c r="F12" s="33">
        <v>0.56000000000000005</v>
      </c>
      <c r="G12" s="34">
        <f>F12*E12*C12</f>
        <v>537.6</v>
      </c>
      <c r="H12" s="9" t="s">
        <v>48</v>
      </c>
      <c r="I12" s="5"/>
      <c r="J12" s="5"/>
      <c r="K12" s="5"/>
      <c r="L12" s="31">
        <f>+Q17</f>
        <v>332.638235904</v>
      </c>
      <c r="M12" s="25" t="s">
        <v>47</v>
      </c>
      <c r="N12" s="38">
        <f>4*5*4</f>
        <v>80</v>
      </c>
      <c r="P12" s="32" t="s">
        <v>49</v>
      </c>
      <c r="Q12" s="39">
        <f>+Q11*C35</f>
        <v>150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9" t="s">
        <v>51</v>
      </c>
      <c r="I13" s="19">
        <f>N26</f>
        <v>20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0</v>
      </c>
      <c r="M14" s="25" t="s">
        <v>54</v>
      </c>
      <c r="N14" s="27">
        <v>0</v>
      </c>
      <c r="P14" s="29" t="s">
        <v>56</v>
      </c>
      <c r="Q14" s="27">
        <f>+Q13*E7</f>
        <v>105.87556608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255.87556608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f>N8*N10-N12</f>
        <v>364.32191999999998</v>
      </c>
      <c r="O16" s="40"/>
      <c r="P16" s="48" t="s">
        <v>61</v>
      </c>
      <c r="Q16" s="27">
        <f>Q15*30%</f>
        <v>76.762669824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332.638235904</v>
      </c>
      <c r="R17" s="29"/>
    </row>
    <row r="18" spans="1:18" x14ac:dyDescent="0.3">
      <c r="A18" s="156" t="s">
        <v>60</v>
      </c>
      <c r="B18" s="157"/>
      <c r="C18" s="19">
        <f>+N16</f>
        <v>364.32191999999998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4533.6219724799994</v>
      </c>
      <c r="H18" s="9"/>
      <c r="I18" s="5"/>
      <c r="J18" s="5"/>
      <c r="K18" s="5"/>
      <c r="L18" s="6"/>
      <c r="M18" s="25" t="s">
        <v>64</v>
      </c>
      <c r="N18" s="27">
        <f>(O7-N14)*N13</f>
        <v>0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9"/>
      <c r="I19" s="5"/>
      <c r="J19" s="5"/>
      <c r="K19" s="47"/>
      <c r="L19" s="31"/>
      <c r="M19" s="25" t="s">
        <v>65</v>
      </c>
      <c r="N19" s="27">
        <v>0</v>
      </c>
      <c r="O19" s="40"/>
      <c r="P19" s="2"/>
    </row>
    <row r="20" spans="1:18" x14ac:dyDescent="0.3">
      <c r="A20" s="156" t="s">
        <v>64</v>
      </c>
      <c r="B20" s="157"/>
      <c r="C20" s="19">
        <f>+N18</f>
        <v>0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0</v>
      </c>
      <c r="H20" s="9"/>
      <c r="I20" s="5"/>
      <c r="J20" s="5"/>
      <c r="K20" s="47"/>
      <c r="L20" s="31"/>
      <c r="M20" s="25" t="s">
        <v>66</v>
      </c>
      <c r="N20" s="27">
        <f>+N11+N12+N13+N14</f>
        <v>80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0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0</v>
      </c>
      <c r="H21" s="9"/>
      <c r="I21" s="5"/>
      <c r="J21" s="21"/>
      <c r="K21" s="47"/>
      <c r="L21" s="31"/>
      <c r="M21" s="52" t="s">
        <v>69</v>
      </c>
      <c r="N21" s="53">
        <f>Q25</f>
        <v>444.32191999999998</v>
      </c>
      <c r="P21" s="49" t="s">
        <v>70</v>
      </c>
      <c r="Q21" s="27">
        <v>0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v>0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f>N8*N10</f>
        <v>444.32191999999998</v>
      </c>
      <c r="R23" s="4">
        <v>0</v>
      </c>
    </row>
    <row r="24" spans="1:18" x14ac:dyDescent="0.3">
      <c r="A24" s="156" t="s">
        <v>76</v>
      </c>
      <c r="B24" s="157"/>
      <c r="C24" s="19">
        <f>N20</f>
        <v>80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3037.4399999999991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v>0</v>
      </c>
      <c r="R24" s="4">
        <v>0</v>
      </c>
    </row>
    <row r="25" spans="1:18" x14ac:dyDescent="0.3">
      <c r="A25" s="156" t="s">
        <v>69</v>
      </c>
      <c r="B25" s="157"/>
      <c r="C25" s="19">
        <f>+N21</f>
        <v>444.32191999999998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5083.0427647999986</v>
      </c>
      <c r="H25" s="179"/>
      <c r="I25" s="180"/>
      <c r="J25" s="180"/>
      <c r="K25" s="180"/>
      <c r="L25" s="181"/>
      <c r="M25" s="25" t="s">
        <v>79</v>
      </c>
      <c r="N25" s="27">
        <f>C32</f>
        <v>332.638235904</v>
      </c>
      <c r="O25" s="57"/>
      <c r="P25" s="58" t="s">
        <v>80</v>
      </c>
      <c r="Q25" s="27">
        <f>SUM(Q21:Q24)</f>
        <v>444.32191999999998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SUMMARY!I13</f>
        <v>20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SUMMARY!H13</f>
        <v>10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1764.592768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8.2189120759087082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332.638235904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1448.4931565381221</v>
      </c>
      <c r="H32" s="9"/>
      <c r="I32" s="5"/>
      <c r="J32" s="5"/>
      <c r="K32" s="47"/>
      <c r="L32" s="63"/>
      <c r="M32" s="50" t="s">
        <v>87</v>
      </c>
      <c r="N32" s="46">
        <f>+L45</f>
        <v>3636.1167049238816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8.5</v>
      </c>
    </row>
    <row r="35" spans="1:15" x14ac:dyDescent="0.3">
      <c r="A35" s="156" t="s">
        <v>81</v>
      </c>
      <c r="B35" s="157"/>
      <c r="C35" s="19">
        <f>I13</f>
        <v>20</v>
      </c>
      <c r="D35" s="5" t="s">
        <v>90</v>
      </c>
      <c r="E35" s="5">
        <v>240</v>
      </c>
      <c r="F35" s="5"/>
      <c r="G35" s="34">
        <f>E35*C35</f>
        <v>4800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10</v>
      </c>
      <c r="D36" s="5" t="s">
        <v>91</v>
      </c>
      <c r="E36" s="5">
        <v>3413</v>
      </c>
      <c r="F36" s="5">
        <v>1</v>
      </c>
      <c r="G36" s="34">
        <f>F36*E36*C36</f>
        <v>34130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1764.592768</v>
      </c>
      <c r="D37" s="5" t="s">
        <v>92</v>
      </c>
      <c r="E37" s="5">
        <v>3.4129999999999998</v>
      </c>
      <c r="F37" s="5"/>
      <c r="G37" s="34">
        <f>+E37*C37</f>
        <v>6022.5551171839998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59592.753011002118</v>
      </c>
      <c r="H39" s="156" t="s">
        <v>97</v>
      </c>
      <c r="I39" s="157"/>
      <c r="J39" s="157"/>
      <c r="K39" s="157"/>
      <c r="L39" s="69">
        <f>G41</f>
        <v>67041.847137377379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7449.0941263752648</v>
      </c>
      <c r="H40" s="156" t="s">
        <v>99</v>
      </c>
      <c r="I40" s="157"/>
      <c r="J40" s="157"/>
      <c r="K40" s="157"/>
      <c r="L40" s="70">
        <f>G50</f>
        <v>72836.996871148804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67041.847137377379</v>
      </c>
      <c r="H41" s="156" t="s">
        <v>100</v>
      </c>
      <c r="I41" s="157"/>
      <c r="J41" s="157"/>
      <c r="K41" s="157"/>
      <c r="L41" s="72">
        <f>L39/L40</f>
        <v>0.92043672882308358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332.638235904</v>
      </c>
      <c r="D44" s="5" t="s">
        <v>86</v>
      </c>
      <c r="E44" s="5">
        <f>+L7</f>
        <v>76.2</v>
      </c>
      <c r="F44" s="5">
        <v>0.68</v>
      </c>
      <c r="G44" s="34">
        <f>F44*E44*C44*B44</f>
        <v>2068.3179397921995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20</v>
      </c>
      <c r="D45" s="5" t="s">
        <v>90</v>
      </c>
      <c r="E45" s="5">
        <v>160</v>
      </c>
      <c r="F45" s="5"/>
      <c r="G45" s="30">
        <f>E45*C45</f>
        <v>3200</v>
      </c>
      <c r="H45" s="156" t="s">
        <v>108</v>
      </c>
      <c r="I45" s="157"/>
      <c r="J45" s="157"/>
      <c r="K45" s="157"/>
      <c r="L45" s="77">
        <f>L39/(L44*1.08)</f>
        <v>3636.1167049238816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5268.3179397921995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526.83179397921992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5795.1497337714191</v>
      </c>
      <c r="H49" s="9" t="s">
        <v>113</v>
      </c>
      <c r="I49" s="79"/>
      <c r="J49" s="79"/>
      <c r="K49" s="79"/>
      <c r="L49" s="55">
        <f>N34</f>
        <v>8.5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72836.996871148804</v>
      </c>
      <c r="H50" s="156" t="s">
        <v>114</v>
      </c>
      <c r="I50" s="157"/>
      <c r="J50" s="157"/>
      <c r="K50" s="157"/>
      <c r="L50" s="31">
        <f>L45</f>
        <v>3636.1167049238816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8.2189120759087082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3636.1167049238816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332.638235904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10622.283147946229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332.638235904</v>
      </c>
      <c r="D55" s="5" t="s">
        <v>86</v>
      </c>
      <c r="E55" s="5">
        <f>+L7</f>
        <v>76.2</v>
      </c>
      <c r="F55" s="5">
        <v>0.68</v>
      </c>
      <c r="G55" s="34">
        <f>F55*E55*C55*B55</f>
        <v>15167.664891809465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98626.944910904494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8.2189120759087082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x14ac:dyDescent="0.3">
      <c r="B63" s="17" t="s">
        <v>122</v>
      </c>
      <c r="G63" s="17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S67"/>
  <sheetViews>
    <sheetView view="pageBreakPreview" zoomScale="70" zoomScaleNormal="100" zoomScaleSheetLayoutView="70" workbookViewId="0">
      <selection activeCell="N35" sqref="N35"/>
    </sheetView>
  </sheetViews>
  <sheetFormatPr defaultRowHeight="14.4" x14ac:dyDescent="0.3"/>
  <cols>
    <col min="1" max="1" width="13.44140625" style="17" customWidth="1"/>
    <col min="2" max="2" width="7.44140625" style="17" customWidth="1"/>
    <col min="3" max="3" width="11.44140625" style="17" customWidth="1"/>
    <col min="4" max="4" width="11.5546875" style="17" customWidth="1"/>
    <col min="5" max="5" width="16.5546875" style="17" customWidth="1"/>
    <col min="6" max="6" width="13.5546875" style="17" customWidth="1"/>
    <col min="7" max="7" width="13.44140625" style="89" customWidth="1"/>
    <col min="8" max="8" width="19.5546875" style="17" customWidth="1"/>
    <col min="9" max="9" width="8.109375" style="17" customWidth="1"/>
    <col min="10" max="10" width="9.44140625" style="17" customWidth="1"/>
    <col min="11" max="11" width="9.109375" style="17" customWidth="1"/>
    <col min="12" max="12" width="12.44140625" style="17" customWidth="1"/>
    <col min="13" max="13" width="28" style="1" customWidth="1"/>
    <col min="14" max="14" width="12.5546875" style="2" customWidth="1"/>
    <col min="15" max="15" width="14.5546875" style="2" bestFit="1" customWidth="1"/>
    <col min="16" max="16" width="27.44140625" style="1" customWidth="1"/>
    <col min="17" max="17" width="15.109375" style="1" customWidth="1"/>
    <col min="18" max="18" width="14.44140625" style="1" customWidth="1"/>
    <col min="19" max="16384" width="8.88671875" style="1"/>
  </cols>
  <sheetData>
    <row r="1" spans="1:19" ht="15" thickBot="1" x14ac:dyDescent="0.3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</row>
    <row r="2" spans="1:19" x14ac:dyDescent="0.3">
      <c r="A2" s="147" t="s">
        <v>1</v>
      </c>
      <c r="B2" s="148"/>
      <c r="C2" s="149" t="s">
        <v>2</v>
      </c>
      <c r="D2" s="149"/>
      <c r="E2" s="149"/>
      <c r="F2" s="150"/>
      <c r="G2" s="151"/>
      <c r="H2" s="152"/>
      <c r="I2" s="153"/>
      <c r="J2" s="153"/>
      <c r="K2" s="154"/>
      <c r="L2" s="155"/>
      <c r="M2" s="3"/>
      <c r="N2" s="4" t="s">
        <v>3</v>
      </c>
      <c r="O2" s="4" t="s">
        <v>4</v>
      </c>
    </row>
    <row r="3" spans="1:19" x14ac:dyDescent="0.3">
      <c r="A3" s="156" t="s">
        <v>5</v>
      </c>
      <c r="B3" s="157"/>
      <c r="C3" s="161" t="s">
        <v>137</v>
      </c>
      <c r="D3" s="162"/>
      <c r="E3" s="162"/>
      <c r="F3" s="162"/>
      <c r="G3" s="163"/>
      <c r="H3" s="156" t="s">
        <v>6</v>
      </c>
      <c r="I3" s="157"/>
      <c r="J3" s="157"/>
      <c r="K3" s="5" t="s">
        <v>7</v>
      </c>
      <c r="L3" s="6"/>
      <c r="M3" s="3" t="s">
        <v>8</v>
      </c>
      <c r="N3" s="4">
        <v>6</v>
      </c>
      <c r="O3" s="7">
        <f>N3*3.28</f>
        <v>19.68</v>
      </c>
      <c r="P3" s="8"/>
      <c r="Q3" s="8"/>
    </row>
    <row r="4" spans="1:19" x14ac:dyDescent="0.3">
      <c r="A4" s="156" t="s">
        <v>9</v>
      </c>
      <c r="B4" s="157"/>
      <c r="C4" s="164" t="s">
        <v>10</v>
      </c>
      <c r="D4" s="165"/>
      <c r="E4" s="165"/>
      <c r="F4" s="165"/>
      <c r="G4" s="165"/>
      <c r="H4" s="9" t="s">
        <v>11</v>
      </c>
      <c r="I4" s="5" t="s">
        <v>12</v>
      </c>
      <c r="J4" s="5" t="s">
        <v>13</v>
      </c>
      <c r="K4" s="5" t="s">
        <v>14</v>
      </c>
      <c r="L4" s="6" t="s">
        <v>15</v>
      </c>
      <c r="M4" s="3" t="s">
        <v>16</v>
      </c>
      <c r="N4" s="4">
        <v>3.5</v>
      </c>
      <c r="O4" s="7">
        <f>N4*3.28</f>
        <v>11.479999999999999</v>
      </c>
      <c r="P4" s="8"/>
      <c r="Q4" s="8"/>
    </row>
    <row r="5" spans="1:19" x14ac:dyDescent="0.3">
      <c r="A5" s="9" t="s">
        <v>17</v>
      </c>
      <c r="B5" s="5"/>
      <c r="C5" s="162" t="s">
        <v>151</v>
      </c>
      <c r="D5" s="162"/>
      <c r="E5" s="162"/>
      <c r="F5" s="162"/>
      <c r="G5" s="163"/>
      <c r="H5" s="9" t="s">
        <v>18</v>
      </c>
      <c r="I5" s="10">
        <v>107</v>
      </c>
      <c r="J5" s="10">
        <v>84.4</v>
      </c>
      <c r="K5" s="11">
        <v>40</v>
      </c>
      <c r="L5" s="12">
        <v>143.9</v>
      </c>
      <c r="M5" s="13" t="s">
        <v>19</v>
      </c>
      <c r="N5" s="4">
        <v>3.5</v>
      </c>
      <c r="O5" s="7">
        <f>N5*3.28</f>
        <v>11.479999999999999</v>
      </c>
    </row>
    <row r="6" spans="1:19" x14ac:dyDescent="0.3">
      <c r="A6" s="166" t="s">
        <v>20</v>
      </c>
      <c r="B6" s="167"/>
      <c r="C6" s="14" t="s">
        <v>21</v>
      </c>
      <c r="D6" s="14" t="s">
        <v>22</v>
      </c>
      <c r="E6" s="14" t="s">
        <v>23</v>
      </c>
      <c r="F6" s="15" t="s">
        <v>24</v>
      </c>
      <c r="G6" s="16" t="s">
        <v>25</v>
      </c>
      <c r="H6" s="9" t="s">
        <v>26</v>
      </c>
      <c r="I6" s="10">
        <v>73.400000000000006</v>
      </c>
      <c r="J6" s="10">
        <v>62.6</v>
      </c>
      <c r="K6" s="11">
        <v>55</v>
      </c>
      <c r="L6" s="12">
        <v>67.7</v>
      </c>
      <c r="M6" s="17"/>
      <c r="N6" s="18"/>
      <c r="O6" s="18"/>
      <c r="P6" s="18"/>
      <c r="Q6" s="18"/>
      <c r="R6" s="18"/>
      <c r="S6" s="18"/>
    </row>
    <row r="7" spans="1:19" x14ac:dyDescent="0.3">
      <c r="A7" s="166"/>
      <c r="B7" s="167"/>
      <c r="C7" s="19">
        <f>+N7</f>
        <v>19.68</v>
      </c>
      <c r="D7" s="19">
        <f>+N8</f>
        <v>11.479999999999999</v>
      </c>
      <c r="E7" s="20">
        <f>+N9</f>
        <v>225.92639999999997</v>
      </c>
      <c r="F7" s="21">
        <f>+N10</f>
        <v>11.479999999999999</v>
      </c>
      <c r="G7" s="22" t="s">
        <v>27</v>
      </c>
      <c r="H7" s="9" t="s">
        <v>28</v>
      </c>
      <c r="I7" s="23">
        <f>I5-I6</f>
        <v>33.599999999999994</v>
      </c>
      <c r="J7" s="23" t="s">
        <v>29</v>
      </c>
      <c r="K7" s="23" t="s">
        <v>29</v>
      </c>
      <c r="L7" s="24">
        <f>L5-L6</f>
        <v>76.2</v>
      </c>
      <c r="M7" s="25" t="s">
        <v>21</v>
      </c>
      <c r="N7" s="7">
        <f>O3</f>
        <v>19.68</v>
      </c>
    </row>
    <row r="8" spans="1:19" x14ac:dyDescent="0.3">
      <c r="A8" s="168" t="s">
        <v>30</v>
      </c>
      <c r="B8" s="169"/>
      <c r="C8" s="170" t="s">
        <v>31</v>
      </c>
      <c r="D8" s="170"/>
      <c r="E8" s="26" t="s">
        <v>32</v>
      </c>
      <c r="F8" s="171" t="s">
        <v>33</v>
      </c>
      <c r="G8" s="172" t="s">
        <v>34</v>
      </c>
      <c r="H8" s="156" t="s">
        <v>35</v>
      </c>
      <c r="I8" s="157"/>
      <c r="J8" s="157"/>
      <c r="K8" s="157"/>
      <c r="L8" s="6">
        <v>0.12</v>
      </c>
      <c r="M8" s="25" t="s">
        <v>22</v>
      </c>
      <c r="N8" s="27">
        <f>O4</f>
        <v>11.479999999999999</v>
      </c>
    </row>
    <row r="9" spans="1:19" x14ac:dyDescent="0.3">
      <c r="A9" s="168"/>
      <c r="B9" s="169"/>
      <c r="C9" s="170"/>
      <c r="D9" s="170"/>
      <c r="E9" s="26" t="s">
        <v>36</v>
      </c>
      <c r="F9" s="171"/>
      <c r="G9" s="173"/>
      <c r="H9" s="158" t="s">
        <v>37</v>
      </c>
      <c r="I9" s="159"/>
      <c r="J9" s="159"/>
      <c r="K9" s="159"/>
      <c r="L9" s="160"/>
      <c r="M9" s="25" t="s">
        <v>23</v>
      </c>
      <c r="N9" s="27">
        <f>O3*O4</f>
        <v>225.92639999999997</v>
      </c>
      <c r="P9" s="28" t="s">
        <v>38</v>
      </c>
      <c r="Q9" s="29"/>
      <c r="R9" s="29"/>
    </row>
    <row r="10" spans="1:19" x14ac:dyDescent="0.3">
      <c r="A10" s="174" t="s">
        <v>39</v>
      </c>
      <c r="B10" s="175"/>
      <c r="C10" s="175"/>
      <c r="D10" s="175"/>
      <c r="E10" s="175"/>
      <c r="F10" s="175"/>
      <c r="G10" s="30"/>
      <c r="H10" s="9" t="s">
        <v>40</v>
      </c>
      <c r="I10" s="5"/>
      <c r="J10" s="5"/>
      <c r="K10" s="5"/>
      <c r="L10" s="31">
        <f>E7*F7</f>
        <v>2593.6350719999996</v>
      </c>
      <c r="M10" s="25" t="s">
        <v>24</v>
      </c>
      <c r="N10" s="7">
        <f>O5</f>
        <v>11.479999999999999</v>
      </c>
      <c r="P10" s="32" t="s">
        <v>41</v>
      </c>
      <c r="Q10" s="32" t="s">
        <v>42</v>
      </c>
      <c r="R10" s="32"/>
    </row>
    <row r="11" spans="1:19" x14ac:dyDescent="0.3">
      <c r="A11" s="156" t="s">
        <v>43</v>
      </c>
      <c r="B11" s="157"/>
      <c r="C11" s="19">
        <f>+N11</f>
        <v>0</v>
      </c>
      <c r="D11" s="5" t="s">
        <v>44</v>
      </c>
      <c r="E11" s="5">
        <v>23</v>
      </c>
      <c r="F11" s="33">
        <v>0.56000000000000005</v>
      </c>
      <c r="G11" s="34">
        <f>F11*E11*C11</f>
        <v>0</v>
      </c>
      <c r="H11" s="9" t="s">
        <v>45</v>
      </c>
      <c r="I11" s="5"/>
      <c r="J11" s="5"/>
      <c r="K11" s="5"/>
      <c r="L11" s="35">
        <v>0</v>
      </c>
      <c r="M11" s="25" t="s">
        <v>43</v>
      </c>
      <c r="N11" s="27">
        <v>0</v>
      </c>
      <c r="P11" s="36" t="s">
        <v>46</v>
      </c>
      <c r="Q11" s="37">
        <v>7.5</v>
      </c>
      <c r="R11" s="32"/>
    </row>
    <row r="12" spans="1:19" x14ac:dyDescent="0.3">
      <c r="A12" s="156" t="s">
        <v>47</v>
      </c>
      <c r="B12" s="157"/>
      <c r="C12" s="19">
        <f>+N12</f>
        <v>0</v>
      </c>
      <c r="D12" s="5" t="s">
        <v>44</v>
      </c>
      <c r="E12" s="5">
        <v>12</v>
      </c>
      <c r="F12" s="33">
        <v>0.56000000000000005</v>
      </c>
      <c r="G12" s="34">
        <f>F12*E12*C12</f>
        <v>0</v>
      </c>
      <c r="H12" s="9" t="s">
        <v>48</v>
      </c>
      <c r="I12" s="5"/>
      <c r="J12" s="5"/>
      <c r="K12" s="5"/>
      <c r="L12" s="31">
        <f>+Q17</f>
        <v>76.122259200000002</v>
      </c>
      <c r="M12" s="25" t="s">
        <v>47</v>
      </c>
      <c r="N12" s="38">
        <v>0</v>
      </c>
      <c r="P12" s="32" t="s">
        <v>49</v>
      </c>
      <c r="Q12" s="39">
        <f>+Q11*C35</f>
        <v>45</v>
      </c>
      <c r="R12" s="32"/>
    </row>
    <row r="13" spans="1:19" x14ac:dyDescent="0.3">
      <c r="A13" s="156" t="s">
        <v>50</v>
      </c>
      <c r="B13" s="157"/>
      <c r="C13" s="19">
        <f>+N13</f>
        <v>0</v>
      </c>
      <c r="D13" s="5" t="s">
        <v>44</v>
      </c>
      <c r="E13" s="5">
        <v>163</v>
      </c>
      <c r="F13" s="33">
        <v>0.56000000000000005</v>
      </c>
      <c r="G13" s="34">
        <f>F13*E13*C13</f>
        <v>0</v>
      </c>
      <c r="H13" s="9" t="s">
        <v>51</v>
      </c>
      <c r="I13" s="19">
        <f>N26</f>
        <v>6</v>
      </c>
      <c r="J13" s="5"/>
      <c r="K13" s="5"/>
      <c r="L13" s="31">
        <f>+J13*I13</f>
        <v>0</v>
      </c>
      <c r="M13" s="25" t="s">
        <v>52</v>
      </c>
      <c r="N13" s="27">
        <v>0</v>
      </c>
      <c r="O13" s="40"/>
      <c r="P13" s="36" t="s">
        <v>53</v>
      </c>
      <c r="Q13" s="37">
        <v>0.06</v>
      </c>
      <c r="R13" s="32"/>
    </row>
    <row r="14" spans="1:19" x14ac:dyDescent="0.3">
      <c r="A14" s="156" t="s">
        <v>54</v>
      </c>
      <c r="B14" s="157"/>
      <c r="C14" s="19">
        <f>+N14</f>
        <v>0</v>
      </c>
      <c r="D14" s="5" t="s">
        <v>44</v>
      </c>
      <c r="E14" s="5">
        <v>12</v>
      </c>
      <c r="F14" s="33">
        <v>0.56000000000000005</v>
      </c>
      <c r="G14" s="34">
        <f>F14*E14*C14</f>
        <v>0</v>
      </c>
      <c r="H14" s="41" t="s">
        <v>55</v>
      </c>
      <c r="I14" s="42"/>
      <c r="J14" s="42"/>
      <c r="K14" s="42"/>
      <c r="L14" s="43">
        <f>L11*L10/60</f>
        <v>0</v>
      </c>
      <c r="M14" s="25" t="s">
        <v>54</v>
      </c>
      <c r="N14" s="27">
        <v>0</v>
      </c>
      <c r="P14" s="29" t="s">
        <v>56</v>
      </c>
      <c r="Q14" s="27">
        <f>+Q13*E7</f>
        <v>13.555583999999998</v>
      </c>
      <c r="R14" s="29"/>
    </row>
    <row r="15" spans="1:19" x14ac:dyDescent="0.3">
      <c r="A15" s="156"/>
      <c r="B15" s="157"/>
      <c r="C15" s="5"/>
      <c r="D15" s="5"/>
      <c r="E15" s="5"/>
      <c r="F15" s="5"/>
      <c r="G15" s="30"/>
      <c r="H15" s="9"/>
      <c r="I15" s="5"/>
      <c r="J15" s="44"/>
      <c r="K15" s="44"/>
      <c r="L15" s="45"/>
      <c r="M15" s="25" t="s">
        <v>57</v>
      </c>
      <c r="N15" s="27">
        <v>0</v>
      </c>
      <c r="P15" s="29" t="s">
        <v>58</v>
      </c>
      <c r="Q15" s="46">
        <f>+Q12+Q14</f>
        <v>58.555583999999996</v>
      </c>
      <c r="R15" s="29"/>
    </row>
    <row r="16" spans="1:19" x14ac:dyDescent="0.3">
      <c r="A16" s="174" t="s">
        <v>59</v>
      </c>
      <c r="B16" s="175"/>
      <c r="C16" s="175"/>
      <c r="D16" s="175"/>
      <c r="E16" s="175"/>
      <c r="F16" s="175"/>
      <c r="G16" s="30"/>
      <c r="H16" s="9"/>
      <c r="I16" s="5"/>
      <c r="J16" s="5"/>
      <c r="K16" s="47"/>
      <c r="L16" s="31"/>
      <c r="M16" s="25" t="s">
        <v>60</v>
      </c>
      <c r="N16" s="27">
        <v>0</v>
      </c>
      <c r="O16" s="40"/>
      <c r="P16" s="48" t="s">
        <v>61</v>
      </c>
      <c r="Q16" s="27">
        <f>Q15*30%</f>
        <v>17.566675199999999</v>
      </c>
      <c r="R16" s="29"/>
    </row>
    <row r="17" spans="1:18" x14ac:dyDescent="0.3">
      <c r="A17" s="156" t="s">
        <v>57</v>
      </c>
      <c r="B17" s="157"/>
      <c r="C17" s="19">
        <f>+N15</f>
        <v>0</v>
      </c>
      <c r="D17" s="5" t="s">
        <v>44</v>
      </c>
      <c r="E17" s="5">
        <f>4+(I7-15)</f>
        <v>22.599999999999994</v>
      </c>
      <c r="F17" s="5">
        <v>0.34</v>
      </c>
      <c r="G17" s="34">
        <f>F17*E17*C17</f>
        <v>0</v>
      </c>
      <c r="H17" s="9"/>
      <c r="I17" s="5"/>
      <c r="J17" s="5"/>
      <c r="K17" s="5"/>
      <c r="L17" s="31"/>
      <c r="M17" s="25" t="s">
        <v>62</v>
      </c>
      <c r="N17" s="27">
        <v>0</v>
      </c>
      <c r="O17" s="40"/>
      <c r="P17" s="28" t="s">
        <v>63</v>
      </c>
      <c r="Q17" s="49">
        <f>SUM(Q15:Q16)</f>
        <v>76.122259200000002</v>
      </c>
      <c r="R17" s="29"/>
    </row>
    <row r="18" spans="1:18" x14ac:dyDescent="0.3">
      <c r="A18" s="156" t="s">
        <v>60</v>
      </c>
      <c r="B18" s="157"/>
      <c r="C18" s="19">
        <f>+N16</f>
        <v>0</v>
      </c>
      <c r="D18" s="5" t="s">
        <v>44</v>
      </c>
      <c r="E18" s="5">
        <f>18+(I7-15)</f>
        <v>36.599999999999994</v>
      </c>
      <c r="F18" s="5">
        <v>0.34</v>
      </c>
      <c r="G18" s="34">
        <f>F18*E18*C18</f>
        <v>0</v>
      </c>
      <c r="H18" s="9"/>
      <c r="I18" s="5"/>
      <c r="J18" s="5"/>
      <c r="K18" s="5"/>
      <c r="L18" s="6"/>
      <c r="M18" s="25" t="s">
        <v>64</v>
      </c>
      <c r="N18" s="27">
        <f>N8*N10</f>
        <v>131.79039999999998</v>
      </c>
      <c r="P18" s="4"/>
      <c r="Q18" s="29"/>
      <c r="R18" s="29"/>
    </row>
    <row r="19" spans="1:18" x14ac:dyDescent="0.3">
      <c r="A19" s="156" t="s">
        <v>62</v>
      </c>
      <c r="B19" s="157"/>
      <c r="C19" s="19">
        <f>+N17</f>
        <v>0</v>
      </c>
      <c r="D19" s="5" t="s">
        <v>44</v>
      </c>
      <c r="E19" s="5">
        <f>12+(I7-15)</f>
        <v>30.599999999999994</v>
      </c>
      <c r="F19" s="5">
        <v>0.34</v>
      </c>
      <c r="G19" s="34">
        <f>F19*E19*C19</f>
        <v>0</v>
      </c>
      <c r="H19" s="9"/>
      <c r="I19" s="5"/>
      <c r="J19" s="5"/>
      <c r="K19" s="47"/>
      <c r="L19" s="31"/>
      <c r="M19" s="25" t="s">
        <v>65</v>
      </c>
      <c r="N19" s="27">
        <v>0</v>
      </c>
      <c r="O19" s="40"/>
      <c r="P19" s="2"/>
    </row>
    <row r="20" spans="1:18" x14ac:dyDescent="0.3">
      <c r="A20" s="156" t="s">
        <v>64</v>
      </c>
      <c r="B20" s="157"/>
      <c r="C20" s="19">
        <f>+N18</f>
        <v>131.79039999999998</v>
      </c>
      <c r="D20" s="5" t="s">
        <v>44</v>
      </c>
      <c r="E20" s="5">
        <f>16+(I7-15)</f>
        <v>34.599999999999994</v>
      </c>
      <c r="F20" s="5">
        <v>0.34</v>
      </c>
      <c r="G20" s="34">
        <f>F20*E20*C20</f>
        <v>1550.3822655999998</v>
      </c>
      <c r="H20" s="9"/>
      <c r="I20" s="5"/>
      <c r="J20" s="5"/>
      <c r="K20" s="47"/>
      <c r="L20" s="31"/>
      <c r="M20" s="25" t="s">
        <v>66</v>
      </c>
      <c r="N20" s="27">
        <f>+N11+N12+N13+N14</f>
        <v>0</v>
      </c>
      <c r="O20" s="40"/>
      <c r="P20" s="50"/>
      <c r="Q20" s="50" t="s">
        <v>67</v>
      </c>
      <c r="R20" s="50" t="s">
        <v>68</v>
      </c>
    </row>
    <row r="21" spans="1:18" x14ac:dyDescent="0.3">
      <c r="A21" s="9" t="s">
        <v>65</v>
      </c>
      <c r="B21" s="5"/>
      <c r="C21" s="19">
        <f>+N19</f>
        <v>0</v>
      </c>
      <c r="D21" s="5" t="s">
        <v>44</v>
      </c>
      <c r="E21" s="21">
        <f>35+(I7-15)</f>
        <v>53.599999999999994</v>
      </c>
      <c r="F21" s="5">
        <v>0.4</v>
      </c>
      <c r="G21" s="51">
        <f>F21*E21*C21</f>
        <v>0</v>
      </c>
      <c r="H21" s="9"/>
      <c r="I21" s="5"/>
      <c r="J21" s="21"/>
      <c r="K21" s="47"/>
      <c r="L21" s="31"/>
      <c r="M21" s="52" t="s">
        <v>69</v>
      </c>
      <c r="N21" s="53">
        <f>Q25</f>
        <v>225.92639999999997</v>
      </c>
      <c r="P21" s="49" t="s">
        <v>70</v>
      </c>
      <c r="Q21" s="27">
        <v>0</v>
      </c>
      <c r="R21" s="4">
        <v>0</v>
      </c>
    </row>
    <row r="22" spans="1:18" x14ac:dyDescent="0.3">
      <c r="A22" s="156"/>
      <c r="B22" s="157"/>
      <c r="C22" s="157"/>
      <c r="D22" s="157"/>
      <c r="E22" s="157"/>
      <c r="F22" s="157"/>
      <c r="G22" s="30"/>
      <c r="H22" s="9"/>
      <c r="I22" s="5"/>
      <c r="J22" s="21"/>
      <c r="K22" s="47"/>
      <c r="L22" s="31"/>
      <c r="M22" s="25" t="s">
        <v>71</v>
      </c>
      <c r="N22" s="27">
        <f>R25</f>
        <v>0</v>
      </c>
      <c r="P22" s="49" t="s">
        <v>72</v>
      </c>
      <c r="Q22" s="4">
        <v>0</v>
      </c>
      <c r="R22" s="4">
        <v>0</v>
      </c>
    </row>
    <row r="23" spans="1:18" x14ac:dyDescent="0.3">
      <c r="A23" s="174" t="s">
        <v>73</v>
      </c>
      <c r="B23" s="175"/>
      <c r="C23" s="175"/>
      <c r="D23" s="175"/>
      <c r="E23" s="175"/>
      <c r="F23" s="175"/>
      <c r="G23" s="30"/>
      <c r="H23" s="156"/>
      <c r="I23" s="157"/>
      <c r="J23" s="157"/>
      <c r="K23" s="157"/>
      <c r="L23" s="31"/>
      <c r="M23" s="25" t="s">
        <v>74</v>
      </c>
      <c r="N23" s="38">
        <v>0</v>
      </c>
      <c r="P23" s="49" t="s">
        <v>75</v>
      </c>
      <c r="Q23" s="4">
        <f>N7*N10</f>
        <v>225.92639999999997</v>
      </c>
      <c r="R23" s="4">
        <v>0</v>
      </c>
    </row>
    <row r="24" spans="1:18" x14ac:dyDescent="0.3">
      <c r="A24" s="156" t="s">
        <v>76</v>
      </c>
      <c r="B24" s="157"/>
      <c r="C24" s="19">
        <f>N20</f>
        <v>0</v>
      </c>
      <c r="D24" s="5" t="s">
        <v>44</v>
      </c>
      <c r="E24" s="5">
        <f>I7</f>
        <v>33.599999999999994</v>
      </c>
      <c r="F24" s="54">
        <v>1.1299999999999999</v>
      </c>
      <c r="G24" s="30">
        <f>F24*E24*C24</f>
        <v>0</v>
      </c>
      <c r="H24" s="156"/>
      <c r="I24" s="157"/>
      <c r="J24" s="157"/>
      <c r="K24" s="157"/>
      <c r="L24" s="55"/>
      <c r="M24" s="25" t="s">
        <v>77</v>
      </c>
      <c r="N24" s="27">
        <v>0</v>
      </c>
      <c r="P24" s="56" t="s">
        <v>78</v>
      </c>
      <c r="Q24" s="4">
        <v>0</v>
      </c>
      <c r="R24" s="4">
        <v>0</v>
      </c>
    </row>
    <row r="25" spans="1:18" x14ac:dyDescent="0.3">
      <c r="A25" s="156" t="s">
        <v>69</v>
      </c>
      <c r="B25" s="157"/>
      <c r="C25" s="19">
        <f>+N21</f>
        <v>225.92639999999997</v>
      </c>
      <c r="D25" s="5" t="s">
        <v>44</v>
      </c>
      <c r="E25" s="21">
        <f>I5-5-I6</f>
        <v>28.599999999999994</v>
      </c>
      <c r="F25" s="54">
        <v>0.4</v>
      </c>
      <c r="G25" s="30">
        <f>F25*E25*C25</f>
        <v>2584.598015999999</v>
      </c>
      <c r="H25" s="179"/>
      <c r="I25" s="180"/>
      <c r="J25" s="180"/>
      <c r="K25" s="180"/>
      <c r="L25" s="181"/>
      <c r="M25" s="25" t="s">
        <v>79</v>
      </c>
      <c r="N25" s="27">
        <f>C32</f>
        <v>76.122259200000002</v>
      </c>
      <c r="O25" s="57"/>
      <c r="P25" s="58" t="s">
        <v>80</v>
      </c>
      <c r="Q25" s="27">
        <f>SUM(Q21:Q24)</f>
        <v>225.92639999999997</v>
      </c>
      <c r="R25" s="27">
        <f>SUM(R21:R24)</f>
        <v>0</v>
      </c>
    </row>
    <row r="26" spans="1:18" x14ac:dyDescent="0.3">
      <c r="A26" s="156" t="s">
        <v>71</v>
      </c>
      <c r="B26" s="157"/>
      <c r="C26" s="19">
        <f>+N22</f>
        <v>0</v>
      </c>
      <c r="D26" s="5" t="s">
        <v>44</v>
      </c>
      <c r="E26" s="21">
        <f>E25</f>
        <v>28.599999999999994</v>
      </c>
      <c r="F26" s="47">
        <v>1.1000000000000001</v>
      </c>
      <c r="G26" s="59">
        <f>F26*E26*C26</f>
        <v>0</v>
      </c>
      <c r="H26" s="158"/>
      <c r="I26" s="159"/>
      <c r="J26" s="159"/>
      <c r="K26" s="159"/>
      <c r="L26" s="160"/>
      <c r="M26" s="25" t="s">
        <v>81</v>
      </c>
      <c r="N26" s="60">
        <f>SUMMARY!I14</f>
        <v>6</v>
      </c>
      <c r="O26" s="61"/>
      <c r="P26" s="2"/>
    </row>
    <row r="27" spans="1:18" x14ac:dyDescent="0.3">
      <c r="A27" s="156" t="s">
        <v>74</v>
      </c>
      <c r="B27" s="157"/>
      <c r="C27" s="19">
        <f>+N23</f>
        <v>0</v>
      </c>
      <c r="D27" s="5" t="s">
        <v>44</v>
      </c>
      <c r="E27" s="5">
        <f>E28</f>
        <v>33.599999999999994</v>
      </c>
      <c r="F27" s="47">
        <v>0.4</v>
      </c>
      <c r="G27" s="30">
        <f>F27*E27*C27</f>
        <v>0</v>
      </c>
      <c r="H27" s="9"/>
      <c r="I27" s="5"/>
      <c r="J27" s="44"/>
      <c r="K27" s="44"/>
      <c r="L27" s="45"/>
      <c r="M27" s="25" t="s">
        <v>82</v>
      </c>
      <c r="N27" s="7">
        <f>SUMMARY!H14</f>
        <v>1</v>
      </c>
      <c r="O27" s="62"/>
    </row>
    <row r="28" spans="1:18" x14ac:dyDescent="0.3">
      <c r="A28" s="156" t="s">
        <v>77</v>
      </c>
      <c r="B28" s="157"/>
      <c r="C28" s="19">
        <f>+N24</f>
        <v>0</v>
      </c>
      <c r="D28" s="5" t="s">
        <v>44</v>
      </c>
      <c r="E28" s="5">
        <f>I7</f>
        <v>33.599999999999994</v>
      </c>
      <c r="F28" s="47">
        <v>0.4</v>
      </c>
      <c r="G28" s="30">
        <f>F28*E28*C28</f>
        <v>0</v>
      </c>
      <c r="H28" s="9"/>
      <c r="I28" s="5"/>
      <c r="J28" s="5"/>
      <c r="K28" s="47"/>
      <c r="L28" s="31"/>
      <c r="M28" s="25" t="s">
        <v>83</v>
      </c>
      <c r="N28" s="97">
        <f>N9*1</f>
        <v>225.92639999999997</v>
      </c>
      <c r="O28" s="10"/>
      <c r="P28" s="11"/>
      <c r="Q28" s="12"/>
    </row>
    <row r="29" spans="1:18" x14ac:dyDescent="0.3">
      <c r="A29" s="182"/>
      <c r="B29" s="165"/>
      <c r="C29" s="165"/>
      <c r="D29" s="165"/>
      <c r="E29" s="165"/>
      <c r="F29" s="183"/>
      <c r="G29" s="34"/>
      <c r="H29" s="9"/>
      <c r="I29" s="5"/>
      <c r="J29" s="5"/>
      <c r="K29" s="5"/>
      <c r="L29" s="63"/>
      <c r="M29" s="29"/>
      <c r="N29" s="10"/>
      <c r="O29" s="10"/>
      <c r="P29" s="11"/>
      <c r="Q29" s="12"/>
    </row>
    <row r="30" spans="1:18" x14ac:dyDescent="0.3">
      <c r="A30" s="176" t="s">
        <v>84</v>
      </c>
      <c r="B30" s="177"/>
      <c r="C30" s="177"/>
      <c r="D30" s="177"/>
      <c r="E30" s="177"/>
      <c r="F30" s="178"/>
      <c r="G30" s="34"/>
      <c r="H30" s="9"/>
      <c r="I30" s="5"/>
      <c r="J30" s="5"/>
      <c r="K30" s="5"/>
      <c r="L30" s="63"/>
      <c r="M30" s="29"/>
      <c r="N30" s="4"/>
    </row>
    <row r="31" spans="1:18" ht="15.6" x14ac:dyDescent="0.3">
      <c r="A31" s="182"/>
      <c r="B31" s="165"/>
      <c r="C31" s="165"/>
      <c r="D31" s="165"/>
      <c r="E31" s="165"/>
      <c r="F31" s="183"/>
      <c r="G31" s="30"/>
      <c r="H31" s="9"/>
      <c r="I31" s="5"/>
      <c r="J31" s="5"/>
      <c r="K31" s="5"/>
      <c r="L31" s="64"/>
      <c r="M31" s="65" t="s">
        <v>85</v>
      </c>
      <c r="N31" s="66">
        <f>+G57</f>
        <v>1.569199422906419</v>
      </c>
      <c r="Q31" s="8"/>
    </row>
    <row r="32" spans="1:18" x14ac:dyDescent="0.3">
      <c r="A32" s="9" t="s">
        <v>79</v>
      </c>
      <c r="B32" s="5">
        <f>L8</f>
        <v>0.12</v>
      </c>
      <c r="C32" s="19">
        <f>MAX(L12:L14)</f>
        <v>76.122259200000002</v>
      </c>
      <c r="D32" s="5" t="s">
        <v>86</v>
      </c>
      <c r="E32" s="21">
        <f>+I7</f>
        <v>33.599999999999994</v>
      </c>
      <c r="F32" s="5">
        <v>1.08</v>
      </c>
      <c r="G32" s="34">
        <f>F32*E32*C32*B32</f>
        <v>331.47894502195197</v>
      </c>
      <c r="H32" s="9"/>
      <c r="I32" s="5"/>
      <c r="J32" s="5"/>
      <c r="K32" s="47"/>
      <c r="L32" s="63"/>
      <c r="M32" s="50" t="s">
        <v>87</v>
      </c>
      <c r="N32" s="46">
        <f>+L45</f>
        <v>615.6856518118085</v>
      </c>
    </row>
    <row r="33" spans="1:15" x14ac:dyDescent="0.3">
      <c r="A33" s="182"/>
      <c r="B33" s="165"/>
      <c r="C33" s="165"/>
      <c r="D33" s="165"/>
      <c r="E33" s="165"/>
      <c r="F33" s="183"/>
      <c r="G33" s="30"/>
      <c r="H33" s="9"/>
      <c r="I33" s="5"/>
      <c r="J33" s="5"/>
      <c r="K33" s="47"/>
      <c r="L33" s="63"/>
      <c r="M33" s="29"/>
      <c r="N33" s="4"/>
    </row>
    <row r="34" spans="1:15" x14ac:dyDescent="0.3">
      <c r="A34" s="176" t="s">
        <v>88</v>
      </c>
      <c r="B34" s="177"/>
      <c r="C34" s="177"/>
      <c r="D34" s="177"/>
      <c r="E34" s="177"/>
      <c r="F34" s="178"/>
      <c r="G34" s="30"/>
      <c r="H34" s="9"/>
      <c r="I34" s="5"/>
      <c r="J34" s="5"/>
      <c r="K34" s="47"/>
      <c r="L34" s="63"/>
      <c r="M34" s="28" t="s">
        <v>89</v>
      </c>
      <c r="N34" s="67">
        <v>1.5</v>
      </c>
    </row>
    <row r="35" spans="1:15" x14ac:dyDescent="0.3">
      <c r="A35" s="156" t="s">
        <v>81</v>
      </c>
      <c r="B35" s="157"/>
      <c r="C35" s="19">
        <f>I13</f>
        <v>6</v>
      </c>
      <c r="D35" s="5" t="s">
        <v>90</v>
      </c>
      <c r="E35" s="5">
        <v>240</v>
      </c>
      <c r="F35" s="5"/>
      <c r="G35" s="34">
        <f>E35*C35</f>
        <v>1440</v>
      </c>
      <c r="H35" s="156"/>
      <c r="I35" s="157"/>
      <c r="J35" s="157"/>
      <c r="K35" s="157"/>
      <c r="L35" s="31"/>
      <c r="N35" s="40"/>
    </row>
    <row r="36" spans="1:15" x14ac:dyDescent="0.3">
      <c r="A36" s="156" t="s">
        <v>82</v>
      </c>
      <c r="B36" s="157"/>
      <c r="C36" s="19">
        <f>N27</f>
        <v>1</v>
      </c>
      <c r="D36" s="5" t="s">
        <v>91</v>
      </c>
      <c r="E36" s="5">
        <v>3413</v>
      </c>
      <c r="F36" s="5">
        <v>1</v>
      </c>
      <c r="G36" s="34">
        <f>F36*E36*C36</f>
        <v>3413</v>
      </c>
      <c r="H36" s="156"/>
      <c r="I36" s="157"/>
      <c r="J36" s="157"/>
      <c r="K36" s="157"/>
      <c r="L36" s="55"/>
    </row>
    <row r="37" spans="1:15" x14ac:dyDescent="0.3">
      <c r="A37" s="156" t="s">
        <v>83</v>
      </c>
      <c r="B37" s="157"/>
      <c r="C37" s="19">
        <f>+N28</f>
        <v>225.92639999999997</v>
      </c>
      <c r="D37" s="5" t="s">
        <v>92</v>
      </c>
      <c r="E37" s="5">
        <v>3.4129999999999998</v>
      </c>
      <c r="F37" s="5"/>
      <c r="G37" s="34">
        <f>+E37*C37</f>
        <v>771.08680319999985</v>
      </c>
      <c r="H37" s="9"/>
      <c r="I37" s="5"/>
      <c r="J37" s="5"/>
      <c r="K37" s="5"/>
      <c r="L37" s="6"/>
    </row>
    <row r="38" spans="1:15" x14ac:dyDescent="0.3">
      <c r="A38" s="182"/>
      <c r="B38" s="165"/>
      <c r="C38" s="165"/>
      <c r="D38" s="165"/>
      <c r="E38" s="165"/>
      <c r="F38" s="183"/>
      <c r="G38" s="34" t="s">
        <v>96</v>
      </c>
      <c r="H38" s="158" t="s">
        <v>94</v>
      </c>
      <c r="I38" s="159"/>
      <c r="J38" s="159"/>
      <c r="K38" s="159"/>
      <c r="L38" s="160"/>
    </row>
    <row r="39" spans="1:15" x14ac:dyDescent="0.3">
      <c r="A39" s="182" t="s">
        <v>93</v>
      </c>
      <c r="B39" s="165"/>
      <c r="C39" s="165"/>
      <c r="D39" s="165"/>
      <c r="E39" s="165"/>
      <c r="F39" s="183"/>
      <c r="G39" s="34">
        <f>SUM(G10:G38)</f>
        <v>10090.546029821951</v>
      </c>
      <c r="H39" s="156" t="s">
        <v>97</v>
      </c>
      <c r="I39" s="157"/>
      <c r="J39" s="157"/>
      <c r="K39" s="157"/>
      <c r="L39" s="69">
        <f>G41</f>
        <v>11351.864283549696</v>
      </c>
    </row>
    <row r="40" spans="1:15" x14ac:dyDescent="0.3">
      <c r="A40" s="156" t="s">
        <v>95</v>
      </c>
      <c r="B40" s="157"/>
      <c r="C40" s="157"/>
      <c r="D40" s="157"/>
      <c r="E40" s="157"/>
      <c r="F40" s="68">
        <v>0.125</v>
      </c>
      <c r="G40" s="34">
        <f>G39*F40</f>
        <v>1261.3182537277439</v>
      </c>
      <c r="H40" s="156" t="s">
        <v>99</v>
      </c>
      <c r="I40" s="157"/>
      <c r="J40" s="157"/>
      <c r="K40" s="157"/>
      <c r="L40" s="70">
        <f>G50</f>
        <v>12928.518613267046</v>
      </c>
    </row>
    <row r="41" spans="1:15" x14ac:dyDescent="0.3">
      <c r="A41" s="184" t="s">
        <v>98</v>
      </c>
      <c r="B41" s="185"/>
      <c r="C41" s="185"/>
      <c r="D41" s="185"/>
      <c r="E41" s="185"/>
      <c r="F41" s="186"/>
      <c r="G41" s="73">
        <f>SUM(G39:G40)</f>
        <v>11351.864283549696</v>
      </c>
      <c r="H41" s="156" t="s">
        <v>100</v>
      </c>
      <c r="I41" s="157"/>
      <c r="J41" s="157"/>
      <c r="K41" s="157"/>
      <c r="L41" s="72">
        <f>L39/L40</f>
        <v>0.87804833818319972</v>
      </c>
      <c r="M41" s="71"/>
      <c r="N41" s="40"/>
      <c r="O41" s="40"/>
    </row>
    <row r="42" spans="1:15" x14ac:dyDescent="0.3">
      <c r="A42" s="182" t="s">
        <v>96</v>
      </c>
      <c r="B42" s="165"/>
      <c r="C42" s="165"/>
      <c r="D42" s="165"/>
      <c r="E42" s="165"/>
      <c r="F42" s="183"/>
      <c r="G42" s="30"/>
      <c r="H42" s="156" t="s">
        <v>102</v>
      </c>
      <c r="I42" s="157"/>
      <c r="J42" s="157"/>
      <c r="K42" s="157"/>
      <c r="L42" s="45">
        <v>54</v>
      </c>
      <c r="M42" s="71"/>
      <c r="N42" s="40"/>
      <c r="O42" s="40"/>
    </row>
    <row r="43" spans="1:15" x14ac:dyDescent="0.3">
      <c r="A43" s="176" t="s">
        <v>101</v>
      </c>
      <c r="B43" s="177"/>
      <c r="C43" s="177"/>
      <c r="D43" s="177"/>
      <c r="E43" s="177"/>
      <c r="F43" s="178"/>
      <c r="G43" s="30"/>
      <c r="H43" s="156" t="s">
        <v>104</v>
      </c>
      <c r="I43" s="157"/>
      <c r="J43" s="157"/>
      <c r="K43" s="157"/>
      <c r="L43" s="45">
        <v>54</v>
      </c>
      <c r="M43" s="74"/>
      <c r="N43" s="75"/>
      <c r="O43" s="75"/>
    </row>
    <row r="44" spans="1:15" x14ac:dyDescent="0.3">
      <c r="A44" s="9" t="s">
        <v>103</v>
      </c>
      <c r="B44" s="5">
        <f>L8</f>
        <v>0.12</v>
      </c>
      <c r="C44" s="19">
        <f>C32</f>
        <v>76.122259200000002</v>
      </c>
      <c r="D44" s="5" t="s">
        <v>86</v>
      </c>
      <c r="E44" s="5">
        <f>+L7</f>
        <v>76.2</v>
      </c>
      <c r="F44" s="5">
        <v>0.68</v>
      </c>
      <c r="G44" s="34">
        <f>F44*E44*C44*B44</f>
        <v>473.32211792486402</v>
      </c>
      <c r="H44" s="156" t="s">
        <v>105</v>
      </c>
      <c r="I44" s="157"/>
      <c r="J44" s="157"/>
      <c r="K44" s="157"/>
      <c r="L44" s="76">
        <f>(I6-L43)*(1-L8)</f>
        <v>17.072000000000006</v>
      </c>
    </row>
    <row r="45" spans="1:15" x14ac:dyDescent="0.3">
      <c r="A45" s="156" t="s">
        <v>81</v>
      </c>
      <c r="B45" s="157"/>
      <c r="C45" s="19">
        <f>C35</f>
        <v>6</v>
      </c>
      <c r="D45" s="5" t="s">
        <v>90</v>
      </c>
      <c r="E45" s="5">
        <v>160</v>
      </c>
      <c r="F45" s="5"/>
      <c r="G45" s="30">
        <f>E45*C45</f>
        <v>960</v>
      </c>
      <c r="H45" s="156" t="s">
        <v>108</v>
      </c>
      <c r="I45" s="157"/>
      <c r="J45" s="157"/>
      <c r="K45" s="157"/>
      <c r="L45" s="77">
        <f>L39/(L44*1.08)</f>
        <v>615.6856518118085</v>
      </c>
    </row>
    <row r="46" spans="1:15" x14ac:dyDescent="0.3">
      <c r="A46" s="156" t="s">
        <v>106</v>
      </c>
      <c r="B46" s="157"/>
      <c r="C46" s="5">
        <v>0</v>
      </c>
      <c r="D46" s="5" t="s">
        <v>107</v>
      </c>
      <c r="E46" s="5">
        <v>2418.8000000000002</v>
      </c>
      <c r="F46" s="5"/>
      <c r="G46" s="34">
        <f>E46*C46</f>
        <v>0</v>
      </c>
      <c r="H46" s="156"/>
      <c r="I46" s="157"/>
      <c r="J46" s="157"/>
      <c r="K46" s="157"/>
      <c r="L46" s="31"/>
      <c r="M46" s="8"/>
      <c r="N46" s="62"/>
      <c r="O46" s="62"/>
    </row>
    <row r="47" spans="1:15" x14ac:dyDescent="0.3">
      <c r="A47" s="182" t="s">
        <v>109</v>
      </c>
      <c r="B47" s="165"/>
      <c r="C47" s="165"/>
      <c r="D47" s="165"/>
      <c r="E47" s="165"/>
      <c r="F47" s="183"/>
      <c r="G47" s="34">
        <f>SUM(G44:G46)</f>
        <v>1433.322117924864</v>
      </c>
      <c r="H47" s="9"/>
      <c r="I47" s="5"/>
      <c r="J47" s="5"/>
      <c r="K47" s="5"/>
      <c r="L47" s="31"/>
      <c r="M47" s="71"/>
      <c r="N47" s="40"/>
      <c r="O47" s="40"/>
    </row>
    <row r="48" spans="1:15" ht="15.6" x14ac:dyDescent="0.3">
      <c r="A48" s="156" t="s">
        <v>110</v>
      </c>
      <c r="B48" s="157"/>
      <c r="C48" s="157"/>
      <c r="D48" s="157"/>
      <c r="E48" s="157"/>
      <c r="F48" s="68">
        <v>0.1</v>
      </c>
      <c r="G48" s="34">
        <f>G47*F48</f>
        <v>143.33221179248639</v>
      </c>
      <c r="H48" s="187"/>
      <c r="I48" s="188"/>
      <c r="J48" s="189"/>
      <c r="K48" s="189"/>
      <c r="L48" s="78"/>
    </row>
    <row r="49" spans="1:16" x14ac:dyDescent="0.3">
      <c r="A49" s="184" t="s">
        <v>111</v>
      </c>
      <c r="B49" s="185"/>
      <c r="C49" s="185"/>
      <c r="D49" s="185"/>
      <c r="E49" s="185"/>
      <c r="F49" s="186"/>
      <c r="G49" s="73">
        <f>SUM(G47:G48)</f>
        <v>1576.6543297173503</v>
      </c>
      <c r="H49" s="9" t="s">
        <v>113</v>
      </c>
      <c r="I49" s="79"/>
      <c r="J49" s="79"/>
      <c r="K49" s="79"/>
      <c r="L49" s="55">
        <f>N34</f>
        <v>1.5</v>
      </c>
    </row>
    <row r="50" spans="1:16" x14ac:dyDescent="0.3">
      <c r="A50" s="190" t="s">
        <v>112</v>
      </c>
      <c r="B50" s="191"/>
      <c r="C50" s="191"/>
      <c r="D50" s="191"/>
      <c r="E50" s="191"/>
      <c r="F50" s="192"/>
      <c r="G50" s="80">
        <f>G49+G41</f>
        <v>12928.518613267046</v>
      </c>
      <c r="H50" s="156" t="s">
        <v>114</v>
      </c>
      <c r="I50" s="157"/>
      <c r="J50" s="157"/>
      <c r="K50" s="157"/>
      <c r="L50" s="31">
        <f>L45</f>
        <v>615.6856518118085</v>
      </c>
      <c r="P50" s="71"/>
    </row>
    <row r="51" spans="1:16" x14ac:dyDescent="0.3">
      <c r="A51" s="182"/>
      <c r="B51" s="165"/>
      <c r="C51" s="165"/>
      <c r="D51" s="165"/>
      <c r="E51" s="165"/>
      <c r="F51" s="183"/>
      <c r="G51" s="30"/>
      <c r="H51" s="156" t="s">
        <v>115</v>
      </c>
      <c r="I51" s="157"/>
      <c r="J51" s="157"/>
      <c r="K51" s="157"/>
      <c r="L51" s="55">
        <f>N31</f>
        <v>1.569199422906419</v>
      </c>
    </row>
    <row r="52" spans="1:16" x14ac:dyDescent="0.3">
      <c r="A52" s="9"/>
      <c r="B52" s="5"/>
      <c r="C52" s="5"/>
      <c r="D52" s="5"/>
      <c r="E52" s="5"/>
      <c r="F52" s="5"/>
      <c r="G52" s="30"/>
      <c r="H52" s="156" t="s">
        <v>117</v>
      </c>
      <c r="I52" s="157"/>
      <c r="J52" s="157"/>
      <c r="K52" s="157"/>
      <c r="L52" s="31">
        <f>L45</f>
        <v>615.6856518118085</v>
      </c>
    </row>
    <row r="53" spans="1:16" x14ac:dyDescent="0.3">
      <c r="A53" s="176" t="s">
        <v>116</v>
      </c>
      <c r="B53" s="177"/>
      <c r="C53" s="177"/>
      <c r="D53" s="177"/>
      <c r="E53" s="177"/>
      <c r="F53" s="178"/>
      <c r="G53" s="30"/>
      <c r="H53" s="156"/>
      <c r="I53" s="157"/>
      <c r="J53" s="157"/>
      <c r="K53" s="157"/>
      <c r="L53" s="55"/>
      <c r="M53" s="71"/>
      <c r="N53" s="40"/>
      <c r="O53" s="40"/>
    </row>
    <row r="54" spans="1:16" x14ac:dyDescent="0.3">
      <c r="A54" s="9" t="s">
        <v>118</v>
      </c>
      <c r="B54" s="5">
        <f>(1-L8)</f>
        <v>0.88</v>
      </c>
      <c r="C54" s="19">
        <f>C44</f>
        <v>76.122259200000002</v>
      </c>
      <c r="D54" s="5" t="s">
        <v>86</v>
      </c>
      <c r="E54" s="5">
        <f>+I7:I7</f>
        <v>33.599999999999994</v>
      </c>
      <c r="F54" s="5">
        <v>1.08</v>
      </c>
      <c r="G54" s="34">
        <f>F54*E54*C54*B54</f>
        <v>2430.845596827648</v>
      </c>
      <c r="H54" s="156"/>
      <c r="I54" s="157"/>
      <c r="J54" s="157"/>
      <c r="K54" s="157"/>
      <c r="L54" s="31"/>
      <c r="M54" s="71"/>
      <c r="N54" s="40"/>
      <c r="O54" s="40"/>
    </row>
    <row r="55" spans="1:16" x14ac:dyDescent="0.3">
      <c r="A55" s="9" t="s">
        <v>119</v>
      </c>
      <c r="B55" s="5">
        <f>(1-L8)</f>
        <v>0.88</v>
      </c>
      <c r="C55" s="19">
        <f>C44</f>
        <v>76.122259200000002</v>
      </c>
      <c r="D55" s="5" t="s">
        <v>86</v>
      </c>
      <c r="E55" s="5">
        <f>+L7</f>
        <v>76.2</v>
      </c>
      <c r="F55" s="5">
        <v>0.68</v>
      </c>
      <c r="G55" s="34">
        <f>F55*E55*C55*B55</f>
        <v>3471.0288647823363</v>
      </c>
      <c r="H55" s="156"/>
      <c r="I55" s="157"/>
      <c r="J55" s="157"/>
      <c r="K55" s="157"/>
      <c r="L55" s="55"/>
      <c r="M55" s="74"/>
      <c r="N55" s="75"/>
      <c r="O55" s="75"/>
    </row>
    <row r="56" spans="1:16" x14ac:dyDescent="0.3">
      <c r="A56" s="195" t="s">
        <v>120</v>
      </c>
      <c r="B56" s="196"/>
      <c r="C56" s="196"/>
      <c r="D56" s="196"/>
      <c r="E56" s="196"/>
      <c r="F56" s="197"/>
      <c r="G56" s="34">
        <f>G55+G54+G50</f>
        <v>18830.393074877029</v>
      </c>
      <c r="H56" s="156"/>
      <c r="I56" s="157"/>
      <c r="J56" s="157"/>
      <c r="K56" s="157"/>
      <c r="L56" s="198"/>
      <c r="M56" s="74"/>
      <c r="N56" s="75"/>
      <c r="O56" s="75"/>
    </row>
    <row r="57" spans="1:16" x14ac:dyDescent="0.3">
      <c r="A57" s="195" t="s">
        <v>85</v>
      </c>
      <c r="B57" s="196"/>
      <c r="C57" s="196"/>
      <c r="D57" s="196"/>
      <c r="E57" s="196"/>
      <c r="F57" s="197"/>
      <c r="G57" s="85">
        <f>G56/12000</f>
        <v>1.569199422906419</v>
      </c>
      <c r="H57" s="156"/>
      <c r="I57" s="157"/>
      <c r="J57" s="157"/>
      <c r="K57" s="157"/>
      <c r="L57" s="198"/>
    </row>
    <row r="58" spans="1:16" ht="15" thickBot="1" x14ac:dyDescent="0.35">
      <c r="A58" s="81"/>
      <c r="B58" s="82"/>
      <c r="C58" s="82"/>
      <c r="D58" s="82"/>
      <c r="E58" s="82"/>
      <c r="F58" s="82"/>
      <c r="G58" s="87"/>
      <c r="H58" s="193"/>
      <c r="I58" s="194"/>
      <c r="J58" s="194"/>
      <c r="K58" s="194"/>
      <c r="L58" s="86"/>
    </row>
    <row r="59" spans="1:16" ht="15" thickBot="1" x14ac:dyDescent="0.3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8"/>
    </row>
    <row r="61" spans="1:16" x14ac:dyDescent="0.3">
      <c r="A61" s="17" t="s">
        <v>121</v>
      </c>
      <c r="G61" s="17"/>
    </row>
    <row r="62" spans="1:16" x14ac:dyDescent="0.3">
      <c r="G62" s="17"/>
    </row>
    <row r="63" spans="1:16" x14ac:dyDescent="0.3">
      <c r="B63" s="17" t="s">
        <v>122</v>
      </c>
      <c r="G63" s="17"/>
    </row>
    <row r="65" spans="1:15" x14ac:dyDescent="0.3">
      <c r="A65" s="9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 x14ac:dyDescent="0.3">
      <c r="A66" s="9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</row>
    <row r="67" spans="1:15" x14ac:dyDescent="0.3">
      <c r="N67" s="1"/>
      <c r="O67" s="1"/>
    </row>
  </sheetData>
  <mergeCells count="88">
    <mergeCell ref="H58:K58"/>
    <mergeCell ref="H55:K55"/>
    <mergeCell ref="A56:F56"/>
    <mergeCell ref="H56:K56"/>
    <mergeCell ref="L56:L57"/>
    <mergeCell ref="A57:F57"/>
    <mergeCell ref="H57:K57"/>
    <mergeCell ref="H54:K54"/>
    <mergeCell ref="A48:E48"/>
    <mergeCell ref="H48:I48"/>
    <mergeCell ref="J48:K48"/>
    <mergeCell ref="A49:F49"/>
    <mergeCell ref="A50:F50"/>
    <mergeCell ref="H50:K50"/>
    <mergeCell ref="A51:F51"/>
    <mergeCell ref="H51:K51"/>
    <mergeCell ref="H52:K52"/>
    <mergeCell ref="A53:F53"/>
    <mergeCell ref="H53:K53"/>
    <mergeCell ref="A47:F47"/>
    <mergeCell ref="A41:F41"/>
    <mergeCell ref="H41:K41"/>
    <mergeCell ref="A42:F42"/>
    <mergeCell ref="H42:K42"/>
    <mergeCell ref="A43:F43"/>
    <mergeCell ref="H43:K43"/>
    <mergeCell ref="H44:K44"/>
    <mergeCell ref="A45:B45"/>
    <mergeCell ref="H45:K45"/>
    <mergeCell ref="A46:B46"/>
    <mergeCell ref="H46:K46"/>
    <mergeCell ref="A40:E40"/>
    <mergeCell ref="H40:K40"/>
    <mergeCell ref="A31:F31"/>
    <mergeCell ref="A33:F33"/>
    <mergeCell ref="A34:F34"/>
    <mergeCell ref="A35:B35"/>
    <mergeCell ref="H35:K35"/>
    <mergeCell ref="A36:B36"/>
    <mergeCell ref="H36:K36"/>
    <mergeCell ref="A37:B37"/>
    <mergeCell ref="A38:F38"/>
    <mergeCell ref="H38:L38"/>
    <mergeCell ref="A39:F39"/>
    <mergeCell ref="H39:K39"/>
    <mergeCell ref="A30:F30"/>
    <mergeCell ref="A23:F23"/>
    <mergeCell ref="H23:K23"/>
    <mergeCell ref="A24:B24"/>
    <mergeCell ref="H24:K24"/>
    <mergeCell ref="A25:B25"/>
    <mergeCell ref="H25:L25"/>
    <mergeCell ref="A26:B26"/>
    <mergeCell ref="H26:L26"/>
    <mergeCell ref="A27:B27"/>
    <mergeCell ref="A28:B28"/>
    <mergeCell ref="A29:F29"/>
    <mergeCell ref="A22:F22"/>
    <mergeCell ref="A10:F10"/>
    <mergeCell ref="A11:B11"/>
    <mergeCell ref="A12:B12"/>
    <mergeCell ref="A13:B13"/>
    <mergeCell ref="A14:B14"/>
    <mergeCell ref="A15:B15"/>
    <mergeCell ref="A16:F16"/>
    <mergeCell ref="A17:B17"/>
    <mergeCell ref="A18:B18"/>
    <mergeCell ref="A19:B19"/>
    <mergeCell ref="A20:B20"/>
    <mergeCell ref="H8:K8"/>
    <mergeCell ref="H9:L9"/>
    <mergeCell ref="A3:B3"/>
    <mergeCell ref="C3:G3"/>
    <mergeCell ref="H3:J3"/>
    <mergeCell ref="A4:B4"/>
    <mergeCell ref="C4:G4"/>
    <mergeCell ref="C5:G5"/>
    <mergeCell ref="A6:B7"/>
    <mergeCell ref="A8:B9"/>
    <mergeCell ref="C8:D9"/>
    <mergeCell ref="F8:F9"/>
    <mergeCell ref="G8:G9"/>
    <mergeCell ref="A1:L1"/>
    <mergeCell ref="A2:B2"/>
    <mergeCell ref="C2:E2"/>
    <mergeCell ref="F2:G2"/>
    <mergeCell ref="H2:J2"/>
    <mergeCell ref="K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8" max="6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43</vt:i4>
      </vt:variant>
    </vt:vector>
  </HeadingPairs>
  <TitlesOfParts>
    <vt:vector size="86" baseType="lpstr">
      <vt:lpstr>SUMMARY</vt:lpstr>
      <vt:lpstr>CSSD</vt:lpstr>
      <vt:lpstr>CSSD MANAGER</vt:lpstr>
      <vt:lpstr>WAITING  </vt:lpstr>
      <vt:lpstr>LOBBY</vt:lpstr>
      <vt:lpstr>MEDICAL STORE</vt:lpstr>
      <vt:lpstr>AIRLOCK</vt:lpstr>
      <vt:lpstr>CENTRAL RESEARCH LAB</vt:lpstr>
      <vt:lpstr>CENTRAL RESEARCH LAB FACULTY</vt:lpstr>
      <vt:lpstr>CENTRAL RESEARCH LAB E.LIBRARY</vt:lpstr>
      <vt:lpstr>CENTRAL RESEARCH LAB PREP.STORE</vt:lpstr>
      <vt:lpstr>PRIVATE ROOM 1</vt:lpstr>
      <vt:lpstr>PRIVATE ROOM 2</vt:lpstr>
      <vt:lpstr>PRIVATE ROOM 3</vt:lpstr>
      <vt:lpstr>PRIVATE ROOM 4</vt:lpstr>
      <vt:lpstr>PRIVATE ROOM 5</vt:lpstr>
      <vt:lpstr>PRIVATE ROOM 6</vt:lpstr>
      <vt:lpstr>PRIVATE ROOM 7</vt:lpstr>
      <vt:lpstr>PRIVATE ROOM 8</vt:lpstr>
      <vt:lpstr>PRIVATE ROOM 9</vt:lpstr>
      <vt:lpstr>PRIVATE ROOM 10</vt:lpstr>
      <vt:lpstr>PRIVATE ROOM 11</vt:lpstr>
      <vt:lpstr>PRIVATE ROOM 12</vt:lpstr>
      <vt:lpstr>PRIVATE ROOM 13</vt:lpstr>
      <vt:lpstr>PRIVATE ROOM 14</vt:lpstr>
      <vt:lpstr>COLD STORAGE</vt:lpstr>
      <vt:lpstr>PREPARATION ROOM</vt:lpstr>
      <vt:lpstr>DISINFECTION AIRLOCK</vt:lpstr>
      <vt:lpstr>PRE PCR</vt:lpstr>
      <vt:lpstr>PCR ASSAY ROOM</vt:lpstr>
      <vt:lpstr>POST PCR</vt:lpstr>
      <vt:lpstr>SKILL DEVELOPMENT LAB</vt:lpstr>
      <vt:lpstr>ROOM 1</vt:lpstr>
      <vt:lpstr>ROOM 2</vt:lpstr>
      <vt:lpstr>ROOM 3</vt:lpstr>
      <vt:lpstr>ROOM 4</vt:lpstr>
      <vt:lpstr>ROOM 5</vt:lpstr>
      <vt:lpstr>ROOM 6</vt:lpstr>
      <vt:lpstr>ROOM 7</vt:lpstr>
      <vt:lpstr>ROOM 8</vt:lpstr>
      <vt:lpstr>ROOM 9</vt:lpstr>
      <vt:lpstr>ROOM 10</vt:lpstr>
      <vt:lpstr>DEMONSTRATION OF SKILL</vt:lpstr>
      <vt:lpstr>AIRLOCK!Print_Area</vt:lpstr>
      <vt:lpstr>'CENTRAL RESEARCH LAB'!Print_Area</vt:lpstr>
      <vt:lpstr>'CENTRAL RESEARCH LAB E.LIBRARY'!Print_Area</vt:lpstr>
      <vt:lpstr>'CENTRAL RESEARCH LAB FACULTY'!Print_Area</vt:lpstr>
      <vt:lpstr>'CENTRAL RESEARCH LAB PREP.STORE'!Print_Area</vt:lpstr>
      <vt:lpstr>'COLD STORAGE'!Print_Area</vt:lpstr>
      <vt:lpstr>CSSD!Print_Area</vt:lpstr>
      <vt:lpstr>'CSSD MANAGER'!Print_Area</vt:lpstr>
      <vt:lpstr>'DEMONSTRATION OF SKILL'!Print_Area</vt:lpstr>
      <vt:lpstr>'DISINFECTION AIRLOCK'!Print_Area</vt:lpstr>
      <vt:lpstr>LOBBY!Print_Area</vt:lpstr>
      <vt:lpstr>'MEDICAL STORE'!Print_Area</vt:lpstr>
      <vt:lpstr>'PCR ASSAY ROOM'!Print_Area</vt:lpstr>
      <vt:lpstr>'POST PCR'!Print_Area</vt:lpstr>
      <vt:lpstr>'PRE PCR'!Print_Area</vt:lpstr>
      <vt:lpstr>'PREPARATION ROOM'!Print_Area</vt:lpstr>
      <vt:lpstr>'PRIVATE ROOM 1'!Print_Area</vt:lpstr>
      <vt:lpstr>'PRIVATE ROOM 10'!Print_Area</vt:lpstr>
      <vt:lpstr>'PRIVATE ROOM 11'!Print_Area</vt:lpstr>
      <vt:lpstr>'PRIVATE ROOM 12'!Print_Area</vt:lpstr>
      <vt:lpstr>'PRIVATE ROOM 13'!Print_Area</vt:lpstr>
      <vt:lpstr>'PRIVATE ROOM 14'!Print_Area</vt:lpstr>
      <vt:lpstr>'PRIVATE ROOM 2'!Print_Area</vt:lpstr>
      <vt:lpstr>'PRIVATE ROOM 3'!Print_Area</vt:lpstr>
      <vt:lpstr>'PRIVATE ROOM 4'!Print_Area</vt:lpstr>
      <vt:lpstr>'PRIVATE ROOM 5'!Print_Area</vt:lpstr>
      <vt:lpstr>'PRIVATE ROOM 6'!Print_Area</vt:lpstr>
      <vt:lpstr>'PRIVATE ROOM 7'!Print_Area</vt:lpstr>
      <vt:lpstr>'PRIVATE ROOM 8'!Print_Area</vt:lpstr>
      <vt:lpstr>'PRIVATE ROOM 9'!Print_Area</vt:lpstr>
      <vt:lpstr>'ROOM 1'!Print_Area</vt:lpstr>
      <vt:lpstr>'ROOM 10'!Print_Area</vt:lpstr>
      <vt:lpstr>'ROOM 2'!Print_Area</vt:lpstr>
      <vt:lpstr>'ROOM 3'!Print_Area</vt:lpstr>
      <vt:lpstr>'ROOM 4'!Print_Area</vt:lpstr>
      <vt:lpstr>'ROOM 5'!Print_Area</vt:lpstr>
      <vt:lpstr>'ROOM 6'!Print_Area</vt:lpstr>
      <vt:lpstr>'ROOM 7'!Print_Area</vt:lpstr>
      <vt:lpstr>'ROOM 8'!Print_Area</vt:lpstr>
      <vt:lpstr>'ROOM 9'!Print_Area</vt:lpstr>
      <vt:lpstr>'SKILL DEVELOPMENT LAB'!Print_Area</vt:lpstr>
      <vt:lpstr>SUMMARY!Print_Area</vt:lpstr>
      <vt:lpstr>'WAITING 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</dc:creator>
  <cp:lastModifiedBy>Mani</cp:lastModifiedBy>
  <cp:lastPrinted>2021-03-08T11:39:48Z</cp:lastPrinted>
  <dcterms:created xsi:type="dcterms:W3CDTF">2020-01-28T04:42:50Z</dcterms:created>
  <dcterms:modified xsi:type="dcterms:W3CDTF">2021-05-10T14:11:28Z</dcterms:modified>
</cp:coreProperties>
</file>