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 defaultThemeVersion="124226"/>
  <xr:revisionPtr revIDLastSave="0" documentId="13_ncr:1_{2388FBAE-5E22-45D8-8ECC-FB02071F9D5E}" xr6:coauthVersionLast="43" xr6:coauthVersionMax="43" xr10:uidLastSave="{00000000-0000-0000-0000-000000000000}"/>
  <bookViews>
    <workbookView xWindow="-110" yWindow="-110" windowWidth="18490" windowHeight="11020" tabRatio="489" xr2:uid="{00000000-000D-0000-FFFF-FFFF00000000}"/>
  </bookViews>
  <sheets>
    <sheet name="AAPL Summary" sheetId="7" r:id="rId1"/>
    <sheet name="Purchase" sheetId="3" r:id="rId2"/>
    <sheet name="Sales" sheetId="5" r:id="rId3"/>
    <sheet name="Debit -Credit Note" sheetId="10" r:id="rId4"/>
    <sheet name="Naming Sheet" sheetId="13" r:id="rId5"/>
  </sheets>
  <definedNames>
    <definedName name="_xlnm._FilterDatabase" localSheetId="1" hidden="1">Purchase!$A$1:$S$307</definedName>
    <definedName name="_xlnm._FilterDatabase" localSheetId="2" hidden="1">Sales!$A$1:$N$165</definedName>
    <definedName name="Category">'Naming Sheet'!$C$2:$C$4</definedName>
    <definedName name="Party_Type">'Naming Sheet'!$B$2:$B$4</definedName>
    <definedName name="_xlnm.Print_Titles" localSheetId="0">'AAPL Summary'!$1:$4</definedName>
    <definedName name="Purchase_Type">'Naming Sheet'!$A$2:$A$4</definedName>
    <definedName name="RCM">'Naming Sheet'!$D$2:$D$3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8" i="7" l="1"/>
  <c r="E48" i="7"/>
  <c r="F19" i="7"/>
  <c r="P2" i="3"/>
  <c r="R307" i="3"/>
  <c r="Q307" i="3"/>
  <c r="P306" i="3"/>
  <c r="P305" i="3"/>
  <c r="P304" i="3"/>
  <c r="P303" i="3"/>
  <c r="P302" i="3"/>
  <c r="P301" i="3"/>
  <c r="P300" i="3"/>
  <c r="P299" i="3"/>
  <c r="R298" i="3"/>
  <c r="Q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M307" i="3" l="1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7" i="3"/>
  <c r="M286" i="3"/>
  <c r="M285" i="3"/>
  <c r="M284" i="3"/>
  <c r="M283" i="3"/>
  <c r="M282" i="3"/>
  <c r="M281" i="3"/>
  <c r="M280" i="3"/>
  <c r="M276" i="3"/>
  <c r="M274" i="3"/>
  <c r="M273" i="3"/>
  <c r="M271" i="3"/>
  <c r="M270" i="3"/>
  <c r="M266" i="3"/>
  <c r="M265" i="3"/>
  <c r="M264" i="3"/>
  <c r="M263" i="3"/>
  <c r="M262" i="3"/>
  <c r="M261" i="3"/>
  <c r="M260" i="3"/>
  <c r="M259" i="3"/>
  <c r="M258" i="3"/>
  <c r="M256" i="3"/>
  <c r="M255" i="3"/>
  <c r="M254" i="3"/>
  <c r="M253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6" i="3"/>
  <c r="M234" i="3"/>
  <c r="M231" i="3"/>
  <c r="M230" i="3"/>
  <c r="M229" i="3"/>
  <c r="M226" i="3"/>
  <c r="M225" i="3"/>
  <c r="M224" i="3"/>
  <c r="M223" i="3"/>
  <c r="M221" i="3"/>
  <c r="M220" i="3"/>
  <c r="M216" i="3"/>
  <c r="M215" i="3"/>
  <c r="M214" i="3"/>
  <c r="M212" i="3"/>
  <c r="M211" i="3"/>
  <c r="M210" i="3"/>
  <c r="M209" i="3"/>
  <c r="M208" i="3"/>
  <c r="M206" i="3"/>
  <c r="M205" i="3"/>
  <c r="M203" i="3"/>
  <c r="M202" i="3"/>
  <c r="M197" i="3"/>
  <c r="M196" i="3"/>
  <c r="M195" i="3"/>
  <c r="M194" i="3"/>
  <c r="M193" i="3"/>
  <c r="M192" i="3"/>
  <c r="M191" i="3"/>
  <c r="M188" i="3"/>
  <c r="M187" i="3"/>
  <c r="M186" i="3"/>
  <c r="M185" i="3"/>
  <c r="M180" i="3"/>
  <c r="M179" i="3"/>
  <c r="M178" i="3"/>
  <c r="M176" i="3"/>
  <c r="M175" i="3"/>
  <c r="M174" i="3"/>
  <c r="M173" i="3"/>
  <c r="M172" i="3"/>
  <c r="M171" i="3"/>
  <c r="M170" i="3"/>
  <c r="M169" i="3"/>
  <c r="M166" i="3"/>
  <c r="M165" i="3"/>
  <c r="M164" i="3"/>
  <c r="M161" i="3"/>
  <c r="M160" i="3"/>
  <c r="M158" i="3"/>
  <c r="M153" i="3"/>
  <c r="M151" i="3"/>
  <c r="M150" i="3"/>
  <c r="M148" i="3"/>
  <c r="M147" i="3"/>
  <c r="M146" i="3"/>
  <c r="M145" i="3"/>
  <c r="M144" i="3"/>
  <c r="M143" i="3"/>
  <c r="M142" i="3"/>
  <c r="M140" i="3"/>
  <c r="M138" i="3"/>
  <c r="M137" i="3"/>
  <c r="M136" i="3"/>
  <c r="M134" i="3"/>
  <c r="M133" i="3"/>
  <c r="M132" i="3"/>
  <c r="M130" i="3"/>
  <c r="M129" i="3"/>
  <c r="M128" i="3"/>
  <c r="M127" i="3"/>
  <c r="M125" i="3"/>
  <c r="M124" i="3"/>
  <c r="M123" i="3"/>
  <c r="M121" i="3"/>
  <c r="M119" i="3"/>
  <c r="M118" i="3"/>
  <c r="M117" i="3"/>
  <c r="M115" i="3"/>
  <c r="M113" i="3"/>
  <c r="M112" i="3"/>
  <c r="M111" i="3"/>
  <c r="M107" i="3"/>
  <c r="M106" i="3"/>
  <c r="M105" i="3"/>
  <c r="M104" i="3"/>
  <c r="M103" i="3"/>
  <c r="M99" i="3"/>
  <c r="M98" i="3"/>
  <c r="M97" i="3"/>
  <c r="M96" i="3"/>
  <c r="M94" i="3"/>
  <c r="M89" i="3"/>
  <c r="M88" i="3"/>
  <c r="M87" i="3"/>
  <c r="M86" i="3"/>
  <c r="M85" i="3"/>
  <c r="M83" i="3"/>
  <c r="M82" i="3"/>
  <c r="M81" i="3"/>
  <c r="M80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3" i="3"/>
  <c r="M61" i="3"/>
  <c r="M59" i="3"/>
  <c r="M58" i="3"/>
  <c r="M57" i="3"/>
  <c r="M56" i="3"/>
  <c r="M55" i="3"/>
  <c r="M54" i="3"/>
  <c r="M49" i="3"/>
  <c r="M48" i="3"/>
  <c r="M47" i="3"/>
  <c r="M46" i="3"/>
  <c r="M45" i="3"/>
  <c r="M44" i="3"/>
  <c r="M43" i="3"/>
  <c r="M41" i="3"/>
  <c r="M40" i="3"/>
  <c r="M38" i="3"/>
  <c r="M37" i="3"/>
  <c r="M33" i="3"/>
  <c r="M32" i="3"/>
  <c r="M31" i="3"/>
  <c r="M30" i="3"/>
  <c r="M28" i="3"/>
  <c r="M27" i="3"/>
  <c r="M24" i="3"/>
  <c r="M22" i="3"/>
  <c r="M21" i="3"/>
  <c r="M20" i="3"/>
  <c r="M16" i="3"/>
  <c r="M15" i="3"/>
  <c r="M11" i="3"/>
  <c r="M9" i="3"/>
  <c r="M8" i="3"/>
  <c r="M7" i="3"/>
  <c r="M6" i="3"/>
  <c r="M5" i="3"/>
  <c r="M4" i="3"/>
  <c r="M3" i="3"/>
  <c r="M2" i="3"/>
  <c r="K288" i="3"/>
  <c r="M288" i="3" s="1"/>
  <c r="K279" i="3"/>
  <c r="M279" i="3" s="1"/>
  <c r="K278" i="3"/>
  <c r="M278" i="3" s="1"/>
  <c r="K277" i="3"/>
  <c r="M277" i="3" s="1"/>
  <c r="K275" i="3"/>
  <c r="M275" i="3" s="1"/>
  <c r="K272" i="3"/>
  <c r="M272" i="3" s="1"/>
  <c r="K269" i="3"/>
  <c r="M269" i="3" s="1"/>
  <c r="K268" i="3"/>
  <c r="M268" i="3" s="1"/>
  <c r="K267" i="3"/>
  <c r="M267" i="3" s="1"/>
  <c r="K257" i="3"/>
  <c r="M257" i="3" s="1"/>
  <c r="K252" i="3"/>
  <c r="M252" i="3" s="1"/>
  <c r="K239" i="3"/>
  <c r="M239" i="3" s="1"/>
  <c r="K238" i="3"/>
  <c r="M238" i="3" s="1"/>
  <c r="K237" i="3"/>
  <c r="M237" i="3" s="1"/>
  <c r="K235" i="3"/>
  <c r="M235" i="3" s="1"/>
  <c r="K233" i="3"/>
  <c r="M233" i="3" s="1"/>
  <c r="K232" i="3"/>
  <c r="M232" i="3" s="1"/>
  <c r="K228" i="3"/>
  <c r="M228" i="3" s="1"/>
  <c r="K227" i="3"/>
  <c r="M227" i="3" s="1"/>
  <c r="K222" i="3"/>
  <c r="M222" i="3" s="1"/>
  <c r="K219" i="3"/>
  <c r="M219" i="3" s="1"/>
  <c r="K218" i="3"/>
  <c r="M218" i="3" s="1"/>
  <c r="K217" i="3"/>
  <c r="M217" i="3" s="1"/>
  <c r="K213" i="3"/>
  <c r="M213" i="3" s="1"/>
  <c r="K207" i="3"/>
  <c r="M207" i="3" s="1"/>
  <c r="K204" i="3"/>
  <c r="M204" i="3" s="1"/>
  <c r="K201" i="3"/>
  <c r="M201" i="3" s="1"/>
  <c r="K200" i="3"/>
  <c r="M200" i="3" s="1"/>
  <c r="K199" i="3"/>
  <c r="M199" i="3" s="1"/>
  <c r="K198" i="3"/>
  <c r="M198" i="3" s="1"/>
  <c r="K190" i="3"/>
  <c r="M190" i="3" s="1"/>
  <c r="K189" i="3"/>
  <c r="M189" i="3" s="1"/>
  <c r="K184" i="3"/>
  <c r="M184" i="3" s="1"/>
  <c r="K183" i="3"/>
  <c r="M183" i="3" s="1"/>
  <c r="K182" i="3"/>
  <c r="M182" i="3" s="1"/>
  <c r="K181" i="3"/>
  <c r="M181" i="3" s="1"/>
  <c r="K177" i="3"/>
  <c r="M177" i="3" s="1"/>
  <c r="K168" i="3"/>
  <c r="M168" i="3" s="1"/>
  <c r="K167" i="3"/>
  <c r="M167" i="3" s="1"/>
  <c r="K163" i="3"/>
  <c r="M163" i="3" s="1"/>
  <c r="K162" i="3"/>
  <c r="M162" i="3" s="1"/>
  <c r="K159" i="3"/>
  <c r="M159" i="3" s="1"/>
  <c r="K157" i="3"/>
  <c r="M157" i="3" s="1"/>
  <c r="K156" i="3"/>
  <c r="M156" i="3" s="1"/>
  <c r="K155" i="3"/>
  <c r="M155" i="3" s="1"/>
  <c r="K154" i="3"/>
  <c r="M154" i="3" s="1"/>
  <c r="K152" i="3"/>
  <c r="M152" i="3" s="1"/>
  <c r="K149" i="3"/>
  <c r="M149" i="3" s="1"/>
  <c r="K141" i="3"/>
  <c r="M141" i="3" s="1"/>
  <c r="K139" i="3"/>
  <c r="M139" i="3" s="1"/>
  <c r="K135" i="3"/>
  <c r="M135" i="3" s="1"/>
  <c r="K131" i="3"/>
  <c r="M131" i="3" s="1"/>
  <c r="K126" i="3"/>
  <c r="M126" i="3" s="1"/>
  <c r="K122" i="3"/>
  <c r="M122" i="3" s="1"/>
  <c r="K120" i="3"/>
  <c r="M120" i="3" s="1"/>
  <c r="K116" i="3"/>
  <c r="M116" i="3" s="1"/>
  <c r="K114" i="3"/>
  <c r="M114" i="3" s="1"/>
  <c r="K110" i="3"/>
  <c r="M110" i="3" s="1"/>
  <c r="K109" i="3"/>
  <c r="M109" i="3" s="1"/>
  <c r="K108" i="3"/>
  <c r="M108" i="3" s="1"/>
  <c r="K102" i="3"/>
  <c r="M102" i="3" s="1"/>
  <c r="K101" i="3"/>
  <c r="M101" i="3" s="1"/>
  <c r="K100" i="3"/>
  <c r="M100" i="3" s="1"/>
  <c r="K95" i="3"/>
  <c r="M95" i="3" s="1"/>
  <c r="K93" i="3"/>
  <c r="M93" i="3" s="1"/>
  <c r="K92" i="3"/>
  <c r="M92" i="3" s="1"/>
  <c r="K91" i="3"/>
  <c r="M91" i="3" s="1"/>
  <c r="K90" i="3"/>
  <c r="M90" i="3" s="1"/>
  <c r="K84" i="3"/>
  <c r="M84" i="3" s="1"/>
  <c r="K79" i="3"/>
  <c r="M79" i="3" s="1"/>
  <c r="K78" i="3"/>
  <c r="M78" i="3" s="1"/>
  <c r="K64" i="3"/>
  <c r="M64" i="3" s="1"/>
  <c r="K62" i="3"/>
  <c r="M62" i="3" s="1"/>
  <c r="K60" i="3"/>
  <c r="M60" i="3" s="1"/>
  <c r="K53" i="3"/>
  <c r="M53" i="3" s="1"/>
  <c r="K52" i="3"/>
  <c r="M52" i="3" s="1"/>
  <c r="K51" i="3"/>
  <c r="M51" i="3" s="1"/>
  <c r="K50" i="3"/>
  <c r="M50" i="3" s="1"/>
  <c r="K42" i="3"/>
  <c r="M42" i="3" s="1"/>
  <c r="K39" i="3"/>
  <c r="M39" i="3" s="1"/>
  <c r="K36" i="3"/>
  <c r="M36" i="3" s="1"/>
  <c r="K35" i="3"/>
  <c r="M35" i="3" s="1"/>
  <c r="K34" i="3"/>
  <c r="M34" i="3" s="1"/>
  <c r="K29" i="3"/>
  <c r="M29" i="3" s="1"/>
  <c r="K26" i="3"/>
  <c r="M26" i="3" s="1"/>
  <c r="K25" i="3"/>
  <c r="M25" i="3" s="1"/>
  <c r="K23" i="3"/>
  <c r="M23" i="3" s="1"/>
  <c r="K19" i="3"/>
  <c r="M19" i="3" s="1"/>
  <c r="K18" i="3"/>
  <c r="M18" i="3" s="1"/>
  <c r="K17" i="3"/>
  <c r="M17" i="3" s="1"/>
  <c r="K14" i="3"/>
  <c r="M14" i="3" s="1"/>
  <c r="K13" i="3"/>
  <c r="M13" i="3" s="1"/>
  <c r="K12" i="3"/>
  <c r="M12" i="3" s="1"/>
  <c r="K10" i="3"/>
  <c r="M10" i="3" s="1"/>
  <c r="O2" i="10"/>
  <c r="R51" i="3" l="1"/>
  <c r="Q51" i="3"/>
  <c r="S51" i="3" s="1"/>
  <c r="S93" i="3"/>
  <c r="Q93" i="3"/>
  <c r="R93" i="3"/>
  <c r="Q126" i="3"/>
  <c r="S126" i="3" s="1"/>
  <c r="R126" i="3"/>
  <c r="Q162" i="3"/>
  <c r="S162" i="3" s="1"/>
  <c r="R162" i="3"/>
  <c r="Q199" i="3"/>
  <c r="S199" i="3" s="1"/>
  <c r="R199" i="3"/>
  <c r="R232" i="3"/>
  <c r="S232" i="3" s="1"/>
  <c r="Q232" i="3"/>
  <c r="Q275" i="3"/>
  <c r="S275" i="3" s="1"/>
  <c r="R275" i="3"/>
  <c r="Q9" i="3"/>
  <c r="S9" i="3" s="1"/>
  <c r="R9" i="3"/>
  <c r="R32" i="3"/>
  <c r="Q32" i="3"/>
  <c r="S32" i="3" s="1"/>
  <c r="S49" i="3"/>
  <c r="R49" i="3"/>
  <c r="Q49" i="3"/>
  <c r="R68" i="3"/>
  <c r="S68" i="3" s="1"/>
  <c r="Q68" i="3"/>
  <c r="Q82" i="3"/>
  <c r="S82" i="3" s="1"/>
  <c r="R82" i="3"/>
  <c r="R103" i="3"/>
  <c r="Q103" i="3"/>
  <c r="S103" i="3" s="1"/>
  <c r="S121" i="3"/>
  <c r="Q121" i="3"/>
  <c r="R121" i="3"/>
  <c r="R143" i="3"/>
  <c r="S143" i="3" s="1"/>
  <c r="Q143" i="3"/>
  <c r="R164" i="3"/>
  <c r="Q164" i="3"/>
  <c r="S164" i="3" s="1"/>
  <c r="R193" i="3"/>
  <c r="Q193" i="3"/>
  <c r="S193" i="3" s="1"/>
  <c r="S211" i="3"/>
  <c r="Q211" i="3"/>
  <c r="R211" i="3"/>
  <c r="R230" i="3"/>
  <c r="S230" i="3" s="1"/>
  <c r="Q230" i="3"/>
  <c r="R248" i="3"/>
  <c r="Q248" i="3"/>
  <c r="S248" i="3"/>
  <c r="R258" i="3"/>
  <c r="Q258" i="3"/>
  <c r="S258" i="3" s="1"/>
  <c r="S274" i="3"/>
  <c r="R274" i="3"/>
  <c r="Q274" i="3"/>
  <c r="Q291" i="3"/>
  <c r="S291" i="3" s="1"/>
  <c r="R291" i="3"/>
  <c r="Q295" i="3"/>
  <c r="R295" i="3"/>
  <c r="S295" i="3" s="1"/>
  <c r="P307" i="3"/>
  <c r="S307" i="3" s="1"/>
  <c r="Q29" i="3"/>
  <c r="S29" i="3" s="1"/>
  <c r="R29" i="3"/>
  <c r="R64" i="3"/>
  <c r="Q64" i="3"/>
  <c r="S64" i="3" s="1"/>
  <c r="Q90" i="3"/>
  <c r="S90" i="3" s="1"/>
  <c r="R90" i="3"/>
  <c r="S95" i="3"/>
  <c r="R95" i="3"/>
  <c r="Q95" i="3"/>
  <c r="R108" i="3"/>
  <c r="S108" i="3" s="1"/>
  <c r="Q108" i="3"/>
  <c r="R116" i="3"/>
  <c r="Q116" i="3"/>
  <c r="S116" i="3"/>
  <c r="R131" i="3"/>
  <c r="Q131" i="3"/>
  <c r="S131" i="3" s="1"/>
  <c r="S149" i="3"/>
  <c r="Q149" i="3"/>
  <c r="R149" i="3"/>
  <c r="R156" i="3"/>
  <c r="S156" i="3" s="1"/>
  <c r="Q156" i="3"/>
  <c r="R163" i="3"/>
  <c r="Q163" i="3"/>
  <c r="S163" i="3" s="1"/>
  <c r="R181" i="3"/>
  <c r="Q181" i="3"/>
  <c r="S181" i="3" s="1"/>
  <c r="S189" i="3"/>
  <c r="R189" i="3"/>
  <c r="Q189" i="3"/>
  <c r="R200" i="3"/>
  <c r="Q200" i="3"/>
  <c r="S200" i="3" s="1"/>
  <c r="R213" i="3"/>
  <c r="Q213" i="3"/>
  <c r="S213" i="3" s="1"/>
  <c r="R222" i="3"/>
  <c r="Q222" i="3"/>
  <c r="S222" i="3" s="1"/>
  <c r="S233" i="3"/>
  <c r="R233" i="3"/>
  <c r="Q233" i="3"/>
  <c r="Q239" i="3"/>
  <c r="S239" i="3" s="1"/>
  <c r="R239" i="3"/>
  <c r="R268" i="3"/>
  <c r="Q268" i="3"/>
  <c r="S268" i="3" s="1"/>
  <c r="R277" i="3"/>
  <c r="Q277" i="3"/>
  <c r="S277" i="3" s="1"/>
  <c r="S2" i="3"/>
  <c r="R2" i="3"/>
  <c r="Q2" i="3"/>
  <c r="R6" i="3"/>
  <c r="S6" i="3" s="1"/>
  <c r="Q6" i="3"/>
  <c r="R11" i="3"/>
  <c r="Q11" i="3"/>
  <c r="S11" i="3" s="1"/>
  <c r="Q21" i="3"/>
  <c r="S21" i="3" s="1"/>
  <c r="R21" i="3"/>
  <c r="S28" i="3"/>
  <c r="R28" i="3"/>
  <c r="Q28" i="3"/>
  <c r="Q33" i="3"/>
  <c r="S33" i="3" s="1"/>
  <c r="R33" i="3"/>
  <c r="R41" i="3"/>
  <c r="Q41" i="3"/>
  <c r="S41" i="3" s="1"/>
  <c r="S46" i="3"/>
  <c r="Q46" i="3"/>
  <c r="R46" i="3"/>
  <c r="S54" i="3"/>
  <c r="Q54" i="3"/>
  <c r="R54" i="3"/>
  <c r="Q58" i="3"/>
  <c r="S58" i="3" s="1"/>
  <c r="R58" i="3"/>
  <c r="R65" i="3"/>
  <c r="Q65" i="3"/>
  <c r="S65" i="3" s="1"/>
  <c r="S69" i="3"/>
  <c r="Q69" i="3"/>
  <c r="R69" i="3"/>
  <c r="S73" i="3"/>
  <c r="R73" i="3"/>
  <c r="Q73" i="3"/>
  <c r="Q77" i="3"/>
  <c r="S77" i="3" s="1"/>
  <c r="R77" i="3"/>
  <c r="R83" i="3"/>
  <c r="Q83" i="3"/>
  <c r="S83" i="3" s="1"/>
  <c r="S88" i="3"/>
  <c r="R88" i="3"/>
  <c r="Q88" i="3"/>
  <c r="S97" i="3"/>
  <c r="Q97" i="3"/>
  <c r="R97" i="3"/>
  <c r="R104" i="3"/>
  <c r="Q104" i="3"/>
  <c r="S104" i="3" s="1"/>
  <c r="R111" i="3"/>
  <c r="Q111" i="3"/>
  <c r="S111" i="3" s="1"/>
  <c r="S117" i="3"/>
  <c r="Q117" i="3"/>
  <c r="R117" i="3"/>
  <c r="S123" i="3"/>
  <c r="R123" i="3"/>
  <c r="Q123" i="3"/>
  <c r="R128" i="3"/>
  <c r="Q128" i="3"/>
  <c r="S128" i="3" s="1"/>
  <c r="Q133" i="3"/>
  <c r="S133" i="3" s="1"/>
  <c r="R133" i="3"/>
  <c r="S138" i="3"/>
  <c r="Q138" i="3"/>
  <c r="R138" i="3"/>
  <c r="S144" i="3"/>
  <c r="R144" i="3"/>
  <c r="Q144" i="3"/>
  <c r="R148" i="3"/>
  <c r="Q148" i="3"/>
  <c r="S148" i="3" s="1"/>
  <c r="Q158" i="3"/>
  <c r="S158" i="3" s="1"/>
  <c r="R158" i="3"/>
  <c r="S165" i="3"/>
  <c r="Q165" i="3"/>
  <c r="R165" i="3"/>
  <c r="S171" i="3"/>
  <c r="R171" i="3"/>
  <c r="Q171" i="3"/>
  <c r="Q175" i="3"/>
  <c r="S175" i="3" s="1"/>
  <c r="R175" i="3"/>
  <c r="Q180" i="3"/>
  <c r="R180" i="3"/>
  <c r="S180" i="3" s="1"/>
  <c r="S188" i="3"/>
  <c r="Q188" i="3"/>
  <c r="R188" i="3"/>
  <c r="S194" i="3"/>
  <c r="R194" i="3"/>
  <c r="Q194" i="3"/>
  <c r="R202" i="3"/>
  <c r="Q202" i="3"/>
  <c r="S202" i="3" s="1"/>
  <c r="R208" i="3"/>
  <c r="Q208" i="3"/>
  <c r="S208" i="3" s="1"/>
  <c r="R212" i="3"/>
  <c r="S212" i="3" s="1"/>
  <c r="Q212" i="3"/>
  <c r="R220" i="3"/>
  <c r="S220" i="3" s="1"/>
  <c r="Q220" i="3"/>
  <c r="R225" i="3"/>
  <c r="Q225" i="3"/>
  <c r="S225" i="3" s="1"/>
  <c r="Q231" i="3"/>
  <c r="S231" i="3" s="1"/>
  <c r="R231" i="3"/>
  <c r="S241" i="3"/>
  <c r="R241" i="3"/>
  <c r="Q241" i="3"/>
  <c r="S245" i="3"/>
  <c r="R245" i="3"/>
  <c r="Q245" i="3"/>
  <c r="R249" i="3"/>
  <c r="Q249" i="3"/>
  <c r="S249" i="3" s="1"/>
  <c r="R254" i="3"/>
  <c r="Q254" i="3"/>
  <c r="S254" i="3" s="1"/>
  <c r="S259" i="3"/>
  <c r="Q259" i="3"/>
  <c r="R259" i="3"/>
  <c r="S263" i="3"/>
  <c r="Q263" i="3"/>
  <c r="R263" i="3"/>
  <c r="R270" i="3"/>
  <c r="Q270" i="3"/>
  <c r="S270" i="3" s="1"/>
  <c r="R276" i="3"/>
  <c r="Q276" i="3"/>
  <c r="S276" i="3"/>
  <c r="S283" i="3"/>
  <c r="Q283" i="3"/>
  <c r="R283" i="3"/>
  <c r="S287" i="3"/>
  <c r="Q287" i="3"/>
  <c r="R287" i="3"/>
  <c r="R292" i="3"/>
  <c r="Q292" i="3"/>
  <c r="S292" i="3" s="1"/>
  <c r="R296" i="3"/>
  <c r="Q296" i="3"/>
  <c r="S296" i="3"/>
  <c r="R300" i="3"/>
  <c r="S300" i="3" s="1"/>
  <c r="Q300" i="3"/>
  <c r="R304" i="3"/>
  <c r="Q304" i="3"/>
  <c r="S304" i="3" s="1"/>
  <c r="R12" i="3"/>
  <c r="Q12" i="3"/>
  <c r="S12" i="3" s="1"/>
  <c r="R26" i="3"/>
  <c r="Q26" i="3"/>
  <c r="S26" i="3" s="1"/>
  <c r="S62" i="3"/>
  <c r="Q62" i="3"/>
  <c r="R62" i="3"/>
  <c r="S102" i="3"/>
  <c r="Q102" i="3"/>
  <c r="R102" i="3"/>
  <c r="Q141" i="3"/>
  <c r="S141" i="3" s="1"/>
  <c r="R141" i="3"/>
  <c r="R177" i="3"/>
  <c r="Q177" i="3"/>
  <c r="S177" i="3" s="1"/>
  <c r="S207" i="3"/>
  <c r="Q207" i="3"/>
  <c r="R207" i="3"/>
  <c r="S238" i="3"/>
  <c r="R238" i="3"/>
  <c r="Q238" i="3"/>
  <c r="R288" i="3"/>
  <c r="Q288" i="3"/>
  <c r="S288" i="3" s="1"/>
  <c r="R20" i="3"/>
  <c r="Q20" i="3"/>
  <c r="S20" i="3" s="1"/>
  <c r="S40" i="3"/>
  <c r="R40" i="3"/>
  <c r="Q40" i="3"/>
  <c r="S63" i="3"/>
  <c r="R63" i="3"/>
  <c r="Q63" i="3"/>
  <c r="R76" i="3"/>
  <c r="Q76" i="3"/>
  <c r="S76" i="3" s="1"/>
  <c r="R96" i="3"/>
  <c r="Q96" i="3"/>
  <c r="S96" i="3" s="1"/>
  <c r="S115" i="3"/>
  <c r="R115" i="3"/>
  <c r="Q115" i="3"/>
  <c r="S132" i="3"/>
  <c r="R132" i="3"/>
  <c r="Q132" i="3"/>
  <c r="R147" i="3"/>
  <c r="Q147" i="3"/>
  <c r="S147" i="3" s="1"/>
  <c r="Q174" i="3"/>
  <c r="S174" i="3" s="1"/>
  <c r="R174" i="3"/>
  <c r="S187" i="3"/>
  <c r="R187" i="3"/>
  <c r="Q187" i="3"/>
  <c r="S197" i="3"/>
  <c r="R197" i="3"/>
  <c r="Q197" i="3"/>
  <c r="R216" i="3"/>
  <c r="Q216" i="3"/>
  <c r="S216" i="3" s="1"/>
  <c r="R240" i="3"/>
  <c r="Q240" i="3"/>
  <c r="S240" i="3" s="1"/>
  <c r="S253" i="3"/>
  <c r="R253" i="3"/>
  <c r="Q253" i="3"/>
  <c r="S266" i="3"/>
  <c r="R266" i="3"/>
  <c r="Q266" i="3"/>
  <c r="R286" i="3"/>
  <c r="Q286" i="3"/>
  <c r="S286" i="3" s="1"/>
  <c r="Q299" i="3"/>
  <c r="S299" i="3" s="1"/>
  <c r="R299" i="3"/>
  <c r="S13" i="3"/>
  <c r="Q13" i="3"/>
  <c r="R13" i="3"/>
  <c r="S52" i="3"/>
  <c r="Q52" i="3"/>
  <c r="R52" i="3"/>
  <c r="R14" i="3"/>
  <c r="Q14" i="3"/>
  <c r="S14" i="3" s="1"/>
  <c r="R23" i="3"/>
  <c r="Q23" i="3"/>
  <c r="S23" i="3" s="1"/>
  <c r="S34" i="3"/>
  <c r="Q34" i="3"/>
  <c r="R34" i="3"/>
  <c r="S42" i="3"/>
  <c r="Q42" i="3"/>
  <c r="R42" i="3"/>
  <c r="Q53" i="3"/>
  <c r="S53" i="3" s="1"/>
  <c r="R53" i="3"/>
  <c r="Q78" i="3"/>
  <c r="S78" i="3" s="1"/>
  <c r="R78" i="3"/>
  <c r="S91" i="3"/>
  <c r="R91" i="3"/>
  <c r="Q91" i="3"/>
  <c r="S100" i="3"/>
  <c r="R100" i="3"/>
  <c r="Q100" i="3"/>
  <c r="Q109" i="3"/>
  <c r="S109" i="3" s="1"/>
  <c r="R109" i="3"/>
  <c r="R120" i="3"/>
  <c r="Q120" i="3"/>
  <c r="S120" i="3" s="1"/>
  <c r="S135" i="3"/>
  <c r="R135" i="3"/>
  <c r="Q135" i="3"/>
  <c r="S152" i="3"/>
  <c r="R152" i="3"/>
  <c r="Q152" i="3"/>
  <c r="Q157" i="3"/>
  <c r="S157" i="3" s="1"/>
  <c r="R157" i="3"/>
  <c r="R167" i="3"/>
  <c r="Q167" i="3"/>
  <c r="S167" i="3" s="1"/>
  <c r="S182" i="3"/>
  <c r="R182" i="3"/>
  <c r="Q182" i="3"/>
  <c r="S190" i="3"/>
  <c r="Q190" i="3"/>
  <c r="R190" i="3"/>
  <c r="R201" i="3"/>
  <c r="Q201" i="3"/>
  <c r="S201" i="3" s="1"/>
  <c r="R217" i="3"/>
  <c r="Q217" i="3"/>
  <c r="S217" i="3" s="1"/>
  <c r="S227" i="3"/>
  <c r="Q227" i="3"/>
  <c r="R227" i="3"/>
  <c r="S235" i="3"/>
  <c r="Q235" i="3"/>
  <c r="R235" i="3"/>
  <c r="R252" i="3"/>
  <c r="S252" i="3"/>
  <c r="Q252" i="3"/>
  <c r="R269" i="3"/>
  <c r="Q269" i="3"/>
  <c r="S269" i="3" s="1"/>
  <c r="S278" i="3"/>
  <c r="R278" i="3"/>
  <c r="Q278" i="3"/>
  <c r="S3" i="3"/>
  <c r="Q3" i="3"/>
  <c r="R3" i="3"/>
  <c r="R7" i="3"/>
  <c r="Q7" i="3"/>
  <c r="S7" i="3" s="1"/>
  <c r="R15" i="3"/>
  <c r="Q15" i="3"/>
  <c r="S15" i="3" s="1"/>
  <c r="S22" i="3"/>
  <c r="R22" i="3"/>
  <c r="Q22" i="3"/>
  <c r="S30" i="3"/>
  <c r="Q30" i="3"/>
  <c r="R30" i="3"/>
  <c r="Q37" i="3"/>
  <c r="S37" i="3" s="1"/>
  <c r="R37" i="3"/>
  <c r="R43" i="3"/>
  <c r="Q43" i="3"/>
  <c r="S43" i="3" s="1"/>
  <c r="S47" i="3"/>
  <c r="R47" i="3"/>
  <c r="Q47" i="3"/>
  <c r="S55" i="3"/>
  <c r="R55" i="3"/>
  <c r="Q55" i="3"/>
  <c r="R59" i="3"/>
  <c r="Q59" i="3"/>
  <c r="S59" i="3" s="1"/>
  <c r="Q66" i="3"/>
  <c r="S66" i="3" s="1"/>
  <c r="R66" i="3"/>
  <c r="S70" i="3"/>
  <c r="Q70" i="3"/>
  <c r="R70" i="3"/>
  <c r="S74" i="3"/>
  <c r="Q74" i="3"/>
  <c r="R74" i="3"/>
  <c r="R80" i="3"/>
  <c r="Q80" i="3"/>
  <c r="S80" i="3" s="1"/>
  <c r="Q85" i="3"/>
  <c r="S85" i="3" s="1"/>
  <c r="R85" i="3"/>
  <c r="S89" i="3"/>
  <c r="Q89" i="3"/>
  <c r="R89" i="3"/>
  <c r="S98" i="3"/>
  <c r="Q98" i="3"/>
  <c r="R98" i="3"/>
  <c r="Q105" i="3"/>
  <c r="S105" i="3" s="1"/>
  <c r="R105" i="3"/>
  <c r="R112" i="3"/>
  <c r="Q112" i="3"/>
  <c r="S112" i="3" s="1"/>
  <c r="S118" i="3"/>
  <c r="Q118" i="3"/>
  <c r="R118" i="3"/>
  <c r="S124" i="3"/>
  <c r="R124" i="3"/>
  <c r="Q124" i="3"/>
  <c r="Q129" i="3"/>
  <c r="S129" i="3" s="1"/>
  <c r="R129" i="3"/>
  <c r="Q134" i="3"/>
  <c r="S134" i="3" s="1"/>
  <c r="R134" i="3"/>
  <c r="S140" i="3"/>
  <c r="R140" i="3"/>
  <c r="Q140" i="3"/>
  <c r="S145" i="3"/>
  <c r="Q145" i="3"/>
  <c r="R145" i="3"/>
  <c r="Q150" i="3"/>
  <c r="S150" i="3" s="1"/>
  <c r="R150" i="3"/>
  <c r="R160" i="3"/>
  <c r="Q160" i="3"/>
  <c r="S160" i="3" s="1"/>
  <c r="S166" i="3"/>
  <c r="Q166" i="3"/>
  <c r="R166" i="3"/>
  <c r="S172" i="3"/>
  <c r="Q172" i="3"/>
  <c r="R172" i="3"/>
  <c r="Q176" i="3"/>
  <c r="S176" i="3" s="1"/>
  <c r="R176" i="3"/>
  <c r="R185" i="3"/>
  <c r="Q185" i="3"/>
  <c r="S185" i="3" s="1"/>
  <c r="S191" i="3"/>
  <c r="Q191" i="3"/>
  <c r="R191" i="3"/>
  <c r="S195" i="3"/>
  <c r="Q195" i="3"/>
  <c r="R195" i="3"/>
  <c r="Q203" i="3"/>
  <c r="S203" i="3" s="1"/>
  <c r="R203" i="3"/>
  <c r="R209" i="3"/>
  <c r="Q209" i="3"/>
  <c r="S209" i="3" s="1"/>
  <c r="S214" i="3"/>
  <c r="R214" i="3"/>
  <c r="Q214" i="3"/>
  <c r="S221" i="3"/>
  <c r="R221" i="3"/>
  <c r="Q221" i="3"/>
  <c r="R226" i="3"/>
  <c r="Q226" i="3"/>
  <c r="S226" i="3" s="1"/>
  <c r="R234" i="3"/>
  <c r="Q234" i="3"/>
  <c r="S234" i="3" s="1"/>
  <c r="S242" i="3"/>
  <c r="R242" i="3"/>
  <c r="Q242" i="3"/>
  <c r="S246" i="3"/>
  <c r="R246" i="3"/>
  <c r="Q246" i="3"/>
  <c r="R250" i="3"/>
  <c r="Q250" i="3"/>
  <c r="S250" i="3" s="1"/>
  <c r="Q255" i="3"/>
  <c r="S255" i="3" s="1"/>
  <c r="R255" i="3"/>
  <c r="R260" i="3"/>
  <c r="S260" i="3" s="1"/>
  <c r="Q260" i="3"/>
  <c r="R264" i="3"/>
  <c r="Q264" i="3"/>
  <c r="S264" i="3" s="1"/>
  <c r="Q271" i="3"/>
  <c r="S271" i="3" s="1"/>
  <c r="R271" i="3"/>
  <c r="R280" i="3"/>
  <c r="Q280" i="3"/>
  <c r="S280" i="3"/>
  <c r="R284" i="3"/>
  <c r="Q284" i="3"/>
  <c r="S284" i="3" s="1"/>
  <c r="S289" i="3"/>
  <c r="R289" i="3"/>
  <c r="Q289" i="3"/>
  <c r="R293" i="3"/>
  <c r="S293" i="3"/>
  <c r="Q293" i="3"/>
  <c r="R297" i="3"/>
  <c r="Q297" i="3"/>
  <c r="S297" i="3" s="1"/>
  <c r="R301" i="3"/>
  <c r="Q301" i="3"/>
  <c r="S301" i="3" s="1"/>
  <c r="R305" i="3"/>
  <c r="S305" i="3" s="1"/>
  <c r="Q305" i="3"/>
  <c r="R18" i="3"/>
  <c r="Q18" i="3"/>
  <c r="S18" i="3" s="1"/>
  <c r="Q36" i="3"/>
  <c r="S36" i="3" s="1"/>
  <c r="R36" i="3"/>
  <c r="S84" i="3"/>
  <c r="Q84" i="3"/>
  <c r="R84" i="3"/>
  <c r="S114" i="3"/>
  <c r="Q114" i="3"/>
  <c r="R114" i="3"/>
  <c r="R155" i="3"/>
  <c r="Q155" i="3"/>
  <c r="S155" i="3" s="1"/>
  <c r="Q184" i="3"/>
  <c r="R184" i="3"/>
  <c r="S184" i="3" s="1"/>
  <c r="S219" i="3"/>
  <c r="Q219" i="3"/>
  <c r="R219" i="3"/>
  <c r="S267" i="3"/>
  <c r="Q267" i="3"/>
  <c r="R267" i="3"/>
  <c r="Q5" i="3"/>
  <c r="S5" i="3" s="1"/>
  <c r="R5" i="3"/>
  <c r="R27" i="3"/>
  <c r="Q27" i="3"/>
  <c r="S27" i="3" s="1"/>
  <c r="S45" i="3"/>
  <c r="Q45" i="3"/>
  <c r="R45" i="3"/>
  <c r="S57" i="3"/>
  <c r="R57" i="3"/>
  <c r="Q57" i="3"/>
  <c r="R72" i="3"/>
  <c r="Q72" i="3"/>
  <c r="S72" i="3" s="1"/>
  <c r="R87" i="3"/>
  <c r="Q87" i="3"/>
  <c r="S87" i="3" s="1"/>
  <c r="S107" i="3"/>
  <c r="R107" i="3"/>
  <c r="Q107" i="3"/>
  <c r="S127" i="3"/>
  <c r="R127" i="3"/>
  <c r="Q127" i="3"/>
  <c r="Q137" i="3"/>
  <c r="S137" i="3" s="1"/>
  <c r="R137" i="3"/>
  <c r="Q153" i="3"/>
  <c r="S153" i="3" s="1"/>
  <c r="R153" i="3"/>
  <c r="S170" i="3"/>
  <c r="R170" i="3"/>
  <c r="Q170" i="3"/>
  <c r="S179" i="3"/>
  <c r="R179" i="3"/>
  <c r="Q179" i="3"/>
  <c r="R206" i="3"/>
  <c r="Q206" i="3"/>
  <c r="S206" i="3" s="1"/>
  <c r="R224" i="3"/>
  <c r="Q224" i="3"/>
  <c r="S224" i="3" s="1"/>
  <c r="R244" i="3"/>
  <c r="S244" i="3" s="1"/>
  <c r="Q244" i="3"/>
  <c r="R262" i="3"/>
  <c r="S262" i="3" s="1"/>
  <c r="Q262" i="3"/>
  <c r="R282" i="3"/>
  <c r="Q282" i="3"/>
  <c r="S282" i="3" s="1"/>
  <c r="Q303" i="3"/>
  <c r="S303" i="3" s="1"/>
  <c r="R303" i="3"/>
  <c r="S19" i="3"/>
  <c r="R19" i="3"/>
  <c r="Q19" i="3"/>
  <c r="R39" i="3"/>
  <c r="S39" i="3" s="1"/>
  <c r="Q39" i="3"/>
  <c r="R10" i="3"/>
  <c r="Q10" i="3"/>
  <c r="S10" i="3" s="1"/>
  <c r="Q17" i="3"/>
  <c r="S17" i="3" s="1"/>
  <c r="R17" i="3"/>
  <c r="S25" i="3"/>
  <c r="Q25" i="3"/>
  <c r="R25" i="3"/>
  <c r="R35" i="3"/>
  <c r="S35" i="3" s="1"/>
  <c r="Q35" i="3"/>
  <c r="Q50" i="3"/>
  <c r="S50" i="3" s="1"/>
  <c r="R50" i="3"/>
  <c r="Q60" i="3"/>
  <c r="S60" i="3" s="1"/>
  <c r="R60" i="3"/>
  <c r="S79" i="3"/>
  <c r="R79" i="3"/>
  <c r="Q79" i="3"/>
  <c r="R92" i="3"/>
  <c r="S92" i="3" s="1"/>
  <c r="Q92" i="3"/>
  <c r="Q101" i="3"/>
  <c r="S101" i="3" s="1"/>
  <c r="R101" i="3"/>
  <c r="Q110" i="3"/>
  <c r="S110" i="3" s="1"/>
  <c r="R110" i="3"/>
  <c r="S122" i="3"/>
  <c r="Q122" i="3"/>
  <c r="R122" i="3"/>
  <c r="R139" i="3"/>
  <c r="S139" i="3" s="1"/>
  <c r="Q139" i="3"/>
  <c r="Q154" i="3"/>
  <c r="S154" i="3" s="1"/>
  <c r="R154" i="3"/>
  <c r="R159" i="3"/>
  <c r="Q159" i="3"/>
  <c r="S159" i="3" s="1"/>
  <c r="S168" i="3"/>
  <c r="R168" i="3"/>
  <c r="Q168" i="3"/>
  <c r="Q183" i="3"/>
  <c r="S183" i="3" s="1"/>
  <c r="R183" i="3"/>
  <c r="R198" i="3"/>
  <c r="Q198" i="3"/>
  <c r="S198" i="3" s="1"/>
  <c r="R204" i="3"/>
  <c r="Q204" i="3"/>
  <c r="S204" i="3" s="1"/>
  <c r="S218" i="3"/>
  <c r="R218" i="3"/>
  <c r="Q218" i="3"/>
  <c r="R228" i="3"/>
  <c r="Q228" i="3"/>
  <c r="S228" i="3" s="1"/>
  <c r="R237" i="3"/>
  <c r="Q237" i="3"/>
  <c r="S237" i="3" s="1"/>
  <c r="R257" i="3"/>
  <c r="Q257" i="3"/>
  <c r="S257" i="3" s="1"/>
  <c r="S272" i="3"/>
  <c r="R272" i="3"/>
  <c r="Q272" i="3"/>
  <c r="Q279" i="3"/>
  <c r="S279" i="3" s="1"/>
  <c r="R279" i="3"/>
  <c r="R4" i="3"/>
  <c r="Q4" i="3"/>
  <c r="S4" i="3" s="1"/>
  <c r="R8" i="3"/>
  <c r="Q8" i="3"/>
  <c r="S8" i="3" s="1"/>
  <c r="S16" i="3"/>
  <c r="Q16" i="3"/>
  <c r="R16" i="3"/>
  <c r="R24" i="3"/>
  <c r="S24" i="3" s="1"/>
  <c r="Q24" i="3"/>
  <c r="R31" i="3"/>
  <c r="Q31" i="3"/>
  <c r="S31" i="3" s="1"/>
  <c r="Q38" i="3"/>
  <c r="S38" i="3" s="1"/>
  <c r="R38" i="3"/>
  <c r="S44" i="3"/>
  <c r="R44" i="3"/>
  <c r="Q44" i="3"/>
  <c r="R48" i="3"/>
  <c r="S48" i="3" s="1"/>
  <c r="Q48" i="3"/>
  <c r="R56" i="3"/>
  <c r="Q56" i="3"/>
  <c r="S56" i="3" s="1"/>
  <c r="Q61" i="3"/>
  <c r="S61" i="3" s="1"/>
  <c r="R61" i="3"/>
  <c r="S67" i="3"/>
  <c r="R67" i="3"/>
  <c r="Q67" i="3"/>
  <c r="R71" i="3"/>
  <c r="S71" i="3" s="1"/>
  <c r="Q71" i="3"/>
  <c r="R75" i="3"/>
  <c r="Q75" i="3"/>
  <c r="S75" i="3" s="1"/>
  <c r="R81" i="3"/>
  <c r="Q81" i="3"/>
  <c r="S81" i="3" s="1"/>
  <c r="S86" i="3"/>
  <c r="Q86" i="3"/>
  <c r="R86" i="3"/>
  <c r="Q94" i="3"/>
  <c r="S94" i="3" s="1"/>
  <c r="R94" i="3"/>
  <c r="R99" i="3"/>
  <c r="Q99" i="3"/>
  <c r="S99" i="3" s="1"/>
  <c r="Q106" i="3"/>
  <c r="S106" i="3" s="1"/>
  <c r="R106" i="3"/>
  <c r="S113" i="3"/>
  <c r="Q113" i="3"/>
  <c r="R113" i="3"/>
  <c r="R119" i="3"/>
  <c r="S119" i="3" s="1"/>
  <c r="Q119" i="3"/>
  <c r="Q125" i="3"/>
  <c r="S125" i="3" s="1"/>
  <c r="R125" i="3"/>
  <c r="Q130" i="3"/>
  <c r="S130" i="3" s="1"/>
  <c r="R130" i="3"/>
  <c r="S136" i="3"/>
  <c r="R136" i="3"/>
  <c r="Q136" i="3"/>
  <c r="Q142" i="3"/>
  <c r="S142" i="3" s="1"/>
  <c r="R142" i="3"/>
  <c r="Q146" i="3"/>
  <c r="S146" i="3" s="1"/>
  <c r="R146" i="3"/>
  <c r="R151" i="3"/>
  <c r="Q151" i="3"/>
  <c r="S151" i="3" s="1"/>
  <c r="S161" i="3"/>
  <c r="Q161" i="3"/>
  <c r="R161" i="3"/>
  <c r="R169" i="3"/>
  <c r="S169" i="3" s="1"/>
  <c r="Q169" i="3"/>
  <c r="R173" i="3"/>
  <c r="Q173" i="3"/>
  <c r="S173" i="3" s="1"/>
  <c r="R178" i="3"/>
  <c r="Q178" i="3"/>
  <c r="S178" i="3" s="1"/>
  <c r="S186" i="3"/>
  <c r="R186" i="3"/>
  <c r="Q186" i="3"/>
  <c r="R192" i="3"/>
  <c r="S192" i="3" s="1"/>
  <c r="Q192" i="3"/>
  <c r="R196" i="3"/>
  <c r="Q196" i="3"/>
  <c r="S196" i="3"/>
  <c r="R205" i="3"/>
  <c r="Q205" i="3"/>
  <c r="S205" i="3" s="1"/>
  <c r="S210" i="3"/>
  <c r="R210" i="3"/>
  <c r="Q210" i="3"/>
  <c r="Q215" i="3"/>
  <c r="S215" i="3" s="1"/>
  <c r="R215" i="3"/>
  <c r="Q223" i="3"/>
  <c r="S223" i="3" s="1"/>
  <c r="R223" i="3"/>
  <c r="R229" i="3"/>
  <c r="Q229" i="3"/>
  <c r="S229" i="3" s="1"/>
  <c r="R236" i="3"/>
  <c r="Q236" i="3"/>
  <c r="S236" i="3" s="1"/>
  <c r="Q243" i="3"/>
  <c r="S243" i="3" s="1"/>
  <c r="R243" i="3"/>
  <c r="Q247" i="3"/>
  <c r="S247" i="3" s="1"/>
  <c r="R247" i="3"/>
  <c r="Q251" i="3"/>
  <c r="S251" i="3" s="1"/>
  <c r="R251" i="3"/>
  <c r="S256" i="3"/>
  <c r="R256" i="3"/>
  <c r="Q256" i="3"/>
  <c r="R261" i="3"/>
  <c r="S261" i="3" s="1"/>
  <c r="Q261" i="3"/>
  <c r="R265" i="3"/>
  <c r="Q265" i="3"/>
  <c r="S265" i="3" s="1"/>
  <c r="R273" i="3"/>
  <c r="Q273" i="3"/>
  <c r="S273" i="3" s="1"/>
  <c r="S281" i="3"/>
  <c r="R281" i="3"/>
  <c r="Q281" i="3"/>
  <c r="R285" i="3"/>
  <c r="S285" i="3" s="1"/>
  <c r="Q285" i="3"/>
  <c r="R290" i="3"/>
  <c r="Q290" i="3"/>
  <c r="S290" i="3" s="1"/>
  <c r="R294" i="3"/>
  <c r="Q294" i="3"/>
  <c r="S294" i="3" s="1"/>
  <c r="P298" i="3"/>
  <c r="S298" i="3" s="1"/>
  <c r="R302" i="3"/>
  <c r="Q302" i="3"/>
  <c r="S302" i="3" s="1"/>
  <c r="R306" i="3"/>
  <c r="Q306" i="3"/>
  <c r="S306" i="3" s="1"/>
  <c r="J29" i="7"/>
  <c r="I29" i="7"/>
  <c r="H29" i="7"/>
  <c r="J28" i="7"/>
  <c r="I28" i="7"/>
  <c r="H28" i="7"/>
  <c r="J27" i="7"/>
  <c r="I27" i="7"/>
  <c r="H27" i="7"/>
  <c r="J26" i="7"/>
  <c r="I26" i="7"/>
  <c r="H26" i="7"/>
  <c r="G29" i="7"/>
  <c r="F29" i="7"/>
  <c r="E29" i="7"/>
  <c r="G28" i="7"/>
  <c r="F28" i="7"/>
  <c r="E28" i="7"/>
  <c r="G27" i="7"/>
  <c r="F27" i="7"/>
  <c r="E27" i="7"/>
  <c r="G26" i="7"/>
  <c r="J30" i="7" l="1"/>
  <c r="I30" i="7"/>
  <c r="H30" i="7"/>
  <c r="D29" i="7"/>
  <c r="G52" i="7" s="1"/>
  <c r="C29" i="7"/>
  <c r="F52" i="7" s="1"/>
  <c r="B29" i="7"/>
  <c r="E52" i="7" s="1"/>
  <c r="D28" i="7"/>
  <c r="G51" i="7" s="1"/>
  <c r="C28" i="7"/>
  <c r="F51" i="7" s="1"/>
  <c r="B28" i="7"/>
  <c r="E51" i="7" s="1"/>
  <c r="D27" i="7"/>
  <c r="G50" i="7" s="1"/>
  <c r="C27" i="7"/>
  <c r="F50" i="7" s="1"/>
  <c r="B27" i="7"/>
  <c r="E50" i="7" s="1"/>
  <c r="H50" i="7" s="1"/>
  <c r="D26" i="7"/>
  <c r="G49" i="7" s="1"/>
  <c r="I18" i="7"/>
  <c r="H17" i="7"/>
  <c r="J20" i="7"/>
  <c r="I20" i="7"/>
  <c r="H20" i="7"/>
  <c r="J19" i="7"/>
  <c r="I19" i="7"/>
  <c r="H19" i="7"/>
  <c r="J18" i="7"/>
  <c r="H18" i="7"/>
  <c r="J17" i="7"/>
  <c r="I17" i="7"/>
  <c r="G20" i="7"/>
  <c r="F20" i="7"/>
  <c r="E20" i="7"/>
  <c r="G19" i="7"/>
  <c r="E19" i="7"/>
  <c r="G18" i="7"/>
  <c r="E18" i="7"/>
  <c r="G17" i="7"/>
  <c r="F17" i="7"/>
  <c r="F18" i="7"/>
  <c r="E17" i="7"/>
  <c r="D19" i="7"/>
  <c r="C19" i="7"/>
  <c r="D20" i="7"/>
  <c r="C20" i="7"/>
  <c r="B20" i="7"/>
  <c r="B19" i="7"/>
  <c r="D18" i="7"/>
  <c r="D17" i="7"/>
  <c r="C18" i="7"/>
  <c r="B18" i="7"/>
  <c r="C17" i="7"/>
  <c r="B17" i="7"/>
  <c r="J8" i="7"/>
  <c r="J9" i="7"/>
  <c r="I9" i="7"/>
  <c r="I10" i="7"/>
  <c r="J11" i="7"/>
  <c r="I11" i="7"/>
  <c r="H11" i="7"/>
  <c r="H10" i="7"/>
  <c r="H9" i="7"/>
  <c r="H8" i="7"/>
  <c r="G11" i="7"/>
  <c r="G9" i="7"/>
  <c r="F11" i="7"/>
  <c r="E11" i="7"/>
  <c r="I8" i="7"/>
  <c r="G8" i="7"/>
  <c r="F8" i="7"/>
  <c r="E8" i="7"/>
  <c r="D8" i="7"/>
  <c r="D11" i="7"/>
  <c r="D10" i="7"/>
  <c r="D9" i="7"/>
  <c r="C9" i="7"/>
  <c r="B9" i="7" l="1"/>
  <c r="H52" i="7"/>
  <c r="H51" i="7"/>
  <c r="G53" i="7"/>
  <c r="G44" i="7"/>
  <c r="E9" i="7"/>
  <c r="G43" i="7"/>
  <c r="G10" i="7"/>
  <c r="G12" i="7" s="1"/>
  <c r="G46" i="7"/>
  <c r="K29" i="7"/>
  <c r="K28" i="7"/>
  <c r="K27" i="7"/>
  <c r="K18" i="7"/>
  <c r="E10" i="7"/>
  <c r="F10" i="7"/>
  <c r="F9" i="7"/>
  <c r="J10" i="7"/>
  <c r="J12" i="7" s="1"/>
  <c r="K17" i="7"/>
  <c r="K20" i="7"/>
  <c r="K19" i="7"/>
  <c r="G30" i="7"/>
  <c r="I12" i="7"/>
  <c r="F21" i="7"/>
  <c r="D21" i="7"/>
  <c r="G21" i="7"/>
  <c r="D12" i="7"/>
  <c r="H21" i="7"/>
  <c r="B21" i="7"/>
  <c r="E21" i="7"/>
  <c r="H12" i="7"/>
  <c r="C21" i="7"/>
  <c r="J21" i="7"/>
  <c r="I21" i="7"/>
  <c r="D30" i="7"/>
  <c r="E44" i="7" l="1"/>
  <c r="E12" i="7"/>
  <c r="K9" i="7"/>
  <c r="G45" i="7"/>
  <c r="G55" i="7" s="1"/>
  <c r="F44" i="7"/>
  <c r="F12" i="7"/>
  <c r="K21" i="7"/>
  <c r="H44" i="7" l="1"/>
  <c r="L150" i="5" l="1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N159" i="5" l="1"/>
  <c r="H159" i="5" s="1"/>
  <c r="N155" i="5"/>
  <c r="H155" i="5" s="1"/>
  <c r="N157" i="5"/>
  <c r="H157" i="5" s="1"/>
  <c r="N153" i="5"/>
  <c r="H153" i="5" s="1"/>
  <c r="N152" i="5"/>
  <c r="H152" i="5" s="1"/>
  <c r="N158" i="5"/>
  <c r="H158" i="5" s="1"/>
  <c r="N151" i="5"/>
  <c r="H151" i="5" s="1"/>
  <c r="N150" i="5"/>
  <c r="H150" i="5" s="1"/>
  <c r="N156" i="5"/>
  <c r="H156" i="5" s="1"/>
  <c r="N154" i="5"/>
  <c r="H154" i="5" s="1"/>
  <c r="I165" i="5"/>
  <c r="L160" i="5"/>
  <c r="M160" i="5"/>
  <c r="L164" i="5"/>
  <c r="M164" i="5"/>
  <c r="N164" i="5" l="1"/>
  <c r="H164" i="5" s="1"/>
  <c r="M165" i="5"/>
  <c r="L165" i="5"/>
  <c r="N160" i="5"/>
  <c r="H160" i="5" s="1"/>
  <c r="L163" i="5"/>
  <c r="M163" i="5"/>
  <c r="L162" i="5"/>
  <c r="M162" i="5"/>
  <c r="L161" i="5"/>
  <c r="M161" i="5"/>
  <c r="L104" i="5"/>
  <c r="M104" i="5"/>
  <c r="N165" i="5" l="1"/>
  <c r="H165" i="5" s="1"/>
  <c r="N161" i="5"/>
  <c r="H161" i="5" s="1"/>
  <c r="N162" i="5"/>
  <c r="H162" i="5" s="1"/>
  <c r="N163" i="5"/>
  <c r="H163" i="5" s="1"/>
  <c r="N104" i="5"/>
  <c r="H104" i="5" s="1"/>
  <c r="M149" i="5" l="1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E26" i="7" l="1"/>
  <c r="E30" i="7" s="1"/>
  <c r="F26" i="7"/>
  <c r="F30" i="7" s="1"/>
  <c r="N107" i="5"/>
  <c r="H107" i="5" s="1"/>
  <c r="N109" i="5"/>
  <c r="H109" i="5" s="1"/>
  <c r="N111" i="5"/>
  <c r="H111" i="5" s="1"/>
  <c r="N113" i="5"/>
  <c r="H113" i="5" s="1"/>
  <c r="N115" i="5"/>
  <c r="H115" i="5" s="1"/>
  <c r="N117" i="5"/>
  <c r="H117" i="5" s="1"/>
  <c r="N119" i="5"/>
  <c r="H119" i="5" s="1"/>
  <c r="N121" i="5"/>
  <c r="H121" i="5" s="1"/>
  <c r="N123" i="5"/>
  <c r="H123" i="5" s="1"/>
  <c r="N125" i="5"/>
  <c r="H125" i="5" s="1"/>
  <c r="N127" i="5"/>
  <c r="H127" i="5" s="1"/>
  <c r="N129" i="5"/>
  <c r="H129" i="5" s="1"/>
  <c r="N131" i="5"/>
  <c r="H131" i="5" s="1"/>
  <c r="N133" i="5"/>
  <c r="H133" i="5" s="1"/>
  <c r="N135" i="5"/>
  <c r="H135" i="5" s="1"/>
  <c r="N137" i="5"/>
  <c r="H137" i="5" s="1"/>
  <c r="N139" i="5"/>
  <c r="H139" i="5" s="1"/>
  <c r="N141" i="5"/>
  <c r="H141" i="5" s="1"/>
  <c r="N143" i="5"/>
  <c r="H143" i="5" s="1"/>
  <c r="N145" i="5"/>
  <c r="H145" i="5" s="1"/>
  <c r="N147" i="5"/>
  <c r="H147" i="5" s="1"/>
  <c r="N149" i="5"/>
  <c r="H149" i="5" s="1"/>
  <c r="N106" i="5"/>
  <c r="H106" i="5" s="1"/>
  <c r="N108" i="5"/>
  <c r="H108" i="5" s="1"/>
  <c r="N110" i="5"/>
  <c r="H110" i="5" s="1"/>
  <c r="N112" i="5"/>
  <c r="H112" i="5" s="1"/>
  <c r="N114" i="5"/>
  <c r="H114" i="5" s="1"/>
  <c r="N116" i="5"/>
  <c r="H116" i="5" s="1"/>
  <c r="N118" i="5"/>
  <c r="H118" i="5" s="1"/>
  <c r="N120" i="5"/>
  <c r="H120" i="5" s="1"/>
  <c r="N122" i="5"/>
  <c r="H122" i="5" s="1"/>
  <c r="N124" i="5"/>
  <c r="H124" i="5" s="1"/>
  <c r="N126" i="5"/>
  <c r="H126" i="5" s="1"/>
  <c r="N128" i="5"/>
  <c r="H128" i="5" s="1"/>
  <c r="N130" i="5"/>
  <c r="H130" i="5" s="1"/>
  <c r="N132" i="5"/>
  <c r="H132" i="5" s="1"/>
  <c r="N134" i="5"/>
  <c r="H134" i="5" s="1"/>
  <c r="N136" i="5"/>
  <c r="H136" i="5" s="1"/>
  <c r="N138" i="5"/>
  <c r="H138" i="5" s="1"/>
  <c r="N140" i="5"/>
  <c r="H140" i="5" s="1"/>
  <c r="N142" i="5"/>
  <c r="H142" i="5" s="1"/>
  <c r="N144" i="5"/>
  <c r="H144" i="5" s="1"/>
  <c r="N146" i="5"/>
  <c r="H146" i="5" s="1"/>
  <c r="N148" i="5"/>
  <c r="H148" i="5" s="1"/>
  <c r="N105" i="5"/>
  <c r="H105" i="5" s="1"/>
  <c r="L4" i="5" l="1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3" i="5"/>
  <c r="M3" i="5"/>
  <c r="M2" i="5"/>
  <c r="L2" i="5"/>
  <c r="B26" i="7" l="1"/>
  <c r="E49" i="7" s="1"/>
  <c r="C26" i="7"/>
  <c r="F49" i="7" s="1"/>
  <c r="F53" i="7" s="1"/>
  <c r="N65" i="5"/>
  <c r="H65" i="5" s="1"/>
  <c r="N78" i="5"/>
  <c r="H78" i="5" s="1"/>
  <c r="N70" i="5"/>
  <c r="H70" i="5" s="1"/>
  <c r="N66" i="5"/>
  <c r="H66" i="5" s="1"/>
  <c r="N81" i="5"/>
  <c r="H81" i="5" s="1"/>
  <c r="N69" i="5"/>
  <c r="H69" i="5" s="1"/>
  <c r="N62" i="5"/>
  <c r="H62" i="5" s="1"/>
  <c r="N54" i="5"/>
  <c r="H54" i="5" s="1"/>
  <c r="N50" i="5"/>
  <c r="H50" i="5" s="1"/>
  <c r="N14" i="5"/>
  <c r="H14" i="5" s="1"/>
  <c r="N10" i="5"/>
  <c r="H10" i="5" s="1"/>
  <c r="N53" i="5"/>
  <c r="H53" i="5" s="1"/>
  <c r="N17" i="5"/>
  <c r="H17" i="5" s="1"/>
  <c r="N44" i="5"/>
  <c r="H44" i="5" s="1"/>
  <c r="N28" i="5"/>
  <c r="H28" i="5" s="1"/>
  <c r="N92" i="5"/>
  <c r="H92" i="5" s="1"/>
  <c r="N49" i="5"/>
  <c r="H49" i="5" s="1"/>
  <c r="N47" i="5"/>
  <c r="H47" i="5" s="1"/>
  <c r="N45" i="5"/>
  <c r="H45" i="5" s="1"/>
  <c r="N43" i="5"/>
  <c r="H43" i="5" s="1"/>
  <c r="N41" i="5"/>
  <c r="H41" i="5" s="1"/>
  <c r="N39" i="5"/>
  <c r="H39" i="5" s="1"/>
  <c r="N33" i="5"/>
  <c r="H33" i="5" s="1"/>
  <c r="N31" i="5"/>
  <c r="H31" i="5" s="1"/>
  <c r="N29" i="5"/>
  <c r="H29" i="5" s="1"/>
  <c r="N27" i="5"/>
  <c r="H27" i="5" s="1"/>
  <c r="N25" i="5"/>
  <c r="H25" i="5" s="1"/>
  <c r="N23" i="5"/>
  <c r="H23" i="5" s="1"/>
  <c r="N101" i="5"/>
  <c r="H101" i="5" s="1"/>
  <c r="N99" i="5"/>
  <c r="H99" i="5" s="1"/>
  <c r="N95" i="5"/>
  <c r="H95" i="5" s="1"/>
  <c r="N93" i="5"/>
  <c r="H93" i="5" s="1"/>
  <c r="N91" i="5"/>
  <c r="H91" i="5" s="1"/>
  <c r="N89" i="5"/>
  <c r="H89" i="5" s="1"/>
  <c r="N87" i="5"/>
  <c r="H87" i="5" s="1"/>
  <c r="N85" i="5"/>
  <c r="H85" i="5" s="1"/>
  <c r="N60" i="5"/>
  <c r="H60" i="5" s="1"/>
  <c r="N2" i="5"/>
  <c r="H2" i="5" s="1"/>
  <c r="N98" i="5"/>
  <c r="H98" i="5" s="1"/>
  <c r="N94" i="5"/>
  <c r="H94" i="5" s="1"/>
  <c r="N86" i="5"/>
  <c r="H86" i="5" s="1"/>
  <c r="N82" i="5"/>
  <c r="H82" i="5" s="1"/>
  <c r="N76" i="5"/>
  <c r="H76" i="5" s="1"/>
  <c r="N63" i="5"/>
  <c r="H63" i="5" s="1"/>
  <c r="N61" i="5"/>
  <c r="H61" i="5" s="1"/>
  <c r="N59" i="5"/>
  <c r="H59" i="5" s="1"/>
  <c r="N57" i="5"/>
  <c r="H57" i="5" s="1"/>
  <c r="N55" i="5"/>
  <c r="H55" i="5" s="1"/>
  <c r="N37" i="5"/>
  <c r="H37" i="5" s="1"/>
  <c r="N30" i="5"/>
  <c r="H30" i="5" s="1"/>
  <c r="N22" i="5"/>
  <c r="H22" i="5" s="1"/>
  <c r="N18" i="5"/>
  <c r="H18" i="5" s="1"/>
  <c r="N8" i="5"/>
  <c r="H8" i="5" s="1"/>
  <c r="N21" i="5"/>
  <c r="H21" i="5" s="1"/>
  <c r="N102" i="5"/>
  <c r="H102" i="5" s="1"/>
  <c r="N79" i="5"/>
  <c r="H79" i="5" s="1"/>
  <c r="N77" i="5"/>
  <c r="H77" i="5" s="1"/>
  <c r="N75" i="5"/>
  <c r="H75" i="5" s="1"/>
  <c r="N73" i="5"/>
  <c r="H73" i="5" s="1"/>
  <c r="N71" i="5"/>
  <c r="H71" i="5" s="1"/>
  <c r="N46" i="5"/>
  <c r="H46" i="5" s="1"/>
  <c r="N38" i="5"/>
  <c r="H38" i="5" s="1"/>
  <c r="N34" i="5"/>
  <c r="H34" i="5" s="1"/>
  <c r="N15" i="5"/>
  <c r="H15" i="5" s="1"/>
  <c r="N11" i="5"/>
  <c r="H11" i="5" s="1"/>
  <c r="N9" i="5"/>
  <c r="H9" i="5" s="1"/>
  <c r="N7" i="5"/>
  <c r="H7" i="5" s="1"/>
  <c r="N5" i="5"/>
  <c r="H5" i="5" s="1"/>
  <c r="N100" i="5"/>
  <c r="H100" i="5" s="1"/>
  <c r="N80" i="5"/>
  <c r="H80" i="5" s="1"/>
  <c r="N48" i="5"/>
  <c r="H48" i="5" s="1"/>
  <c r="N32" i="5"/>
  <c r="H32" i="5" s="1"/>
  <c r="N16" i="5"/>
  <c r="H16" i="5" s="1"/>
  <c r="N68" i="5"/>
  <c r="H68" i="5" s="1"/>
  <c r="N103" i="5"/>
  <c r="H103" i="5" s="1"/>
  <c r="N90" i="5"/>
  <c r="H90" i="5" s="1"/>
  <c r="N88" i="5"/>
  <c r="H88" i="5" s="1"/>
  <c r="N83" i="5"/>
  <c r="H83" i="5" s="1"/>
  <c r="N74" i="5"/>
  <c r="H74" i="5" s="1"/>
  <c r="N72" i="5"/>
  <c r="H72" i="5" s="1"/>
  <c r="N67" i="5"/>
  <c r="H67" i="5" s="1"/>
  <c r="N58" i="5"/>
  <c r="H58" i="5" s="1"/>
  <c r="N56" i="5"/>
  <c r="H56" i="5" s="1"/>
  <c r="N51" i="5"/>
  <c r="H51" i="5" s="1"/>
  <c r="N42" i="5"/>
  <c r="H42" i="5" s="1"/>
  <c r="N40" i="5"/>
  <c r="H40" i="5" s="1"/>
  <c r="N35" i="5"/>
  <c r="H35" i="5" s="1"/>
  <c r="N26" i="5"/>
  <c r="H26" i="5" s="1"/>
  <c r="N24" i="5"/>
  <c r="H24" i="5" s="1"/>
  <c r="N19" i="5"/>
  <c r="H19" i="5" s="1"/>
  <c r="N6" i="5"/>
  <c r="H6" i="5" s="1"/>
  <c r="N4" i="5"/>
  <c r="H4" i="5" s="1"/>
  <c r="N96" i="5"/>
  <c r="H96" i="5" s="1"/>
  <c r="N64" i="5"/>
  <c r="H64" i="5" s="1"/>
  <c r="N3" i="5"/>
  <c r="H3" i="5" s="1"/>
  <c r="N84" i="5"/>
  <c r="H84" i="5" s="1"/>
  <c r="N52" i="5"/>
  <c r="H52" i="5" s="1"/>
  <c r="N36" i="5"/>
  <c r="H36" i="5" s="1"/>
  <c r="N20" i="5"/>
  <c r="H20" i="5" s="1"/>
  <c r="N97" i="5"/>
  <c r="B30" i="7" l="1"/>
  <c r="E53" i="7"/>
  <c r="H49" i="7"/>
  <c r="C30" i="7"/>
  <c r="K26" i="7"/>
  <c r="H97" i="5"/>
  <c r="K30" i="7" l="1"/>
  <c r="B8" i="7" l="1"/>
  <c r="E43" i="7" s="1"/>
  <c r="C11" i="7" l="1"/>
  <c r="F46" i="7" s="1"/>
  <c r="C10" i="7"/>
  <c r="F45" i="7" s="1"/>
  <c r="F48" i="7" s="1"/>
  <c r="B10" i="7"/>
  <c r="E45" i="7" s="1"/>
  <c r="B11" i="7"/>
  <c r="E46" i="7" s="1"/>
  <c r="C8" i="7"/>
  <c r="F43" i="7" s="1"/>
  <c r="H43" i="7" s="1"/>
  <c r="H46" i="7" l="1"/>
  <c r="E55" i="7"/>
  <c r="H45" i="7"/>
  <c r="F55" i="7"/>
  <c r="K8" i="7"/>
  <c r="K11" i="7"/>
  <c r="K10" i="7"/>
  <c r="C12" i="7"/>
  <c r="B12" i="7"/>
  <c r="K12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Being Diesel Escalation - 1 Lts
</t>
        </r>
      </text>
    </comment>
    <comment ref="I1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Being Diesel Escalation -1 Ltr
</t>
        </r>
      </text>
    </comment>
  </commentList>
</comments>
</file>

<file path=xl/sharedStrings.xml><?xml version="1.0" encoding="utf-8"?>
<sst xmlns="http://schemas.openxmlformats.org/spreadsheetml/2006/main" count="2855" uniqueCount="477">
  <si>
    <t>S.No</t>
  </si>
  <si>
    <t>Date</t>
  </si>
  <si>
    <t>Invoice No</t>
  </si>
  <si>
    <t>GSTIN No</t>
  </si>
  <si>
    <t xml:space="preserve">Name Of the Client </t>
  </si>
  <si>
    <t>HSN Code</t>
  </si>
  <si>
    <t>Taxable Value</t>
  </si>
  <si>
    <t>Tax Rate</t>
  </si>
  <si>
    <t>IGST</t>
  </si>
  <si>
    <t>SGST</t>
  </si>
  <si>
    <t>CGST</t>
  </si>
  <si>
    <t>Total Purchase</t>
  </si>
  <si>
    <t>33BFUPR7649N1ZA</t>
  </si>
  <si>
    <t>New Ajmeera Tools Centre</t>
  </si>
  <si>
    <t>JIN2001BA1804406</t>
  </si>
  <si>
    <t>33AAECK3373P1Z6</t>
  </si>
  <si>
    <t>Kun Commercial Vehicles Private limited</t>
  </si>
  <si>
    <t>JIN2001BA1804411</t>
  </si>
  <si>
    <t>Byzero Technologies</t>
  </si>
  <si>
    <t>33AANFB5164F1ZK</t>
  </si>
  <si>
    <t>33AJCPK8658F1Z5</t>
  </si>
  <si>
    <t>R.K.Hydraulics</t>
  </si>
  <si>
    <t>33BMAPP8219D1ZA</t>
  </si>
  <si>
    <t>Prabhu Enterprises</t>
  </si>
  <si>
    <t>Sundaram Hydro Care</t>
  </si>
  <si>
    <t>A.N.S Electricals</t>
  </si>
  <si>
    <t>JIN2001BA1804335</t>
  </si>
  <si>
    <t>33BBKPA3527N1ZO</t>
  </si>
  <si>
    <t>Ok Enterprises</t>
  </si>
  <si>
    <t>NU-Tech Bearings</t>
  </si>
  <si>
    <t>33AGOPM5598B1Z5</t>
  </si>
  <si>
    <t>Venkateswara Steel Traders</t>
  </si>
  <si>
    <t>33BZIPS2559A1ZG</t>
  </si>
  <si>
    <t>The Oriental Insurance company ltd</t>
  </si>
  <si>
    <t>33AAACT0627R3Z4</t>
  </si>
  <si>
    <t>33CXBPS8705E1ZI</t>
  </si>
  <si>
    <t>Labours Sales &amp; service</t>
  </si>
  <si>
    <t>2-017</t>
  </si>
  <si>
    <t>Sri Vinayaga Engineering Works</t>
  </si>
  <si>
    <t>LI/19259</t>
  </si>
  <si>
    <t>33AABFB6086G1ZN</t>
  </si>
  <si>
    <t>Bangalore Auto Diesel Works</t>
  </si>
  <si>
    <t>WI/15703</t>
  </si>
  <si>
    <t>JIN2001BA1804375</t>
  </si>
  <si>
    <t>ACCPI/P/18001104</t>
  </si>
  <si>
    <t>33AAACP1904F1Z1</t>
  </si>
  <si>
    <t>Advanced Construction Technologies</t>
  </si>
  <si>
    <t>ACCPI/P/18001103</t>
  </si>
  <si>
    <t>ACCPI/P/18001100</t>
  </si>
  <si>
    <t>ACVPI/P/18001118</t>
  </si>
  <si>
    <t>ACCPI/P/18001102</t>
  </si>
  <si>
    <t>ACCPI/P/18001099</t>
  </si>
  <si>
    <t>33BLMPS3804E1Z6</t>
  </si>
  <si>
    <t>Sri Balaji Transport</t>
  </si>
  <si>
    <t>0818/18-19</t>
  </si>
  <si>
    <t>Power flow Hydraulics</t>
  </si>
  <si>
    <t>JIN2001BA1804425</t>
  </si>
  <si>
    <t>JIN2001BA1804455</t>
  </si>
  <si>
    <t>FBBL3319B55246</t>
  </si>
  <si>
    <t>33AAACB2894G1ZU</t>
  </si>
  <si>
    <t>Airtel</t>
  </si>
  <si>
    <t>FBBL3319B55247</t>
  </si>
  <si>
    <t>BY0-0024</t>
  </si>
  <si>
    <t>-</t>
  </si>
  <si>
    <t>JIN2001BA1804460</t>
  </si>
  <si>
    <t>JIN2001BA1804457</t>
  </si>
  <si>
    <t>A.R.Enterprises</t>
  </si>
  <si>
    <t>GST-320/18-19</t>
  </si>
  <si>
    <t>33AADFF6005F1Z0</t>
  </si>
  <si>
    <t>Firewater Corporation</t>
  </si>
  <si>
    <t>BOS/0519/2019</t>
  </si>
  <si>
    <t>Baskar Oil Stores</t>
  </si>
  <si>
    <t>BOS/0523/2019</t>
  </si>
  <si>
    <t>Royal Motors</t>
  </si>
  <si>
    <t>Total Sales</t>
  </si>
  <si>
    <t>AA/18-19/1176</t>
  </si>
  <si>
    <t>AA/18-19/1177</t>
  </si>
  <si>
    <t>AA/18-19/1178</t>
  </si>
  <si>
    <t>AA/18-19/1179</t>
  </si>
  <si>
    <t>AA/18-19/1180</t>
  </si>
  <si>
    <t>AA/18-19/1181</t>
  </si>
  <si>
    <t>AA/18-19/1182</t>
  </si>
  <si>
    <t>AA/18-19/1183</t>
  </si>
  <si>
    <t>AA/18-19/1184</t>
  </si>
  <si>
    <t>AA/18-19/1185</t>
  </si>
  <si>
    <t>AA/18-19/1186</t>
  </si>
  <si>
    <t>AA/18-19/1187</t>
  </si>
  <si>
    <t>AA/18-19/1188</t>
  </si>
  <si>
    <t>AA/18-19/1189</t>
  </si>
  <si>
    <t>AA/18-19/1190</t>
  </si>
  <si>
    <t>AA/18-19/1191</t>
  </si>
  <si>
    <t>AA/18-19/1192</t>
  </si>
  <si>
    <t>AA/18-19/1193</t>
  </si>
  <si>
    <t>AA/18-19/1194</t>
  </si>
  <si>
    <t>AA/18-19/1195</t>
  </si>
  <si>
    <t>AA/18-19/1196</t>
  </si>
  <si>
    <t>AA/18-19/1197</t>
  </si>
  <si>
    <t>AA/18-19/1198</t>
  </si>
  <si>
    <t>AA/18-19/1199</t>
  </si>
  <si>
    <t>AA/18-19/1200</t>
  </si>
  <si>
    <t>AA/18-19/1201</t>
  </si>
  <si>
    <t>AA/18-19/1202</t>
  </si>
  <si>
    <t>AA/18-19/1203</t>
  </si>
  <si>
    <t>AA/18-19/1204</t>
  </si>
  <si>
    <t>AA/18-19/1205</t>
  </si>
  <si>
    <t>AA/18-19/1206</t>
  </si>
  <si>
    <t>AA/18-19/1207</t>
  </si>
  <si>
    <t>AA/18-19/1208</t>
  </si>
  <si>
    <t>AA/18-19/1209</t>
  </si>
  <si>
    <t>AA/18-19/1210</t>
  </si>
  <si>
    <t>AA/18-19/1211</t>
  </si>
  <si>
    <t>AA/18-19/1212</t>
  </si>
  <si>
    <t>AA/18-19/1213</t>
  </si>
  <si>
    <t>AA/18-19/1214</t>
  </si>
  <si>
    <t>AA/18-19/1215</t>
  </si>
  <si>
    <t>AA/18-19/1216</t>
  </si>
  <si>
    <t>AA/18-19/1217</t>
  </si>
  <si>
    <t>AA/18-19/1218</t>
  </si>
  <si>
    <t>AA/18-19/1219</t>
  </si>
  <si>
    <t>AA/18-19/1220</t>
  </si>
  <si>
    <t>AA/18-19/1221</t>
  </si>
  <si>
    <t>AA/18-19/1222</t>
  </si>
  <si>
    <t>AA/18-19/1223</t>
  </si>
  <si>
    <t>AA/18-19/1224</t>
  </si>
  <si>
    <t>AA/18-19/1225</t>
  </si>
  <si>
    <t>AA/18-19/1226</t>
  </si>
  <si>
    <t>AA/18-19/1227</t>
  </si>
  <si>
    <t>AA/18-19/1228</t>
  </si>
  <si>
    <t>AA/18-19/1229</t>
  </si>
  <si>
    <t>AA/18-19/1230</t>
  </si>
  <si>
    <t>AA/18-19/1231</t>
  </si>
  <si>
    <t>AA/18-19/1232</t>
  </si>
  <si>
    <t>AA/18-19/1233</t>
  </si>
  <si>
    <t>AA/18-19/1234</t>
  </si>
  <si>
    <t>AA/18-19/1235</t>
  </si>
  <si>
    <t>AA/18-19/1236</t>
  </si>
  <si>
    <t>AA/18-19/1237</t>
  </si>
  <si>
    <t>AA/18-19/1238</t>
  </si>
  <si>
    <t>AA/18-19/1239</t>
  </si>
  <si>
    <t>AA/18-19/1240</t>
  </si>
  <si>
    <t>AA/18-19/1241</t>
  </si>
  <si>
    <t>AA/18-19/1242</t>
  </si>
  <si>
    <t>AA/18-19/1243</t>
  </si>
  <si>
    <t>AA/18-19/1244</t>
  </si>
  <si>
    <t>AA/18-19/1245</t>
  </si>
  <si>
    <t>AA/18-19/1246</t>
  </si>
  <si>
    <t>AA/18-19/1247</t>
  </si>
  <si>
    <t>AA/18-19/1248</t>
  </si>
  <si>
    <t>AA/18-19/1249</t>
  </si>
  <si>
    <t>AA/18-19/1250</t>
  </si>
  <si>
    <t>AA/18-19/1251</t>
  </si>
  <si>
    <t>AA/18-19/1252</t>
  </si>
  <si>
    <t>AA/18-19/1253</t>
  </si>
  <si>
    <t>AA/18-19/1254</t>
  </si>
  <si>
    <t>AA/18-19/1255</t>
  </si>
  <si>
    <t>AA/18-19/1256</t>
  </si>
  <si>
    <t>AA/18-19/1257</t>
  </si>
  <si>
    <t>AA/18-19/1258</t>
  </si>
  <si>
    <t>AA/18-19/1259</t>
  </si>
  <si>
    <t>AA/18-19/1260</t>
  </si>
  <si>
    <t>AA/18-19/1261</t>
  </si>
  <si>
    <t>AA/18-19/1262</t>
  </si>
  <si>
    <t>AA/18-19/1263</t>
  </si>
  <si>
    <t>AA/18-19/1264</t>
  </si>
  <si>
    <t>AA/18-19/1265</t>
  </si>
  <si>
    <t>AA/18-19/1266</t>
  </si>
  <si>
    <t>AA/18-19/1267</t>
  </si>
  <si>
    <t>AA/18-19/1268</t>
  </si>
  <si>
    <t>AA/18-19/1269</t>
  </si>
  <si>
    <t>AA/18-19/1270</t>
  </si>
  <si>
    <t>AA/18-19/1271</t>
  </si>
  <si>
    <t>AA/18-19/1272</t>
  </si>
  <si>
    <t>AA/18-19/1273</t>
  </si>
  <si>
    <t>AA/18-19/1274</t>
  </si>
  <si>
    <t>AA/18-19/1275</t>
  </si>
  <si>
    <t>AA/18-19/1276</t>
  </si>
  <si>
    <t>AA/18-19/1277</t>
  </si>
  <si>
    <t>33AAUPL4296M1ZW</t>
  </si>
  <si>
    <t>33AAECR2808N1Z9</t>
  </si>
  <si>
    <t>33AAGFP2483E1ZF</t>
  </si>
  <si>
    <t>33AAJPM4836H1ZN</t>
  </si>
  <si>
    <t>33BAMPS8198G1Z0</t>
  </si>
  <si>
    <t>33AAACL0140P5ZM</t>
  </si>
  <si>
    <t>33AABFP9618C1ZH</t>
  </si>
  <si>
    <t>33ABMFS7348J1ZN</t>
  </si>
  <si>
    <t>33AABCP2483L1ZB</t>
  </si>
  <si>
    <t>33AACCB8705G1ZY</t>
  </si>
  <si>
    <t>33AAFCB1152J1Z1</t>
  </si>
  <si>
    <t>33ACJFS0069G1Z7</t>
  </si>
  <si>
    <t>33AAAFS8779A1Z7</t>
  </si>
  <si>
    <t>33AAECG1679G1ZO</t>
  </si>
  <si>
    <t>33AAACL6442L1ZH</t>
  </si>
  <si>
    <t>33ATNPR2232H1ZP</t>
  </si>
  <si>
    <t>33AMNPM4507H1Z2</t>
  </si>
  <si>
    <t>33AHCPA7167M1ZB</t>
  </si>
  <si>
    <t>33AOBPA7813A1ZT</t>
  </si>
  <si>
    <t>33AAMPM9906F1ZJ</t>
  </si>
  <si>
    <t>33AAGFK9774M1ZN</t>
  </si>
  <si>
    <t>33AAEFJ0465G1ZP</t>
  </si>
  <si>
    <t>33BMMPD5601B1ZQ</t>
  </si>
  <si>
    <t>33AABPV6644C1ZU</t>
  </si>
  <si>
    <t>33AAACU0108Q1ZF</t>
  </si>
  <si>
    <t>33AJFPA7536H3ZF</t>
  </si>
  <si>
    <t>Lakshmanan - GST - 33AAUPL4296M1ZW</t>
  </si>
  <si>
    <t>Ramalingam Construction - 33AAECR2808N1Z9</t>
  </si>
  <si>
    <t>PSK Engineering Construction &amp; Co -33AAGFP2483E1ZF</t>
  </si>
  <si>
    <t>Periyasamy Moorthy-GST:33AAJPM4836H1ZN-Navalpur</t>
  </si>
  <si>
    <t>Sivaji Constructions - GST- 33BAMPS8198G1Z0</t>
  </si>
  <si>
    <t>L &amp;T - GST - 33AAACL0140P5ZM - LIC -UG -02</t>
  </si>
  <si>
    <t>M/s PST Engineering Construction</t>
  </si>
  <si>
    <t>Sri Sivaram &amp; Co - GST - 33ABMFS7348J1ZN</t>
  </si>
  <si>
    <t>P&amp;C Project Pvt Ltd (Mogapair Site)-33AABCP2483L1ZB</t>
  </si>
  <si>
    <t>Bharat Engineering Construction Company Pvt Ltd</t>
  </si>
  <si>
    <t>Larsen &amp; Toubro Ltd - GST - 33AAACL0140P5ZM - HQ</t>
  </si>
  <si>
    <t>BNR Infrastructure Project Pvt Ltd -33AAFCB1152J1Z1</t>
  </si>
  <si>
    <t>SRK Associates - GST - 33ACJFS0069G1Z7</t>
  </si>
  <si>
    <t>Selvakumar Brick Works - GST - 33AAAFS8779A1Z7</t>
  </si>
  <si>
    <t>GMS Elegant Builders Pvt Ltd - 33AAECG1679G1ZO</t>
  </si>
  <si>
    <t>Ultratech Cement Ltd - GST -33AAACL6442L1ZH</t>
  </si>
  <si>
    <t>N.Ravichandran</t>
  </si>
  <si>
    <t>Sri Ganapathi Suppliers - GST -33AMNPM4507H1Z2</t>
  </si>
  <si>
    <t>Khadar Abdulla - GST - 33AHCPA7167M1ZB</t>
  </si>
  <si>
    <t>Ashok.S - GST - 33AOBPA7813A1ZT</t>
  </si>
  <si>
    <t>Manimozhi.P</t>
  </si>
  <si>
    <t>KRMS Construction-Namakkal</t>
  </si>
  <si>
    <t>JKC Construction -GST - 33AAEFJ0465G1ZP</t>
  </si>
  <si>
    <t>Durai Kumar.P (Pichandi &amp; Sons) - 33BMMPD5601B1ZQ</t>
  </si>
  <si>
    <t>V.K.R.Venkatesan Hi-Tech Rice Mill</t>
  </si>
  <si>
    <t>RDC Concrete (India) Pvt Ltd - GST- 33AAACU0108Q1ZF</t>
  </si>
  <si>
    <t>Naafa Building Company</t>
  </si>
  <si>
    <t>LCR2484180000278</t>
  </si>
  <si>
    <t>PCR2484180000198</t>
  </si>
  <si>
    <t>LCS2484180000952</t>
  </si>
  <si>
    <t>PCS2484180000703</t>
  </si>
  <si>
    <t>BOS/0566/2019</t>
  </si>
  <si>
    <t>33AMIPG9393E1ZX</t>
  </si>
  <si>
    <t>33AAMPA7645P1ZA</t>
  </si>
  <si>
    <t>M/S, Salman Agencies</t>
  </si>
  <si>
    <t>GST-335/18-19</t>
  </si>
  <si>
    <t>BOS/0570/2019</t>
  </si>
  <si>
    <t>33AAACW6244K1Z8</t>
  </si>
  <si>
    <t>Wasser Chemicals &amp; Systems Pvt.Ltd.</t>
  </si>
  <si>
    <t>JIN2001BA1804663</t>
  </si>
  <si>
    <t>SP1001803327</t>
  </si>
  <si>
    <t>33AAFCP2742L1ZD</t>
  </si>
  <si>
    <t>Propel Industries Private Limited</t>
  </si>
  <si>
    <t>ACCPI/P/18001150</t>
  </si>
  <si>
    <t>ACCPI/P/18001149</t>
  </si>
  <si>
    <t>ACCPI/P/18001148</t>
  </si>
  <si>
    <t>JIN2001BA1804695</t>
  </si>
  <si>
    <t>LCS2484180000906</t>
  </si>
  <si>
    <t>PCS2484180000663</t>
  </si>
  <si>
    <t>LCS2484180000909</t>
  </si>
  <si>
    <t>PCS2484180000666</t>
  </si>
  <si>
    <t>BOS/0518/2019</t>
  </si>
  <si>
    <t>BOS/0517/2019</t>
  </si>
  <si>
    <t>LCS2484180000927</t>
  </si>
  <si>
    <t>PCS2484180000679</t>
  </si>
  <si>
    <t>LCS2484180000929</t>
  </si>
  <si>
    <t>PCS2484180000681</t>
  </si>
  <si>
    <t>18-19 1998</t>
  </si>
  <si>
    <t>Sri Sapthagiri Conveyors</t>
  </si>
  <si>
    <t>33AFCPG1797B1ZW</t>
  </si>
  <si>
    <t>LCR2484180000275</t>
  </si>
  <si>
    <t>PCR2484180000196</t>
  </si>
  <si>
    <t>UNREGISTERED DEALER</t>
  </si>
  <si>
    <t>AA/CS/18-19/356</t>
  </si>
  <si>
    <t>AA/CS/18-19/357</t>
  </si>
  <si>
    <t>AA/CS/18-19/358</t>
  </si>
  <si>
    <t>AA/CS/18-19/359</t>
  </si>
  <si>
    <t>AA/CS/18-19/360</t>
  </si>
  <si>
    <t>AA/CS/18-19/361</t>
  </si>
  <si>
    <t>AA/CS/18-19/362</t>
  </si>
  <si>
    <t>AA/CS/18-19/363</t>
  </si>
  <si>
    <t>AA/CS/18-19/364</t>
  </si>
  <si>
    <t>AA/CS/18-19/365</t>
  </si>
  <si>
    <t>AA/CS/18-19/366</t>
  </si>
  <si>
    <t>AA/CS/18-19/367</t>
  </si>
  <si>
    <t>AA/CS/18-19/368</t>
  </si>
  <si>
    <t>AA/CS/18-19/369</t>
  </si>
  <si>
    <t>AA/CS/18-19/370</t>
  </si>
  <si>
    <t>AA/CS/18-19/371</t>
  </si>
  <si>
    <t>AA/CS/18-19/372</t>
  </si>
  <si>
    <t>AA/CS/18-19/373</t>
  </si>
  <si>
    <t>AA/CS/18-19/374</t>
  </si>
  <si>
    <t>AA/CS/18-19/375</t>
  </si>
  <si>
    <t>AA/CS/18-19/376</t>
  </si>
  <si>
    <t>AA/CS/18-19/377</t>
  </si>
  <si>
    <t>AA/CS/18-19/378</t>
  </si>
  <si>
    <t>AA/CS/18-19/379</t>
  </si>
  <si>
    <t>AA/CS/18-19/380</t>
  </si>
  <si>
    <t>AA/CS/18-19/381</t>
  </si>
  <si>
    <t>AA/CS/18-19/382</t>
  </si>
  <si>
    <t>AA/CS/18-19/383</t>
  </si>
  <si>
    <t>AA/CS/18-19/384</t>
  </si>
  <si>
    <t>AA/CS/18-19/385</t>
  </si>
  <si>
    <t>AA/CS/18-19/386</t>
  </si>
  <si>
    <t>AA/CS/18-19/387</t>
  </si>
  <si>
    <t>AA/CS/18-19/388</t>
  </si>
  <si>
    <t>AA/CS/18-19/389</t>
  </si>
  <si>
    <t>AA/CS/18-19/390</t>
  </si>
  <si>
    <t>AA/CS/18-19/391</t>
  </si>
  <si>
    <t>AA/CS/18-19/392</t>
  </si>
  <si>
    <t>AA/CS/18-19/393</t>
  </si>
  <si>
    <t>AA/CS/18-19/394</t>
  </si>
  <si>
    <t>AA/CS/18-19/395</t>
  </si>
  <si>
    <t>AA/CS/18-19/396</t>
  </si>
  <si>
    <t>AA/CS/18-19/397</t>
  </si>
  <si>
    <t>AA/CS/18-19/398</t>
  </si>
  <si>
    <t>AA/CS/18-19/399</t>
  </si>
  <si>
    <t>AA/CS/18-19/400</t>
  </si>
  <si>
    <t>33AAXPP4264C1ZI</t>
  </si>
  <si>
    <t>33AEKPP9627A1ZI</t>
  </si>
  <si>
    <t>33AAEFN6417E1ZL</t>
  </si>
  <si>
    <t>33AHNPP4681J1ZU</t>
  </si>
  <si>
    <t>33AJRPG5912D2ZE</t>
  </si>
  <si>
    <t>33ACQFS4996K1Z7</t>
  </si>
  <si>
    <t>33ACGFS2018E1ZL</t>
  </si>
  <si>
    <t>33AENPD6818A1ZW</t>
  </si>
  <si>
    <t>33CQSPK7457D1ZI</t>
  </si>
  <si>
    <t>02/11/18-19</t>
  </si>
  <si>
    <t>33ATBPM4301L2ZY</t>
  </si>
  <si>
    <t>Nsmart Engineering</t>
  </si>
  <si>
    <t>JIN2001BA1804392</t>
  </si>
  <si>
    <t>33ALUPB9098C1ZU</t>
  </si>
  <si>
    <t>Om Sakthi Batteries</t>
  </si>
  <si>
    <t>TN10000339501</t>
  </si>
  <si>
    <t>33AACCR7832C1ZO</t>
  </si>
  <si>
    <t>Reliance Communications Limited</t>
  </si>
  <si>
    <t>33ACKFS2715C1ZH</t>
  </si>
  <si>
    <t>Sainik Security Services</t>
  </si>
  <si>
    <t>Expenses</t>
  </si>
  <si>
    <t>29AAACE3212F1Z4</t>
  </si>
  <si>
    <t>Essae Digitronics Private Limited</t>
  </si>
  <si>
    <t>LCS2484180000954</t>
  </si>
  <si>
    <t>PCS2484180000705</t>
  </si>
  <si>
    <t>INP2001BA1800947</t>
  </si>
  <si>
    <t>Truckz Zone</t>
  </si>
  <si>
    <t>S.R.Electrical &amp; Hardware</t>
  </si>
  <si>
    <t>Cauvery Agencies</t>
  </si>
  <si>
    <t>Assets</t>
  </si>
  <si>
    <t>Director-R. Subanithya Deepa</t>
  </si>
  <si>
    <t>K. K. Construction</t>
  </si>
  <si>
    <t>Elango Developers Co</t>
  </si>
  <si>
    <t>33BMJPS9407B1Z2</t>
  </si>
  <si>
    <t>006/18-19</t>
  </si>
  <si>
    <t>SR/ERD/1819/09</t>
  </si>
  <si>
    <t>33BBZPK9821Q1ZK</t>
  </si>
  <si>
    <t>ED/18-19/006</t>
  </si>
  <si>
    <t>33ANVPN0093N1ZD</t>
  </si>
  <si>
    <t>STM/2018-19/010</t>
  </si>
  <si>
    <t>33BCQPT3993Q1ZD</t>
  </si>
  <si>
    <t>Thiyagaraj Sellappan</t>
  </si>
  <si>
    <t>33CTMPP6965L2ZS</t>
  </si>
  <si>
    <t>Sri Pachaiamman Transport</t>
  </si>
  <si>
    <t>ACT181217</t>
  </si>
  <si>
    <t>33AUXPS4393R2Z8</t>
  </si>
  <si>
    <t>The Professional Courier</t>
  </si>
  <si>
    <t>AA/18-19/1278</t>
  </si>
  <si>
    <t>Trans Agency -Idhaya</t>
  </si>
  <si>
    <t>Trans Agency - Kumaresan (mullaandram)</t>
  </si>
  <si>
    <t>Sri Pachaiamman Transport - Pandu</t>
  </si>
  <si>
    <t xml:space="preserve">Trans Agency - Rajivgandhi </t>
  </si>
  <si>
    <t>Sri Ganapathi Suppliers</t>
  </si>
  <si>
    <t>Trans Agency - Mohan Kumar</t>
  </si>
  <si>
    <t>AA/CS/18-19/401</t>
  </si>
  <si>
    <t>AA/CS/18-19/402</t>
  </si>
  <si>
    <t>AA/CS/18-19/403</t>
  </si>
  <si>
    <t>AA/CS/18-19/404</t>
  </si>
  <si>
    <t>AA/CS/18-19/405</t>
  </si>
  <si>
    <t>K.Vadivu - Katpadi</t>
  </si>
  <si>
    <t>AA/CS/18-19/406</t>
  </si>
  <si>
    <t>AA/CS/18-19/407</t>
  </si>
  <si>
    <t>AA/CS/18-19/408</t>
  </si>
  <si>
    <t>AA/CS/18-19/409</t>
  </si>
  <si>
    <t>AA/CS/18-19/410</t>
  </si>
  <si>
    <t>AA/CS/18-19/411</t>
  </si>
  <si>
    <t>AA/CS/18-19/412</t>
  </si>
  <si>
    <t>AA/CS/18-19/413</t>
  </si>
  <si>
    <t>AA/CS/18-19/414</t>
  </si>
  <si>
    <t>AA/CS/18-19/415</t>
  </si>
  <si>
    <t>AA/CS/18-19/416</t>
  </si>
  <si>
    <t>Shanmugam</t>
  </si>
  <si>
    <t>Baskaran</t>
  </si>
  <si>
    <t>Poovarasan</t>
  </si>
  <si>
    <t>Elumalai</t>
  </si>
  <si>
    <t>Gopinath</t>
  </si>
  <si>
    <t>Gunasekar</t>
  </si>
  <si>
    <t>AGR</t>
  </si>
  <si>
    <t>Kumar</t>
  </si>
  <si>
    <t>Gopi</t>
  </si>
  <si>
    <t>Anand - Thimiri</t>
  </si>
  <si>
    <t>Umapathi</t>
  </si>
  <si>
    <t>Suresh</t>
  </si>
  <si>
    <t>Kanniyan</t>
  </si>
  <si>
    <t>Vishva</t>
  </si>
  <si>
    <t>Vijay</t>
  </si>
  <si>
    <t>Mani</t>
  </si>
  <si>
    <t>Sivakumar</t>
  </si>
  <si>
    <t>Syedgudu</t>
  </si>
  <si>
    <t>Senthil</t>
  </si>
  <si>
    <t>Kalai</t>
  </si>
  <si>
    <t>Velayutham</t>
  </si>
  <si>
    <t>Mathi</t>
  </si>
  <si>
    <t>Murugan</t>
  </si>
  <si>
    <t>Rajkumar</t>
  </si>
  <si>
    <t>Karguna</t>
  </si>
  <si>
    <t>Jaikumar</t>
  </si>
  <si>
    <t>Srinivasan</t>
  </si>
  <si>
    <t>Sakthi</t>
  </si>
  <si>
    <t>Sakthivel</t>
  </si>
  <si>
    <t>Chandru</t>
  </si>
  <si>
    <t>Raja</t>
  </si>
  <si>
    <t>Suresh Kumar</t>
  </si>
  <si>
    <t>Noorla</t>
  </si>
  <si>
    <t>Balu</t>
  </si>
  <si>
    <t>Boopathi</t>
  </si>
  <si>
    <t>Sridhar</t>
  </si>
  <si>
    <t>Kalaiyarasan</t>
  </si>
  <si>
    <t>Sekar</t>
  </si>
  <si>
    <t>K.Lakshman</t>
  </si>
  <si>
    <t>Santhosh</t>
  </si>
  <si>
    <t>Praveen</t>
  </si>
  <si>
    <t>Rajesh</t>
  </si>
  <si>
    <t>Durai Samy</t>
  </si>
  <si>
    <t>33BVFPP6683P1ZQ</t>
  </si>
  <si>
    <t>K. R. Narasiman Transport</t>
  </si>
  <si>
    <t>Purchases</t>
  </si>
  <si>
    <t>Cash Sales</t>
  </si>
  <si>
    <t>CANCELLED</t>
  </si>
  <si>
    <t>Discount</t>
  </si>
  <si>
    <t>Purchase</t>
  </si>
  <si>
    <t>Expense</t>
  </si>
  <si>
    <t>Sales</t>
  </si>
  <si>
    <t>Category</t>
  </si>
  <si>
    <t>Total Amt</t>
  </si>
  <si>
    <t>GST %</t>
  </si>
  <si>
    <t>Sales (Registered)</t>
  </si>
  <si>
    <t>Cash sales (Unregistered)</t>
  </si>
  <si>
    <t>Sales (Registered &amp; Unregistered) :-</t>
  </si>
  <si>
    <t>From :</t>
  </si>
  <si>
    <t>To :</t>
  </si>
  <si>
    <t>Scrap Sales</t>
  </si>
  <si>
    <t>Purchase,Expense &amp; Asset (Unregistered Dealers) :-</t>
  </si>
  <si>
    <t>Purchase,Expense &amp; Asset (Registered Dealers) :-</t>
  </si>
  <si>
    <t>AAPL Summary Of Monthly Returns</t>
  </si>
  <si>
    <t>Debit Note</t>
  </si>
  <si>
    <t>Credit Note</t>
  </si>
  <si>
    <t>Opening Credit</t>
  </si>
  <si>
    <t>Total Input</t>
  </si>
  <si>
    <t>Total Output</t>
  </si>
  <si>
    <t>Total GST</t>
  </si>
  <si>
    <t>(ITC Avl.) / GST Payable</t>
  </si>
  <si>
    <t>Note Type Note</t>
  </si>
  <si>
    <t>Note Date</t>
  </si>
  <si>
    <t>Note No</t>
  </si>
  <si>
    <t xml:space="preserve">Note value </t>
  </si>
  <si>
    <t>Orginal Invoice No</t>
  </si>
  <si>
    <t>Orginal Invoice Date</t>
  </si>
  <si>
    <t>Party Name</t>
  </si>
  <si>
    <t>Tax Rate %</t>
  </si>
  <si>
    <t>Goods Value</t>
  </si>
  <si>
    <t>Frieght</t>
  </si>
  <si>
    <t>Party Type</t>
  </si>
  <si>
    <t>Registered</t>
  </si>
  <si>
    <t>Party  Name</t>
  </si>
  <si>
    <t>Purchase Type</t>
  </si>
  <si>
    <t>Import</t>
  </si>
  <si>
    <t>Intrastate</t>
  </si>
  <si>
    <t>Interstate</t>
  </si>
  <si>
    <t>UnRegistered</t>
  </si>
  <si>
    <t>Composition</t>
  </si>
  <si>
    <t>Capital Asset</t>
  </si>
  <si>
    <t>RCM</t>
  </si>
  <si>
    <t>Y</t>
  </si>
  <si>
    <t>N</t>
  </si>
  <si>
    <t xml:space="preserve">material total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</si>
</sst>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4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1" xfId="0" applyFont="1" applyBorder="1"/>
    <xf numFmtId="49" fontId="5" fillId="0" borderId="1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43" fontId="6" fillId="3" borderId="1" xfId="1" applyFon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2" borderId="0" xfId="0" applyFill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9" fontId="0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/>
    </xf>
    <xf numFmtId="9" fontId="2" fillId="3" borderId="1" xfId="2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top"/>
    </xf>
    <xf numFmtId="49" fontId="5" fillId="4" borderId="1" xfId="0" applyNumberFormat="1" applyFont="1" applyFill="1" applyBorder="1" applyAlignment="1">
      <alignment horizontal="right" vertical="top"/>
    </xf>
    <xf numFmtId="0" fontId="5" fillId="4" borderId="1" xfId="0" applyFont="1" applyFill="1" applyBorder="1"/>
    <xf numFmtId="0" fontId="0" fillId="4" borderId="0" xfId="0" applyFill="1"/>
    <xf numFmtId="43" fontId="0" fillId="0" borderId="1" xfId="1" applyFont="1" applyBorder="1"/>
    <xf numFmtId="43" fontId="0" fillId="0" borderId="0" xfId="1" applyFont="1"/>
    <xf numFmtId="43" fontId="0" fillId="0" borderId="1" xfId="1" applyFont="1" applyBorder="1" applyAlignment="1">
      <alignment horizontal="center"/>
    </xf>
    <xf numFmtId="43" fontId="5" fillId="4" borderId="1" xfId="1" applyFont="1" applyFill="1" applyBorder="1"/>
    <xf numFmtId="43" fontId="5" fillId="4" borderId="1" xfId="1" applyFont="1" applyFill="1" applyBorder="1" applyAlignment="1">
      <alignment horizontal="right" vertical="top"/>
    </xf>
    <xf numFmtId="0" fontId="5" fillId="4" borderId="1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43" fontId="0" fillId="4" borderId="1" xfId="1" applyFont="1" applyFill="1" applyBorder="1"/>
    <xf numFmtId="43" fontId="0" fillId="4" borderId="1" xfId="1" applyFont="1" applyFill="1" applyBorder="1" applyAlignment="1">
      <alignment horizontal="center"/>
    </xf>
    <xf numFmtId="43" fontId="5" fillId="0" borderId="1" xfId="1" applyFont="1" applyBorder="1"/>
    <xf numFmtId="43" fontId="5" fillId="0" borderId="1" xfId="1" applyFont="1" applyBorder="1" applyAlignment="1">
      <alignment horizontal="right" vertical="top"/>
    </xf>
    <xf numFmtId="43" fontId="5" fillId="4" borderId="1" xfId="1" applyFont="1" applyFill="1" applyBorder="1" applyAlignment="1">
      <alignment horizontal="center"/>
    </xf>
    <xf numFmtId="43" fontId="0" fillId="0" borderId="0" xfId="0" applyNumberFormat="1" applyAlignment="1">
      <alignment horizontal="center" vertical="center"/>
    </xf>
    <xf numFmtId="9" fontId="0" fillId="0" borderId="0" xfId="2" applyFont="1"/>
    <xf numFmtId="9" fontId="0" fillId="0" borderId="1" xfId="2" applyFont="1" applyBorder="1" applyAlignment="1">
      <alignment horizontal="center"/>
    </xf>
    <xf numFmtId="9" fontId="6" fillId="3" borderId="1" xfId="2" applyFont="1" applyFill="1" applyBorder="1" applyAlignment="1">
      <alignment horizontal="center"/>
    </xf>
    <xf numFmtId="9" fontId="5" fillId="4" borderId="1" xfId="2" applyFont="1" applyFill="1" applyBorder="1" applyAlignment="1">
      <alignment horizontal="center"/>
    </xf>
    <xf numFmtId="9" fontId="5" fillId="0" borderId="1" xfId="2" applyFont="1" applyBorder="1" applyAlignment="1">
      <alignment horizontal="center"/>
    </xf>
    <xf numFmtId="9" fontId="0" fillId="4" borderId="1" xfId="2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right" vertical="top"/>
    </xf>
    <xf numFmtId="14" fontId="5" fillId="0" borderId="1" xfId="0" applyNumberFormat="1" applyFont="1" applyBorder="1" applyAlignment="1">
      <alignment horizontal="right" vertical="top"/>
    </xf>
    <xf numFmtId="0" fontId="0" fillId="0" borderId="0" xfId="0" applyProtection="1">
      <protection hidden="1"/>
    </xf>
    <xf numFmtId="0" fontId="9" fillId="0" borderId="0" xfId="0" applyFont="1" applyAlignment="1" applyProtection="1">
      <alignment horizontal="right"/>
      <protection hidden="1"/>
    </xf>
    <xf numFmtId="14" fontId="10" fillId="0" borderId="0" xfId="0" applyNumberFormat="1" applyFont="1" applyAlignment="1" applyProtection="1">
      <alignment horizontal="left" vertical="top"/>
      <protection hidden="1"/>
    </xf>
    <xf numFmtId="0" fontId="9" fillId="0" borderId="1" xfId="0" applyFont="1" applyBorder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9" fontId="9" fillId="0" borderId="1" xfId="0" applyNumberFormat="1" applyFont="1" applyBorder="1" applyAlignment="1" applyProtection="1">
      <alignment horizontal="center"/>
      <protection hidden="1"/>
    </xf>
    <xf numFmtId="43" fontId="0" fillId="0" borderId="1" xfId="1" applyFont="1" applyBorder="1" applyProtection="1">
      <protection hidden="1"/>
    </xf>
    <xf numFmtId="9" fontId="9" fillId="0" borderId="1" xfId="0" applyNumberFormat="1" applyFont="1" applyBorder="1" applyAlignment="1" applyProtection="1">
      <alignment horizontal="center" vertical="center"/>
      <protection hidden="1"/>
    </xf>
    <xf numFmtId="9" fontId="0" fillId="0" borderId="0" xfId="0" applyNumberFormat="1" applyProtection="1">
      <protection hidden="1"/>
    </xf>
    <xf numFmtId="43" fontId="0" fillId="0" borderId="0" xfId="1" applyFont="1" applyProtection="1">
      <protection hidden="1"/>
    </xf>
    <xf numFmtId="43" fontId="0" fillId="0" borderId="0" xfId="1" applyFont="1" applyAlignment="1" applyProtection="1">
      <alignment vertical="top"/>
      <protection hidden="1"/>
    </xf>
    <xf numFmtId="0" fontId="0" fillId="0" borderId="0" xfId="0" applyAlignment="1" applyProtection="1">
      <alignment vertical="top"/>
      <protection hidden="1"/>
    </xf>
    <xf numFmtId="0" fontId="10" fillId="0" borderId="0" xfId="0" applyFont="1" applyAlignment="1" applyProtection="1">
      <alignment vertical="top"/>
      <protection hidden="1"/>
    </xf>
    <xf numFmtId="14" fontId="0" fillId="0" borderId="0" xfId="0" applyNumberFormat="1" applyAlignment="1" applyProtection="1">
      <alignment horizontal="left"/>
      <protection locked="0"/>
    </xf>
    <xf numFmtId="0" fontId="6" fillId="3" borderId="1" xfId="0" applyFont="1" applyFill="1" applyBorder="1" applyAlignment="1">
      <alignment horizontal="left"/>
    </xf>
    <xf numFmtId="49" fontId="5" fillId="4" borderId="1" xfId="0" applyNumberFormat="1" applyFont="1" applyFill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3" fontId="9" fillId="0" borderId="1" xfId="1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43" fontId="9" fillId="0" borderId="1" xfId="1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0" fillId="0" borderId="1" xfId="0" applyBorder="1" applyProtection="1"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0" fontId="9" fillId="0" borderId="1" xfId="0" applyFont="1" applyBorder="1" applyProtection="1">
      <protection hidden="1"/>
    </xf>
    <xf numFmtId="43" fontId="0" fillId="0" borderId="1" xfId="0" applyNumberFormat="1" applyBorder="1" applyProtection="1">
      <protection hidden="1"/>
    </xf>
    <xf numFmtId="43" fontId="9" fillId="0" borderId="1" xfId="1" applyFont="1" applyBorder="1" applyProtection="1">
      <protection hidden="1"/>
    </xf>
    <xf numFmtId="9" fontId="9" fillId="0" borderId="0" xfId="0" applyNumberFormat="1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wrapText="1"/>
      <protection hidden="1"/>
    </xf>
    <xf numFmtId="0" fontId="0" fillId="0" borderId="1" xfId="0" applyBorder="1" applyProtection="1">
      <protection locked="0"/>
    </xf>
    <xf numFmtId="0" fontId="9" fillId="0" borderId="2" xfId="0" applyFont="1" applyBorder="1" applyAlignment="1" applyProtection="1">
      <alignment horizontal="center" vertical="center"/>
      <protection hidden="1"/>
    </xf>
    <xf numFmtId="0" fontId="9" fillId="0" borderId="3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/>
      <protection hidden="1"/>
    </xf>
    <xf numFmtId="0" fontId="9" fillId="0" borderId="5" xfId="0" applyFont="1" applyBorder="1" applyAlignment="1" applyProtection="1">
      <alignment horizontal="center"/>
      <protection hidden="1"/>
    </xf>
    <xf numFmtId="0" fontId="9" fillId="0" borderId="6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center"/>
      <protection hidden="1"/>
    </xf>
    <xf numFmtId="49" fontId="5" fillId="5" borderId="2" xfId="0" applyNumberFormat="1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43" fontId="0" fillId="0" borderId="1" xfId="1" applyFont="1" applyFill="1" applyBorder="1" applyAlignment="1">
      <alignment horizontal="center" vertical="center"/>
    </xf>
    <xf numFmtId="9" fontId="0" fillId="0" borderId="1" xfId="2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9" fontId="3" fillId="0" borderId="1" xfId="2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3" fontId="0" fillId="0" borderId="2" xfId="1" applyFont="1" applyFill="1" applyBorder="1" applyAlignment="1">
      <alignment horizontal="center" vertical="center"/>
    </xf>
    <xf numFmtId="9" fontId="0" fillId="0" borderId="2" xfId="2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9" fontId="3" fillId="0" borderId="1" xfId="0" applyNumberFormat="1" applyFont="1" applyFill="1" applyBorder="1" applyAlignment="1">
      <alignment horizontal="center" vertical="center"/>
    </xf>
    <xf numFmtId="9" fontId="2" fillId="0" borderId="2" xfId="2" applyFont="1" applyFill="1" applyBorder="1" applyAlignment="1">
      <alignment horizontal="center" vertical="center"/>
    </xf>
    <xf numFmtId="9" fontId="2" fillId="0" borderId="1" xfId="2" applyFont="1" applyFill="1" applyBorder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3" borderId="7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0953-5E21-4715-9656-7CBCB87A3DCA}">
  <dimension ref="A1:K55"/>
  <sheetViews>
    <sheetView tabSelected="1" zoomScaleNormal="100" workbookViewId="0">
      <selection activeCell="A6" sqref="A6:A7"/>
    </sheetView>
  </sheetViews>
  <sheetFormatPr defaultRowHeight="14.5" x14ac:dyDescent="0.35"/>
  <cols>
    <col min="1" max="1" width="8.453125" style="48" customWidth="1"/>
    <col min="2" max="2" width="11.36328125" style="48" bestFit="1" customWidth="1"/>
    <col min="3" max="3" width="13.36328125" style="48" bestFit="1" customWidth="1"/>
    <col min="4" max="4" width="15.1796875" style="48" customWidth="1"/>
    <col min="5" max="5" width="13.453125" style="48" bestFit="1" customWidth="1"/>
    <col min="6" max="6" width="12" style="48" bestFit="1" customWidth="1"/>
    <col min="7" max="9" width="12.1796875" style="48" bestFit="1" customWidth="1"/>
    <col min="10" max="10" width="15.54296875" style="48" bestFit="1" customWidth="1"/>
    <col min="11" max="11" width="12.54296875" style="48" bestFit="1" customWidth="1"/>
    <col min="12" max="13" width="11.36328125" style="48" bestFit="1" customWidth="1"/>
    <col min="14" max="14" width="12.36328125" style="48" bestFit="1" customWidth="1"/>
    <col min="15" max="16" width="10" style="48" bestFit="1" customWidth="1"/>
    <col min="17" max="17" width="4.6328125" style="48" bestFit="1" customWidth="1"/>
    <col min="18" max="16384" width="8.7265625" style="48"/>
  </cols>
  <sheetData>
    <row r="1" spans="1:11" ht="21.5" customHeight="1" x14ac:dyDescent="0.35">
      <c r="A1" s="89" t="s">
        <v>445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3" spans="1:11" x14ac:dyDescent="0.35">
      <c r="J3" s="49" t="s">
        <v>440</v>
      </c>
      <c r="K3" s="61">
        <v>43466</v>
      </c>
    </row>
    <row r="4" spans="1:11" x14ac:dyDescent="0.35">
      <c r="J4" s="49" t="s">
        <v>441</v>
      </c>
      <c r="K4" s="61">
        <v>43496</v>
      </c>
    </row>
    <row r="5" spans="1:11" ht="22" customHeight="1" x14ac:dyDescent="0.35">
      <c r="A5" s="50" t="s">
        <v>444</v>
      </c>
    </row>
    <row r="6" spans="1:11" s="52" customFormat="1" x14ac:dyDescent="0.35">
      <c r="A6" s="85" t="s">
        <v>436</v>
      </c>
      <c r="B6" s="90" t="s">
        <v>427</v>
      </c>
      <c r="C6" s="90"/>
      <c r="D6" s="90"/>
      <c r="E6" s="90" t="s">
        <v>331</v>
      </c>
      <c r="F6" s="90"/>
      <c r="G6" s="90"/>
      <c r="H6" s="90" t="s">
        <v>340</v>
      </c>
      <c r="I6" s="90"/>
      <c r="J6" s="90"/>
      <c r="K6" s="83" t="s">
        <v>435</v>
      </c>
    </row>
    <row r="7" spans="1:11" x14ac:dyDescent="0.35">
      <c r="A7" s="85"/>
      <c r="B7" s="51" t="s">
        <v>10</v>
      </c>
      <c r="C7" s="51" t="s">
        <v>9</v>
      </c>
      <c r="D7" s="51" t="s">
        <v>8</v>
      </c>
      <c r="E7" s="51" t="s">
        <v>10</v>
      </c>
      <c r="F7" s="51" t="s">
        <v>9</v>
      </c>
      <c r="G7" s="51" t="s">
        <v>8</v>
      </c>
      <c r="H7" s="51" t="s">
        <v>10</v>
      </c>
      <c r="I7" s="51" t="s">
        <v>9</v>
      </c>
      <c r="J7" s="51" t="s">
        <v>8</v>
      </c>
      <c r="K7" s="84"/>
    </row>
    <row r="8" spans="1:11" x14ac:dyDescent="0.35">
      <c r="A8" s="53">
        <v>0.05</v>
      </c>
      <c r="B8" s="54">
        <f>SUMIFS(Purchase!$R:$R,Purchase!$O:$O,'AAPL Summary'!$A$8,Purchase!$C:$C,"&gt;="&amp;'AAPL Summary'!$K$3,Purchase!$C:$C,"&lt;="&amp;'AAPL Summary'!$K$4,Purchase!$G:$G,"&lt;&gt;"&amp;"Unregister dealer",Purchase!$B:$B,"=Purchase")</f>
        <v>9.2500000000000018</v>
      </c>
      <c r="C8" s="54">
        <f>SUMIFS(Purchase!$Q:$Q,Purchase!$O:$O,'AAPL Summary'!$A$8,Purchase!$C:$C,"&gt;="&amp;'AAPL Summary'!$K$3,Purchase!$C:$C,"&lt;="&amp;'AAPL Summary'!$K$4,Purchase!$G:$G,"&lt;&gt;"&amp;"Unregister dealer",Purchase!$B:$B,"=Purchase")</f>
        <v>9.2500000000000018</v>
      </c>
      <c r="D8" s="54">
        <f>SUMIFS(Purchase!$P:$P,Purchase!$O:$O,'AAPL Summary'!$A$8,Purchase!$C:$C,"&gt;="&amp;'AAPL Summary'!$K$3,Purchase!$C:$C,"&lt;="&amp;'AAPL Summary'!$K$4,Purchase!$G:$G,"&lt;&gt;"&amp;"Unregister dealer",Purchase!$B:$B,"=Purchase")</f>
        <v>0</v>
      </c>
      <c r="E8" s="54">
        <f>SUMIFS(Purchase!$R:$R,Purchase!$O:$O,'AAPL Summary'!$A$8,Purchase!$C:$C,"&gt;="&amp;'AAPL Summary'!$K$3,Purchase!$C:$C,"&lt;="&amp;'AAPL Summary'!$K$4,Purchase!$G:$G,"&lt;&gt;"&amp;"Unregister dealer",Purchase!$B:$B,"=Expense")</f>
        <v>0</v>
      </c>
      <c r="F8" s="54">
        <f>SUMIFS(Purchase!$Q:$Q,Purchase!$O:$O,'AAPL Summary'!$A$8,Purchase!$C:$C,"&gt;="&amp;'AAPL Summary'!$K$3,Purchase!$C:$C,"&lt;="&amp;'AAPL Summary'!$K$4,Purchase!$G:$G,"&lt;&gt;"&amp;"Unregister dealer",Purchase!$B:$B,"Expense")</f>
        <v>0</v>
      </c>
      <c r="G8" s="54">
        <f>SUMIFS(Purchase!$P:$P,Purchase!$O:$O,'AAPL Summary'!$A$8,Purchase!$C:$C,"&gt;="&amp;'AAPL Summary'!$K$3,Purchase!$C:$C,"&lt;="&amp;'AAPL Summary'!$K$4,Purchase!$G:$G,"&lt;&gt;"&amp;"Unregister dealer",Purchase!$B:$B,"expense")</f>
        <v>0</v>
      </c>
      <c r="H8" s="54">
        <f>SUMIFS(Purchase!$R:$R,Purchase!$O:$O,'AAPL Summary'!$A$8,Purchase!$C:$C,"&gt;="&amp;'AAPL Summary'!$K$3,Purchase!$C:$C,"&lt;="&amp;'AAPL Summary'!$K$4,Purchase!$G:$G,"&lt;&gt;"&amp;"Unregister dealer",Purchase!$B:$B,"Asset")</f>
        <v>0</v>
      </c>
      <c r="I8" s="54">
        <f>SUMIFS(Purchase!$Q:$Q,Purchase!$O:$O,'AAPL Summary'!$A$8,Purchase!$C:$C,"&gt;="&amp;'AAPL Summary'!$K$3,Purchase!$C:$C,"&lt;="&amp;'AAPL Summary'!$K$4,Purchase!$G:$G,"&lt;&gt;"&amp;"Unregister dealer",Purchase!$B:$B,"Expense")</f>
        <v>0</v>
      </c>
      <c r="J8" s="54">
        <f>SUMIFS(Purchase!$P:$P,Purchase!$O:$O,'AAPL Summary'!$A$8,Purchase!$C:$C,"&gt;="&amp;'AAPL Summary'!$K$3,Purchase!$C:$C,"&lt;="&amp;'AAPL Summary'!$K$4,Purchase!$G:$G,"&lt;&gt;"&amp;"Unregister dealer",Purchase!$B:$B,"Asset")</f>
        <v>0</v>
      </c>
      <c r="K8" s="54">
        <f>SUM(B8:J8)</f>
        <v>18.500000000000004</v>
      </c>
    </row>
    <row r="9" spans="1:11" x14ac:dyDescent="0.35">
      <c r="A9" s="53">
        <v>0.12</v>
      </c>
      <c r="B9" s="54">
        <f>SUMIFS(Purchase!R:R,Purchase!$O:$O,'AAPL Summary'!A9,Purchase!$C:$C,"&gt;="&amp;'AAPL Summary'!$K$3,Purchase!$C:$C,"&lt;="&amp;'AAPL Summary'!$K$4,Purchase!$G:$G,"&lt;&gt;"&amp;"Unregister dealer",Purchase!B:B,"=Purchase")</f>
        <v>0</v>
      </c>
      <c r="C9" s="54">
        <f>SUMIFS(Purchase!Q:Q,Purchase!$O:$O,'AAPL Summary'!A9,Purchase!$C:$C,"&gt;="&amp;'AAPL Summary'!$K$3,Purchase!$C:$C,"&lt;="&amp;'AAPL Summary'!$K$4,Purchase!$G:$G,"&lt;&gt;"&amp;"Unregister dealer",Purchase!B:B,"=Purchase")</f>
        <v>0</v>
      </c>
      <c r="D9" s="54">
        <f>SUMIFS(Purchase!P:P,Purchase!$O:$O,'AAPL Summary'!A9,Purchase!$C:$C,"&gt;="&amp;'AAPL Summary'!$K$3,Purchase!$C:$C,"&lt;="&amp;'AAPL Summary'!$K$4,Purchase!$G:$G,"&lt;&gt;"&amp;"Unregister dealer",Purchase!B:B,"=Purchase")</f>
        <v>0</v>
      </c>
      <c r="E9" s="54">
        <f>SUMIFS(Purchase!$R:$R,Purchase!$O:$O,'AAPL Summary'!$A$9,Purchase!$C:$C,"&gt;="&amp;'AAPL Summary'!$K$3,Purchase!$C:$C,"&lt;="&amp;'AAPL Summary'!$K$4,Purchase!$G:$G,"&lt;&gt;"&amp;"Unregister dealer",Purchase!$B:$B,"=Expense")</f>
        <v>4596.96</v>
      </c>
      <c r="F9" s="54">
        <f>SUMIFS(Purchase!$Q:$Q,Purchase!$O:$O,'AAPL Summary'!$A$9,Purchase!$C:$C,"&gt;="&amp;'AAPL Summary'!$K$3,Purchase!$C:$C,"&lt;="&amp;'AAPL Summary'!$K$4,Purchase!$G:$G,"&lt;&gt;"&amp;"Unregister dealer",Purchase!$B:$B,"Expense")</f>
        <v>4596.96</v>
      </c>
      <c r="G9" s="54">
        <f>SUMIFS(Purchase!$P:$P,Purchase!$O:$O,'AAPL Summary'!$A$9,Purchase!$C:$C,"&gt;="&amp;'AAPL Summary'!$K$3,Purchase!$C:$C,"&lt;="&amp;'AAPL Summary'!$K$4,Purchase!$G:$G,"&lt;&gt;"&amp;"Unregister dealer",Purchase!$B:$B,"expense")</f>
        <v>0</v>
      </c>
      <c r="H9" s="54">
        <f>SUMIFS(Purchase!$R:$R,Purchase!$O:$O,'AAPL Summary'!$A$9,Purchase!$C:$C,"&gt;="&amp;'AAPL Summary'!$K$3,Purchase!$C:$C,"&lt;="&amp;'AAPL Summary'!$K$4,Purchase!$G:$G,"&lt;&gt;"&amp;"Unregister dealer",Purchase!$B:$B,"Asset")</f>
        <v>0</v>
      </c>
      <c r="I9" s="54">
        <f>SUMIFS(Purchase!$Q:$Q,Purchase!$O:$O,'AAPL Summary'!$A$9,Purchase!$C:$C,"&gt;="&amp;'AAPL Summary'!$K$3,Purchase!$C:$C,"&lt;="&amp;'AAPL Summary'!$K$4,Purchase!$G:$G,"&lt;&gt;"&amp;"Unregister dealer",Purchase!$B:$B,"Asset")</f>
        <v>0</v>
      </c>
      <c r="J9" s="54">
        <f>SUMIFS(Purchase!$P:$P,Purchase!$O:$O,'AAPL Summary'!$A$9,Purchase!$C:$C,"&gt;="&amp;'AAPL Summary'!$K$3,Purchase!$C:$C,"&lt;="&amp;'AAPL Summary'!$K$4,Purchase!$G:$G,"&lt;&gt;"&amp;"Unregister dealer",Purchase!$B:$B,"Asset")</f>
        <v>0</v>
      </c>
      <c r="K9" s="54">
        <f>SUM(B9:J9)</f>
        <v>9193.92</v>
      </c>
    </row>
    <row r="10" spans="1:11" x14ac:dyDescent="0.35">
      <c r="A10" s="53">
        <v>0.18</v>
      </c>
      <c r="B10" s="54">
        <f>SUMIFS(Purchase!R:R,Purchase!$O:$O,'AAPL Summary'!A10,Purchase!$C:$C,"&gt;="&amp;'AAPL Summary'!$K$3,Purchase!$C:$C,"&lt;="&amp;'AAPL Summary'!$K$4,Purchase!$G:$G,"&lt;&gt;"&amp;"Unregister dealer",Purchase!B:B,"=Purchase")</f>
        <v>218631.99240000008</v>
      </c>
      <c r="C10" s="54">
        <f>SUMIFS(Purchase!Q:Q,Purchase!$O:$O,'AAPL Summary'!A10,Purchase!$C:$C,"&gt;="&amp;'AAPL Summary'!$K$3,Purchase!$C:$C,"&lt;="&amp;'AAPL Summary'!$K$4,Purchase!$G:$G,"&lt;&gt;"&amp;"Unregister dealer",Purchase!B:B,"=Purchase")</f>
        <v>218631.99240000008</v>
      </c>
      <c r="D10" s="54">
        <f>SUMIFS(Purchase!P:P,Purchase!$O:$O,'AAPL Summary'!A10,Purchase!$C:$C,"&gt;="&amp;'AAPL Summary'!$K$3,Purchase!$C:$C,"&lt;="&amp;'AAPL Summary'!$K$4,Purchase!$G:$G,"&lt;&gt;"&amp;"Unregister dealer",Purchase!B:B,"=Purchase")</f>
        <v>0</v>
      </c>
      <c r="E10" s="54">
        <f>SUMIFS(Purchase!$R:$R,Purchase!$O:$O,'AAPL Summary'!$A$10,Purchase!$C:$C,"&gt;="&amp;'AAPL Summary'!$K$3,Purchase!$C:$C,"&lt;="&amp;'AAPL Summary'!$K$4,Purchase!$G:$G,"&lt;&gt;"&amp;"Unregister dealer",Purchase!$B:$B,"=Expense")</f>
        <v>518054.38290000003</v>
      </c>
      <c r="F10" s="54">
        <f>SUMIFS(Purchase!$Q:$Q,Purchase!$O:$O,'AAPL Summary'!$A$10,Purchase!$C:$C,"&gt;="&amp;'AAPL Summary'!$K$3,Purchase!$C:$C,"&lt;="&amp;'AAPL Summary'!$K$4,Purchase!$G:$G,"&lt;&gt;"&amp;"Unregister dealer",Purchase!$B:$B,"Expense")</f>
        <v>518054.38290000003</v>
      </c>
      <c r="G10" s="54">
        <f>SUMIFS(Purchase!$P:$P,Purchase!$O:$O,'AAPL Summary'!$A$10,Purchase!$C:$C,"&gt;="&amp;'AAPL Summary'!$K$3,Purchase!$C:$C,"&lt;="&amp;'AAPL Summary'!$K$4,Purchase!$G:$G,"&lt;&gt;"&amp;"Unregister dealer",Purchase!$B:$B,"expense")</f>
        <v>5760</v>
      </c>
      <c r="H10" s="54">
        <f>SUMIFS(Purchase!$R:$R,Purchase!$O:$O,'AAPL Summary'!$A$10,Purchase!$C:$C,"&gt;="&amp;'AAPL Summary'!$K$3,Purchase!$C:$C,"&lt;="&amp;'AAPL Summary'!$K$4,Purchase!$G:$G,"&lt;&gt;"&amp;"Unregister dealer",Purchase!$B:$B,"Asset")</f>
        <v>0</v>
      </c>
      <c r="I10" s="54">
        <f>SUMIFS(Purchase!$Q:$Q,Purchase!$O:$O,'AAPL Summary'!$A$10,Purchase!$C:$C,"&gt;="&amp;'AAPL Summary'!$K$3,Purchase!$C:$C,"&lt;="&amp;'AAPL Summary'!$K$4,Purchase!$G:$G,"&lt;&gt;"&amp;"Unregister dealer",Purchase!$B:$B,"Asset")</f>
        <v>0</v>
      </c>
      <c r="J10" s="54">
        <f>SUMIFS(Purchase!$P:$P,Purchase!$O:$O,'AAPL Summary'!$A$10,Purchase!$C:$C,"&gt;="&amp;'AAPL Summary'!$K$3,Purchase!$C:$C,"&lt;="&amp;'AAPL Summary'!$K$4,Purchase!$G:$G,"&lt;&gt;"&amp;"Unregister dealer",Purchase!$B:$B,"Asset")</f>
        <v>0</v>
      </c>
      <c r="K10" s="54">
        <f>SUM(B10:J10)</f>
        <v>1479132.7506000001</v>
      </c>
    </row>
    <row r="11" spans="1:11" x14ac:dyDescent="0.35">
      <c r="A11" s="53">
        <v>0.28000000000000003</v>
      </c>
      <c r="B11" s="54">
        <f>SUMIFS(Purchase!R:R,Purchase!$O:$O,'AAPL Summary'!A11,Purchase!$C:$C,"&gt;="&amp;'AAPL Summary'!$K$3,Purchase!$C:$C,"&lt;="&amp;'AAPL Summary'!$K$4,Purchase!$G:$G,"&lt;&gt;"&amp;"unregister",Purchase!B:B,"Purchase")</f>
        <v>78085.141400000008</v>
      </c>
      <c r="C11" s="54">
        <f>SUMIFS(Purchase!Q:Q,Purchase!$O:$O,'AAPL Summary'!A11,Purchase!$C:$C,"&gt;="&amp;'AAPL Summary'!$K$3,Purchase!$C:$C,"&lt;="&amp;'AAPL Summary'!$K$4,Purchase!$G:$G,"&lt;&gt;"&amp;"Unregister dealer",Purchase!B:B,"Purchase")</f>
        <v>78085.141400000008</v>
      </c>
      <c r="D11" s="54">
        <f>SUMIFS(Purchase!P:P,Purchase!$O:$O,'AAPL Summary'!A11,Purchase!$C:$C,"&gt;="&amp;'AAPL Summary'!$K$3,Purchase!$C:$C,"&lt;="&amp;'AAPL Summary'!$K$4,Purchase!$G:$G,"&lt;&gt;"&amp;"Unregister dealer",Purchase!B:B,"=Purchase")</f>
        <v>0</v>
      </c>
      <c r="E11" s="54">
        <f>SUMIFS(Purchase!$R:$R,Purchase!$O:$O,'AAPL Summary'!$A$11,Purchase!$C:$C,"&gt;="&amp;'AAPL Summary'!$K$3,Purchase!$C:$C,"&lt;="&amp;'AAPL Summary'!$K$4,Purchase!$G:$G,"&lt;&gt;"&amp;"Unregister dealer",Purchase!$B:$B,"=Expense")</f>
        <v>0</v>
      </c>
      <c r="F11" s="54">
        <f>SUMIFS(Purchase!$Q:$Q,Purchase!$O:$O,'AAPL Summary'!$A$11,Purchase!$C:$C,"&gt;="&amp;'AAPL Summary'!$K$3,Purchase!$C:$C,"&lt;="&amp;'AAPL Summary'!$K$4,Purchase!$G:$G,"&lt;&gt;"&amp;"Unregister dealer",Purchase!$B:$B,"Expense")</f>
        <v>0</v>
      </c>
      <c r="G11" s="54">
        <f>SUMIFS(Purchase!$P:$P,Purchase!$O:$O,'AAPL Summary'!$A$11,Purchase!$C:$C,"&gt;="&amp;'AAPL Summary'!$K$3,Purchase!$C:$C,"&lt;="&amp;'AAPL Summary'!$K$4,Purchase!$G:$G,"&lt;&gt;"&amp;"Unregister dealer",Purchase!$B:$B,"expense")</f>
        <v>0</v>
      </c>
      <c r="H11" s="54">
        <f>SUMIFS(Purchase!$R:$R,Purchase!$O:$O,'AAPL Summary'!$A$11,Purchase!$C:$C,"&gt;="&amp;'AAPL Summary'!$K$3,Purchase!$C:$C,"&lt;="&amp;'AAPL Summary'!$K$4,Purchase!$G:$G,"&lt;&gt;"&amp;"Unregister dealer",Purchase!$B:$B,"Asset")</f>
        <v>0</v>
      </c>
      <c r="I11" s="54">
        <f>SUMIFS(Purchase!$Q:$Q,Purchase!$O:$O,'AAPL Summary'!$A$11,Purchase!$C:$C,"&gt;="&amp;'AAPL Summary'!$K$3,Purchase!$C:$C,"&lt;="&amp;'AAPL Summary'!$K$4,Purchase!$G:$G,"&lt;&gt;"&amp;"Unregister dealer",Purchase!$B:$B,"Asset")</f>
        <v>0</v>
      </c>
      <c r="J11" s="54">
        <f>SUMIFS(Purchase!$P:$P,Purchase!$O:$O,'AAPL Summary'!$A$11,Purchase!$C:$C,"&gt;="&amp;'AAPL Summary'!$K$3,Purchase!$C:$C,"&lt;="&amp;'AAPL Summary'!$K$4,Purchase!$G:$G,"&lt;&gt;"&amp;"Unregister dealer",Purchase!$B:$B,"Asset")</f>
        <v>0</v>
      </c>
      <c r="K11" s="54">
        <f>SUM(B11:J11)</f>
        <v>156170.28280000002</v>
      </c>
    </row>
    <row r="12" spans="1:11" s="72" customFormat="1" ht="20.5" customHeight="1" x14ac:dyDescent="0.35">
      <c r="A12" s="55" t="s">
        <v>435</v>
      </c>
      <c r="B12" s="70">
        <f>SUM(B8:B11)</f>
        <v>296726.38380000007</v>
      </c>
      <c r="C12" s="70">
        <f>SUM(C8:C11)</f>
        <v>296726.38380000007</v>
      </c>
      <c r="D12" s="70">
        <f>SUM(D8:D11)</f>
        <v>0</v>
      </c>
      <c r="E12" s="70">
        <f>SUM(E8:E11)</f>
        <v>522651.34290000005</v>
      </c>
      <c r="F12" s="70">
        <f>SUM(F8:F11)</f>
        <v>522651.34290000005</v>
      </c>
      <c r="G12" s="70">
        <f>SUM(G8:G11)</f>
        <v>5760</v>
      </c>
      <c r="H12" s="70">
        <f>SUM(H8:H11)</f>
        <v>0</v>
      </c>
      <c r="I12" s="70">
        <f>SUM(I8:I11)</f>
        <v>0</v>
      </c>
      <c r="J12" s="70">
        <f>SUM(J8:J11)</f>
        <v>0</v>
      </c>
      <c r="K12" s="70">
        <f>SUM(B12:J12)</f>
        <v>1644515.4534000002</v>
      </c>
    </row>
    <row r="13" spans="1:11" x14ac:dyDescent="0.35">
      <c r="A13" s="56"/>
      <c r="B13" s="57"/>
      <c r="C13" s="57"/>
      <c r="D13" s="57"/>
      <c r="E13" s="57"/>
      <c r="F13" s="57"/>
      <c r="G13" s="57"/>
      <c r="H13" s="57"/>
      <c r="I13" s="57"/>
      <c r="J13" s="57"/>
      <c r="K13" s="57"/>
    </row>
    <row r="14" spans="1:11" s="59" customFormat="1" ht="22" customHeight="1" x14ac:dyDescent="0.35">
      <c r="A14" s="50" t="s">
        <v>443</v>
      </c>
      <c r="B14" s="58"/>
      <c r="C14" s="58"/>
    </row>
    <row r="15" spans="1:11" s="52" customFormat="1" x14ac:dyDescent="0.35">
      <c r="A15" s="85" t="s">
        <v>436</v>
      </c>
      <c r="B15" s="90" t="s">
        <v>427</v>
      </c>
      <c r="C15" s="90"/>
      <c r="D15" s="90"/>
      <c r="E15" s="90" t="s">
        <v>331</v>
      </c>
      <c r="F15" s="90"/>
      <c r="G15" s="90"/>
      <c r="H15" s="90" t="s">
        <v>340</v>
      </c>
      <c r="I15" s="90"/>
      <c r="J15" s="90"/>
      <c r="K15" s="85" t="s">
        <v>435</v>
      </c>
    </row>
    <row r="16" spans="1:11" x14ac:dyDescent="0.35">
      <c r="A16" s="85"/>
      <c r="B16" s="51" t="s">
        <v>10</v>
      </c>
      <c r="C16" s="51" t="s">
        <v>9</v>
      </c>
      <c r="D16" s="51" t="s">
        <v>8</v>
      </c>
      <c r="E16" s="51" t="s">
        <v>10</v>
      </c>
      <c r="F16" s="51" t="s">
        <v>9</v>
      </c>
      <c r="G16" s="51" t="s">
        <v>8</v>
      </c>
      <c r="H16" s="51" t="s">
        <v>10</v>
      </c>
      <c r="I16" s="51" t="s">
        <v>9</v>
      </c>
      <c r="J16" s="51" t="s">
        <v>8</v>
      </c>
      <c r="K16" s="85"/>
    </row>
    <row r="17" spans="1:11" x14ac:dyDescent="0.35">
      <c r="A17" s="53">
        <v>0.05</v>
      </c>
      <c r="B17" s="54">
        <f>SUMIFS(Purchase!$R:$R,Purchase!$O:$O,'AAPL Summary'!$A$17,Purchase!$C:$C,"&gt;="&amp;'AAPL Summary'!$K$3,Purchase!$C:$C,"&lt;="&amp;'AAPL Summary'!$K$4,Purchase!$G:$G,"Unregister dealer",Purchase!$B:$B,"Purchase")</f>
        <v>0</v>
      </c>
      <c r="C17" s="54">
        <f>SUMIFS(Purchase!$Q:$Q,Purchase!$O:$O,'AAPL Summary'!$A$17,Purchase!$C:$C,"&gt;="&amp;'AAPL Summary'!$K$3,Purchase!$C:$C,"&lt;="&amp;'AAPL Summary'!$K$4,Purchase!$G:$G,"Unregister dealer",Purchase!$B:$B,"=Purchase")</f>
        <v>0</v>
      </c>
      <c r="D17" s="54">
        <f>SUMIFS(Purchase!$P:$P,Purchase!$O:$O,'AAPL Summary'!$A$17,Purchase!$C:$C,"&gt;="&amp;'AAPL Summary'!$K$3,Purchase!$C:$C,"&lt;="&amp;'AAPL Summary'!$K$4,Purchase!$G:$G,"Unregister dealer",Purchase!$B:$B,"=Purchase")</f>
        <v>0</v>
      </c>
      <c r="E17" s="54">
        <f>SUMIFS(Purchase!$R:$R,Purchase!$O:$O,'AAPL Summary'!$A$17,Purchase!$C:$C,"&gt;="&amp;'AAPL Summary'!$K$3,Purchase!$C:$C,"&lt;="&amp;'AAPL Summary'!$K$4,Purchase!$G:$G,"Unregister dealer",Purchase!$B:$B,"Expense")</f>
        <v>0</v>
      </c>
      <c r="F17" s="54">
        <f>SUMIFS(Purchase!$Q:$Q,Purchase!$O:$O,'AAPL Summary'!$A$17,Purchase!$C:$C,"&gt;="&amp;'AAPL Summary'!$K$3,Purchase!$C:$C,"&lt;="&amp;'AAPL Summary'!$K$4,Purchase!$G:$G,"Unregister dealer",Purchase!$B:$B,"Expense")</f>
        <v>0</v>
      </c>
      <c r="G17" s="54">
        <f>SUMIFS(Purchase!$P:$P,Purchase!$O:$O,'AAPL Summary'!$A$17,Purchase!$C:$C,"&gt;="&amp;'AAPL Summary'!$K$3,Purchase!$C:$C,"&lt;="&amp;'AAPL Summary'!$K$4,Purchase!$G:$G,"Unregister dealer",Purchase!$B:$B,"Expense")</f>
        <v>0</v>
      </c>
      <c r="H17" s="54">
        <f>SUMIFS(Purchase!$R:$R,Purchase!$O:$O,'AAPL Summary'!$A$17,Purchase!$C:$C,"&gt;="&amp;'AAPL Summary'!$K$3,Purchase!$C:$C,"&lt;="&amp;'AAPL Summary'!$K$4,Purchase!$G:$G,"Unregister dealer",Purchase!$B:$B,"Asset")</f>
        <v>0</v>
      </c>
      <c r="I17" s="54">
        <f>SUMIFS(Purchase!$Q:$Q,Purchase!$O:$O,'AAPL Summary'!$A$17,Purchase!$C:$C,"&gt;="&amp;'AAPL Summary'!$K$3,Purchase!$C:$C,"&lt;="&amp;'AAPL Summary'!$K$4,Purchase!$G:$G,"Unregister dealer",Purchase!$B:$B,"Asset")</f>
        <v>0</v>
      </c>
      <c r="J17" s="54">
        <f>SUMIFS(Purchase!$P:$P,Purchase!$O:$O,'AAPL Summary'!$A$17,Purchase!$C:$C,"&gt;="&amp;'AAPL Summary'!$K$3,Purchase!$C:$C,"&lt;="&amp;'AAPL Summary'!$K$4,Purchase!$G:$G,"Unregister dealer",Purchase!$B:$B,"Asset")</f>
        <v>0</v>
      </c>
      <c r="K17" s="54">
        <f>SUM(B17:J17)</f>
        <v>0</v>
      </c>
    </row>
    <row r="18" spans="1:11" x14ac:dyDescent="0.35">
      <c r="A18" s="53">
        <v>0.12</v>
      </c>
      <c r="B18" s="54">
        <f>SUMIFS(Purchase!$R:$R,Purchase!$O:$O,'AAPL Summary'!$A$18,Purchase!$C:$C,"&gt;="&amp;'AAPL Summary'!$K$3,Purchase!$C:$C,"&lt;="&amp;'AAPL Summary'!$K$4,Purchase!$G:$G,"Unregister dealer",Purchase!$B:$B,"=Purchase")</f>
        <v>0</v>
      </c>
      <c r="C18" s="54">
        <f>SUMIFS(Purchase!$Q:$Q,Purchase!$O:$O,'AAPL Summary'!$A$18,Purchase!$C:$C,"&gt;="&amp;'AAPL Summary'!$K$3,Purchase!$C:$C,"&lt;="&amp;'AAPL Summary'!$K$4,Purchase!$G:$G,"Unregister dealer",Purchase!$B:$B,"Purchase")</f>
        <v>0</v>
      </c>
      <c r="D18" s="54">
        <f>SUMIFS(Purchase!$P:$P,Purchase!$O:$O,'AAPL Summary'!$A$18,Purchase!$C:$C,"&gt;="&amp;'AAPL Summary'!$K$3,Purchase!$C:$C,"&lt;="&amp;'AAPL Summary'!$K$4,Purchase!$G:$G,"Unregister dealer",Purchase!$B:$B,"=Purchase")</f>
        <v>0</v>
      </c>
      <c r="E18" s="54">
        <f>SUMIFS(Purchase!$R:$R,Purchase!$O:$O,'AAPL Summary'!$A$18,Purchase!$C:$C,"&gt;="&amp;'AAPL Summary'!$K$3,Purchase!$C:$C,"&lt;="&amp;'AAPL Summary'!$K$4,Purchase!$G:$G,"Unregister dealer",Purchase!$B:$B,"Expense")</f>
        <v>0</v>
      </c>
      <c r="F18" s="54">
        <f>SUMIFS(Purchase!$Q:$Q,Purchase!$O:$O,'AAPL Summary'!$A$18,Purchase!$C:$C,"&gt;="&amp;'AAPL Summary'!$K$3,Purchase!$C:$C,"&lt;="&amp;'AAPL Summary'!$K$4,Purchase!$G:$G,"Unregister dealer",Purchase!$B:$B,"Expense")</f>
        <v>0</v>
      </c>
      <c r="G18" s="54">
        <f>SUMIFS(Purchase!$P:$P,Purchase!$O:$O,'AAPL Summary'!$A$18,Purchase!$C:$C,"&gt;="&amp;'AAPL Summary'!$K$3,Purchase!$C:$C,"&lt;="&amp;'AAPL Summary'!$K$4,Purchase!$G:$G,"Unregister dealer",Purchase!$B:$B,"Expense")</f>
        <v>0</v>
      </c>
      <c r="H18" s="54">
        <f>SUMIFS(Purchase!$R:$R,Purchase!$O:$O,'AAPL Summary'!$A$18,Purchase!$C:$C,"&gt;="&amp;'AAPL Summary'!$K$3,Purchase!$C:$C,"&lt;="&amp;'AAPL Summary'!$K$4,Purchase!$G:$G,"Unregister dealer",Purchase!$B:$B,"Asset")</f>
        <v>0</v>
      </c>
      <c r="I18" s="54">
        <f>SUMIFS(Purchase!$Q:$Q,Purchase!$O:$O,'AAPL Summary'!$A$18,Purchase!$C:$C,"&gt;="&amp;'AAPL Summary'!$K$3,Purchase!$C:$C,"&lt;="&amp;'AAPL Summary'!$K$4,Purchase!$G:$G,"Unregister dealer",Purchase!$B:$B,"Asset")</f>
        <v>0</v>
      </c>
      <c r="J18" s="54">
        <f>SUMIFS(Purchase!$P:$P,Purchase!$O:$O,'AAPL Summary'!$A$18,Purchase!$C:$C,"&gt;="&amp;'AAPL Summary'!$K$3,Purchase!$C:$C,"&lt;="&amp;'AAPL Summary'!$K$4,Purchase!$G:$G,"Unregister dealer",Purchase!$B:$B,"Asset")</f>
        <v>0</v>
      </c>
      <c r="K18" s="54">
        <f t="shared" ref="K18:K20" si="0">SUM(B18:J18)</f>
        <v>0</v>
      </c>
    </row>
    <row r="19" spans="1:11" x14ac:dyDescent="0.35">
      <c r="A19" s="53">
        <v>0.18</v>
      </c>
      <c r="B19" s="54">
        <f>SUMIFS(Purchase!$R:$R,Purchase!$O:$O,'AAPL Summary'!$A$19,Purchase!$C:$C,"&gt;="&amp;'AAPL Summary'!$K$3,Purchase!$C:$C,"&lt;="&amp;'AAPL Summary'!$K$4,Purchase!$G:$G,"Unregister dealer",Purchase!$B:$B,"=Purchase")</f>
        <v>0</v>
      </c>
      <c r="C19" s="54">
        <f>SUMIFS(Purchase!Q:Q,Purchase!$O:$O,'AAPL Summary'!$A$19,Purchase!$C:$C,"&gt;="&amp;'AAPL Summary'!$K$3,Purchase!$C:$C,"&lt;="&amp;'AAPL Summary'!$K$4,Purchase!$G:$G,"Unregister dealer",Purchase!$B:$B,"=Purchase")</f>
        <v>0</v>
      </c>
      <c r="D19" s="54">
        <f>SUMIFS(Purchase!$P:$P,Purchase!$O:$O,'AAPL Summary'!$A$19,Purchase!$C:$C,"&gt;="&amp;'AAPL Summary'!$K$3,Purchase!$C:$C,"&lt;="&amp;'AAPL Summary'!$K$4,Purchase!$G:$G,"Unregister dealer",Purchase!$B:$B,"=Purchase")</f>
        <v>0</v>
      </c>
      <c r="E19" s="54">
        <f>SUMIFS(Purchase!$R:$R,Purchase!$O:$O,'AAPL Summary'!$A$19,Purchase!$C:$C,"&gt;="&amp;'AAPL Summary'!$K$3,Purchase!$C:$C,"&lt;="&amp;'AAPL Summary'!$K$4,Purchase!$G:$G,"Unregister dealer",Purchase!$B:$B,"Expense")</f>
        <v>0</v>
      </c>
      <c r="F19" s="54">
        <f>SUMIFS(Purchase!$Q:Q,Purchase!$O:$O,'AAPL Summary'!$A$19,Purchase!$C:$C,"&gt;="&amp;'AAPL Summary'!$K$3,Purchase!$C:$C,"&lt;="&amp;'AAPL Summary'!$K$4,Purchase!$G:$G,"Unregister dealer",Purchase!$B:$B,"Expense")</f>
        <v>0</v>
      </c>
      <c r="G19" s="54">
        <f>SUMIFS(Purchase!$P:$P,Purchase!$O:$O,'AAPL Summary'!$A$19,Purchase!$C:$C,"&gt;="&amp;'AAPL Summary'!$K$3,Purchase!$C:$C,"&lt;="&amp;'AAPL Summary'!$K$4,Purchase!$G:$G,"Unregister dealer",Purchase!$B:$B,"Expense")</f>
        <v>0</v>
      </c>
      <c r="H19" s="54">
        <f>SUMIFS(Purchase!$R:$R,Purchase!$O:$O,'AAPL Summary'!$A$19,Purchase!$C:$C,"&gt;="&amp;'AAPL Summary'!$K$3,Purchase!$C:$C,"&lt;="&amp;'AAPL Summary'!$K$4,Purchase!$G:$G,"Unregister dealer",Purchase!$B:$B,"Asset")</f>
        <v>0</v>
      </c>
      <c r="I19" s="54">
        <f ca="1">SUMIFS(Purchase!V:V,Purchase!$O:$O,'AAPL Summary'!$A$19,Purchase!$C:$C,"&gt;="&amp;'AAPL Summary'!$K$3,Purchase!$C:$C,"&lt;="&amp;'AAPL Summary'!$K$4,Purchase!$G:$G,"Unregister dealer",Purchase!$B:$B,"Asset")</f>
        <v>0</v>
      </c>
      <c r="J19" s="54">
        <f>SUMIFS(Purchase!$P:$P,Purchase!$O:$O,'AAPL Summary'!$A$19,Purchase!$C:$C,"&gt;="&amp;'AAPL Summary'!$K$3,Purchase!$C:$C,"&lt;="&amp;'AAPL Summary'!$K$4,Purchase!$G:$G,"Unregister dealer",Purchase!$B:$B,"Asset")</f>
        <v>0</v>
      </c>
      <c r="K19" s="54">
        <f t="shared" ca="1" si="0"/>
        <v>0</v>
      </c>
    </row>
    <row r="20" spans="1:11" x14ac:dyDescent="0.35">
      <c r="A20" s="53">
        <v>0.28000000000000003</v>
      </c>
      <c r="B20" s="54">
        <f>SUMIFS(Purchase!$R:$R,Purchase!$O:$O,'AAPL Summary'!$A$20,Purchase!$C:$C,"&gt;="&amp;'AAPL Summary'!$K$3,Purchase!$C:$C,"&lt;="&amp;'AAPL Summary'!$K$4,Purchase!$G:$G,"Unregister dealer",Purchase!$B:$B,"=Purchase")</f>
        <v>0</v>
      </c>
      <c r="C20" s="54">
        <f>SUMIFS(Purchase!$Q:$Q,Purchase!$O:$O,'AAPL Summary'!$A$20,Purchase!$C:$C,"&gt;="&amp;'AAPL Summary'!$K$3,Purchase!$C:$C,"&lt;="&amp;'AAPL Summary'!$K$4,Purchase!$G:$G,"Unregister dealer",Purchase!$B:$B,"=Purchase")</f>
        <v>0</v>
      </c>
      <c r="D20" s="54">
        <f>SUMIFS(Purchase!$P:$P,Purchase!$O:$O,'AAPL Summary'!$A$20,Purchase!$C:$C,"&gt;="&amp;'AAPL Summary'!$K$3,Purchase!$C:$C,"&lt;="&amp;'AAPL Summary'!$K$4,Purchase!$G:$G,"Unregister dealer",Purchase!$B:$B,"=Purchase")</f>
        <v>0</v>
      </c>
      <c r="E20" s="54">
        <f>SUMIFS(Purchase!$R:$R,Purchase!$O:$O,'AAPL Summary'!$A$20,Purchase!$C:$C,"&gt;="&amp;'AAPL Summary'!$K$3,Purchase!$C:$C,"&lt;="&amp;'AAPL Summary'!$K$4,Purchase!$G:$G,"Unregister dealer",Purchase!$B:$B,"Expense")</f>
        <v>0</v>
      </c>
      <c r="F20" s="54">
        <f>SUMIFS(Purchase!$Q:$Q,Purchase!$O:$O,'AAPL Summary'!$A$20,Purchase!$C:$C,"&gt;="&amp;'AAPL Summary'!$K$3,Purchase!$C:$C,"&lt;="&amp;'AAPL Summary'!$K$4,Purchase!$G:$G,"Unregister dealer",Purchase!$B:$B,"Expense")</f>
        <v>0</v>
      </c>
      <c r="G20" s="54">
        <f>SUMIFS(Purchase!$P:$P,Purchase!$O:$O,'AAPL Summary'!$A$20,Purchase!$C:$C,"&gt;="&amp;'AAPL Summary'!$K$3,Purchase!$C:$C,"&lt;="&amp;'AAPL Summary'!$K$4,Purchase!$G:$G,"Unregister dealer",Purchase!$B:$B,"Expense")</f>
        <v>0</v>
      </c>
      <c r="H20" s="54">
        <f>SUMIFS(Purchase!$R:$R,Purchase!$O:$O,'AAPL Summary'!$A$20,Purchase!$C:$C,"&gt;="&amp;'AAPL Summary'!$K$3,Purchase!$C:$C,"&lt;="&amp;'AAPL Summary'!$K$4,Purchase!$G:$G,"Unregister dealer",Purchase!$B:$B,"Asset")</f>
        <v>0</v>
      </c>
      <c r="I20" s="54">
        <f>SUMIFS(Purchase!$Q:$Q,Purchase!$O:$O,'AAPL Summary'!$A$20,Purchase!$C:$C,"&gt;="&amp;'AAPL Summary'!$K$3,Purchase!$C:$C,"&lt;="&amp;'AAPL Summary'!$K$4,Purchase!$G:$G,"Unregister dealer",Purchase!$B:$B,"Asset")</f>
        <v>0</v>
      </c>
      <c r="J20" s="54">
        <f>SUMIFS(Purchase!$P:$P,Purchase!$O:$O,'AAPL Summary'!$A$20,Purchase!$C:$C,"&gt;="&amp;'AAPL Summary'!$K$3,Purchase!$C:$C,"&lt;="&amp;'AAPL Summary'!$K$4,Purchase!$G:$G,"Unregister dealer",Purchase!$B:$B,"Asset")</f>
        <v>0</v>
      </c>
      <c r="K20" s="54">
        <f t="shared" si="0"/>
        <v>0</v>
      </c>
    </row>
    <row r="21" spans="1:11" s="71" customFormat="1" ht="20.5" customHeight="1" x14ac:dyDescent="0.35">
      <c r="A21" s="55" t="s">
        <v>435</v>
      </c>
      <c r="B21" s="70">
        <f>SUM(B17:B20)</f>
        <v>0</v>
      </c>
      <c r="C21" s="70">
        <f>SUM(C17:C20)</f>
        <v>0</v>
      </c>
      <c r="D21" s="70">
        <f>SUM(D17:D20)</f>
        <v>0</v>
      </c>
      <c r="E21" s="70">
        <f>SUM(E17:E20)</f>
        <v>0</v>
      </c>
      <c r="F21" s="70">
        <f>SUM(F17:F20)</f>
        <v>0</v>
      </c>
      <c r="G21" s="70">
        <f>SUM(G17:G20)</f>
        <v>0</v>
      </c>
      <c r="H21" s="70">
        <f>SUM(H17:H20)</f>
        <v>0</v>
      </c>
      <c r="I21" s="70">
        <f ca="1">SUM(I17:I20)</f>
        <v>0</v>
      </c>
      <c r="J21" s="70">
        <f>SUM(J17:J20)</f>
        <v>0</v>
      </c>
      <c r="K21" s="70">
        <f ca="1">SUM(B21:J21)</f>
        <v>0</v>
      </c>
    </row>
    <row r="23" spans="1:11" s="59" customFormat="1" ht="22" customHeight="1" x14ac:dyDescent="0.35">
      <c r="A23" s="60" t="s">
        <v>439</v>
      </c>
    </row>
    <row r="24" spans="1:11" x14ac:dyDescent="0.35">
      <c r="A24" s="85" t="s">
        <v>436</v>
      </c>
      <c r="B24" s="90" t="s">
        <v>437</v>
      </c>
      <c r="C24" s="90"/>
      <c r="D24" s="90"/>
      <c r="E24" s="90" t="s">
        <v>438</v>
      </c>
      <c r="F24" s="90"/>
      <c r="G24" s="90"/>
      <c r="H24" s="90" t="s">
        <v>442</v>
      </c>
      <c r="I24" s="90"/>
      <c r="J24" s="90"/>
      <c r="K24" s="85" t="s">
        <v>435</v>
      </c>
    </row>
    <row r="25" spans="1:11" x14ac:dyDescent="0.35">
      <c r="A25" s="85"/>
      <c r="B25" s="51" t="s">
        <v>10</v>
      </c>
      <c r="C25" s="51" t="s">
        <v>9</v>
      </c>
      <c r="D25" s="51" t="s">
        <v>8</v>
      </c>
      <c r="E25" s="51" t="s">
        <v>10</v>
      </c>
      <c r="F25" s="51" t="s">
        <v>9</v>
      </c>
      <c r="G25" s="51" t="s">
        <v>8</v>
      </c>
      <c r="H25" s="51" t="s">
        <v>10</v>
      </c>
      <c r="I25" s="51" t="s">
        <v>9</v>
      </c>
      <c r="J25" s="51" t="s">
        <v>8</v>
      </c>
      <c r="K25" s="85"/>
    </row>
    <row r="26" spans="1:11" x14ac:dyDescent="0.35">
      <c r="A26" s="53">
        <v>0.05</v>
      </c>
      <c r="B26" s="54">
        <f>SUMIFS(Sales!$M:$M,Sales!$J:$J,'AAPL Summary'!A8,Sales!$E:$E,"&lt;&gt;"&amp;"Unregister Dealer",Sales!$B:$B,"Sales",Sales!$C:$C,"&gt;="&amp;'AAPL Summary'!$K$3,Sales!$C:$C,"&lt;="&amp;'AAPL Summary'!$K$4)</f>
        <v>433901.79825000011</v>
      </c>
      <c r="C26" s="54">
        <f>SUMIFS(Sales!$L:$L,Sales!$J:$J,'AAPL Summary'!A8,Sales!$E:$E,"&lt;&gt;"&amp;"Unregister Dealer",Sales!$B:$B,"Sales",Sales!$C:$C,"&gt;="&amp;'AAPL Summary'!$K$3,Sales!$C:$C,"&lt;="&amp;'AAPL Summary'!$K$4)</f>
        <v>433901.79825000011</v>
      </c>
      <c r="D26" s="54">
        <f>SUMIFS(Sales!$K:$K,Sales!$J:$J,'AAPL Summary'!A8,Sales!$E:$E,"&lt;&gt;"&amp;"Unregister Dealer",Sales!$B:$B,"Sales",Sales!$C:$C,"&gt;="&amp;'AAPL Summary'!$K$3,Sales!$C:$C,"&lt;="&amp;'AAPL Summary'!$K$4)</f>
        <v>0</v>
      </c>
      <c r="E26" s="54">
        <f>SUMIFS(Sales!$M:$M,Sales!$J:$J,'AAPL Summary'!A8,Sales!$E:$E,"Unregistered Dealer",Sales!$B:$B,"Cash Sales",Sales!$C:$C,"&gt;="&amp;'AAPL Summary'!$K$3,Sales!$C:$C,"&lt;="&amp;'AAPL Summary'!$K$4)</f>
        <v>59453.166464285721</v>
      </c>
      <c r="F26" s="54">
        <f>SUMIFS(Sales!$L:$L,Sales!$J:$J,'AAPL Summary'!A8,Sales!$E:$E,"Unregistered Dealer",Sales!$B:$B,"Cash Sales",Sales!$C:$C,"&gt;="&amp;'AAPL Summary'!$K$3,Sales!$C:$C,"&lt;="&amp;'AAPL Summary'!$K$4)</f>
        <v>59453.166464285721</v>
      </c>
      <c r="G26" s="54">
        <f>SUMIFS(Sales!$K:$K,Sales!$J:$J,'AAPL Summary'!A8,Sales!$E:$E,"Unregistered Dealer",Sales!$B:$B,"Cash Sales",Sales!$C:$C,"&gt;="&amp;'AAPL Summary'!$K$3,Sales!$C:$C,"&lt;="&amp;'AAPL Summary'!$K$4)</f>
        <v>0</v>
      </c>
      <c r="H26" s="54">
        <f>SUMIFS(Sales!$M:$M,Sales!$J:$J,'AAPL Summary'!A8,Sales!$B:$B,"Scrap Sales",Sales!$C:$C,"&gt;="&amp;'AAPL Summary'!$K$3,Sales!$C:$C,"&lt;="&amp;'AAPL Summary'!$K$4)</f>
        <v>0</v>
      </c>
      <c r="I26" s="54">
        <f>SUMIFS(Sales!$L:$L,Sales!$J:$J,'AAPL Summary'!A8,Sales!$B:$B,"Scrap Sales",Sales!$C:$C,"&gt;="&amp;'AAPL Summary'!$K$3,Sales!$C:$C,"&lt;="&amp;'AAPL Summary'!$K$4)</f>
        <v>0</v>
      </c>
      <c r="J26" s="54">
        <f>SUMIFS(Sales!$K:$K,Sales!$J:$J,'AAPL Summary'!A8,Sales!$B:$B,"Scrap Sales",Sales!$C:$C,"&gt;="&amp;'AAPL Summary'!$K$3,Sales!$C:$C,"&lt;="&amp;'AAPL Summary'!$K$4)</f>
        <v>0</v>
      </c>
      <c r="K26" s="54">
        <f>SUM(B26:J26)</f>
        <v>986709.9294285716</v>
      </c>
    </row>
    <row r="27" spans="1:11" x14ac:dyDescent="0.35">
      <c r="A27" s="53">
        <v>0.12</v>
      </c>
      <c r="B27" s="54">
        <f>SUMIFS(Sales!$M:$M,Sales!$J:$J,'AAPL Summary'!A9,Sales!$E:$E,"&lt;&gt;"&amp;"Unregister Dealer",Sales!$B:$B,"Sales",Sales!$C:$C,"&gt;="&amp;'AAPL Summary'!$K$3,Sales!$C:$C,"&lt;="&amp;'AAPL Summary'!$K$4)</f>
        <v>0</v>
      </c>
      <c r="C27" s="54">
        <f>SUMIFS(Sales!$L:$L,Sales!$J:$J,'AAPL Summary'!A9,Sales!$E:$E,"&lt;&gt;"&amp;"Unregister Dealer",Sales!$B:$B,"Sales",Sales!$C:$C,"&gt;="&amp;'AAPL Summary'!$K$3,Sales!$C:$C,"&lt;="&amp;'AAPL Summary'!$K$4)</f>
        <v>0</v>
      </c>
      <c r="D27" s="54">
        <f>SUMIFS(Sales!$K:$K,Sales!$J:$J,'AAPL Summary'!A9,Sales!$E:$E,"&lt;&gt;"&amp;"Unregister Dealer",Sales!$B:$B,"Sales",Sales!$C:$C,"&gt;="&amp;'AAPL Summary'!$K$3,Sales!$C:$C,"&lt;="&amp;'AAPL Summary'!$K$4)</f>
        <v>0</v>
      </c>
      <c r="E27" s="54">
        <f>SUMIFS(Sales!$M:$M,Sales!$J:$J,'AAPL Summary'!A9,Sales!$E:$E,"Unregistered Dealer",Sales!$B:$B,"Cash Sales",Sales!$C:$C,"&gt;="&amp;'AAPL Summary'!$K$3,Sales!$C:$C,"&lt;="&amp;'AAPL Summary'!$K$4)</f>
        <v>0</v>
      </c>
      <c r="F27" s="54">
        <f>SUMIFS(Sales!$L:$L,Sales!$J:$J,'AAPL Summary'!A9,Sales!$E:$E,"Unregistered Dealer",Sales!$B:$B,"Cash Sales",Sales!$C:$C,"&gt;="&amp;'AAPL Summary'!$K$3,Sales!$C:$C,"&lt;="&amp;'AAPL Summary'!$K$4)</f>
        <v>0</v>
      </c>
      <c r="G27" s="54">
        <f>SUMIFS(Sales!$K:$K,Sales!$J:$J,'AAPL Summary'!A9,Sales!$E:$E,"Unregistered Dealer",Sales!$B:$B,"Cash Sales",Sales!$C:$C,"&gt;="&amp;'AAPL Summary'!$K$3,Sales!$C:$C,"&lt;="&amp;'AAPL Summary'!$K$4)</f>
        <v>0</v>
      </c>
      <c r="H27" s="54">
        <f>SUMIFS(Sales!$M:$M,Sales!$J:$J,'AAPL Summary'!A9,Sales!$B:$B,"Scrap Sales",Sales!$C:$C,"&gt;="&amp;'AAPL Summary'!$K$3,Sales!$C:$C,"&lt;="&amp;'AAPL Summary'!$K$4)</f>
        <v>0</v>
      </c>
      <c r="I27" s="54">
        <f>SUMIFS(Sales!$L:$L,Sales!$J:$J,'AAPL Summary'!A9,Sales!$B:$B,"Scrap Sales",Sales!$C:$C,"&gt;="&amp;'AAPL Summary'!$K$3,Sales!$C:$C,"&lt;="&amp;'AAPL Summary'!$K$4)</f>
        <v>0</v>
      </c>
      <c r="J27" s="54">
        <f>SUMIFS(Sales!$K:$K,Sales!$J:$J,'AAPL Summary'!A9,Sales!$B:$B,"Scrap Sales",Sales!$C:$C,"&gt;="&amp;'AAPL Summary'!$K$3,Sales!$C:$C,"&lt;="&amp;'AAPL Summary'!$K$4)</f>
        <v>0</v>
      </c>
      <c r="K27" s="54">
        <f t="shared" ref="K27:K29" si="1">SUM(B27:J27)</f>
        <v>0</v>
      </c>
    </row>
    <row r="28" spans="1:11" x14ac:dyDescent="0.35">
      <c r="A28" s="53">
        <v>0.18</v>
      </c>
      <c r="B28" s="54">
        <f>SUMIFS(Sales!$M:$M,Sales!$J:$J,'AAPL Summary'!A10,Sales!$E:$E,"&lt;&gt;"&amp;"Unregister Dealer",Sales!$B:$B,"Sales",Sales!$C:$C,"&gt;="&amp;'AAPL Summary'!$K$3,Sales!$C:$C,"&lt;="&amp;'AAPL Summary'!$K$4)</f>
        <v>0</v>
      </c>
      <c r="C28" s="54">
        <f>SUMIFS(Sales!$L:$L,Sales!$J:$J,'AAPL Summary'!A10,Sales!$E:$E,"&lt;&gt;"&amp;"Unregister Dealer",Sales!$B:$B,"Sales",Sales!$C:$C,"&gt;="&amp;'AAPL Summary'!$K$3,Sales!$C:$C,"&lt;="&amp;'AAPL Summary'!$K$4)</f>
        <v>0</v>
      </c>
      <c r="D28" s="54">
        <f>SUMIFS(Sales!$K:$K,Sales!$J:$J,'AAPL Summary'!A10,Sales!$E:$E,"&lt;&gt;"&amp;"Unregister Dealer",Sales!$B:$B,"Sales",Sales!$C:$C,"&gt;="&amp;'AAPL Summary'!$K$3,Sales!$C:$C,"&lt;="&amp;'AAPL Summary'!$K$4)</f>
        <v>0</v>
      </c>
      <c r="E28" s="54">
        <f>SUMIFS(Sales!$M:$M,Sales!$J:$J,'AAPL Summary'!A10,Sales!$E:$E,"Unregistered Dealer",Sales!$B:$B,"Cash Sales",Sales!$C:$C,"&gt;="&amp;'AAPL Summary'!$K$3,Sales!$C:$C,"&lt;="&amp;'AAPL Summary'!$K$4)</f>
        <v>0</v>
      </c>
      <c r="F28" s="54">
        <f>SUMIFS(Sales!$L:$L,Sales!$J:$J,'AAPL Summary'!A10,Sales!$E:$E,"Unregistered Dealer",Sales!$B:$B,"Cash Sales",Sales!$C:$C,"&gt;="&amp;'AAPL Summary'!$K$3,Sales!$C:$C,"&lt;="&amp;'AAPL Summary'!$K$4)</f>
        <v>0</v>
      </c>
      <c r="G28" s="54">
        <f>SUMIFS(Sales!$K:$K,Sales!$J:$J,'AAPL Summary'!A10,Sales!$E:$E,"Unregistered Dealer",Sales!$B:$B,"Cash Sales",Sales!$C:$C,"&gt;="&amp;'AAPL Summary'!$K$3,Sales!$C:$C,"&lt;="&amp;'AAPL Summary'!$K$4)</f>
        <v>0</v>
      </c>
      <c r="H28" s="54">
        <f>SUMIFS(Sales!$M:$M,Sales!$J:$J,'AAPL Summary'!A10,Sales!$B:$B,"Scrap Sales",Sales!$C:$C,"&gt;="&amp;'AAPL Summary'!$K$3,Sales!$C:$C,"&lt;="&amp;'AAPL Summary'!$K$4)</f>
        <v>0</v>
      </c>
      <c r="I28" s="54">
        <f>SUMIFS(Sales!$L:$L,Sales!$J:$J,'AAPL Summary'!A10,Sales!$B:$B,"Scrap Sales",Sales!$C:$C,"&gt;="&amp;'AAPL Summary'!$K$3,Sales!$C:$C,"&lt;="&amp;'AAPL Summary'!$K$4)</f>
        <v>0</v>
      </c>
      <c r="J28" s="54">
        <f>SUMIFS(Sales!$K:$K,Sales!$J:$J,'AAPL Summary'!A10,Sales!$B:$B,"Scrap Sales",Sales!$C:$C,"&gt;="&amp;'AAPL Summary'!$K$3,Sales!$C:$C,"&lt;="&amp;'AAPL Summary'!$K$4)</f>
        <v>0</v>
      </c>
      <c r="K28" s="54">
        <f t="shared" si="1"/>
        <v>0</v>
      </c>
    </row>
    <row r="29" spans="1:11" x14ac:dyDescent="0.35">
      <c r="A29" s="53">
        <v>0.28000000000000003</v>
      </c>
      <c r="B29" s="54">
        <f>SUMIFS(Sales!$M:$M,Sales!$J:$J,'AAPL Summary'!A11,Sales!$E:$E,"&lt;&gt;"&amp;"Unregister Dealer",Sales!$B:$B,"Sales",Sales!$C:$C,"&gt;="&amp;'AAPL Summary'!$K$3,Sales!$C:$C,"&lt;="&amp;'AAPL Summary'!$K$4)</f>
        <v>0</v>
      </c>
      <c r="C29" s="54">
        <f>SUMIFS(Sales!$L:$L,Sales!$J:$J,'AAPL Summary'!A11,Sales!$E:$E,"&lt;&gt;"&amp;"Unregister Dealer",Sales!$B:$B,"Sales",Sales!$C:$C,"&gt;="&amp;'AAPL Summary'!$K$3,Sales!$C:$C,"&lt;="&amp;'AAPL Summary'!$K$4)</f>
        <v>0</v>
      </c>
      <c r="D29" s="54">
        <f>SUMIFS(Sales!$K:$K,Sales!$J:$J,'AAPL Summary'!A11,Sales!$E:$E,"&lt;&gt;"&amp;"Unregister Dealer",Sales!$B:$B,"Sales",Sales!$C:$C,"&gt;="&amp;'AAPL Summary'!$K$3,Sales!$C:$C,"&lt;="&amp;'AAPL Summary'!$K$4)</f>
        <v>0</v>
      </c>
      <c r="E29" s="54">
        <f>SUMIFS(Sales!$M:$M,Sales!$J:$J,'AAPL Summary'!A11,Sales!$E:$E,"Unregistered Dealer",Sales!$B:$B,"Cash Sales",Sales!$C:$C,"&gt;="&amp;'AAPL Summary'!$K$3,Sales!$C:$C,"&lt;="&amp;'AAPL Summary'!$K$4)</f>
        <v>0</v>
      </c>
      <c r="F29" s="54">
        <f>SUMIFS(Sales!$L:$L,Sales!$J:$J,'AAPL Summary'!A11,Sales!$E:$E,"Unregistered Dealer",Sales!$B:$B,"Cash Sales",Sales!$C:$C,"&gt;="&amp;'AAPL Summary'!$K$3,Sales!$C:$C,"&lt;="&amp;'AAPL Summary'!$K$4)</f>
        <v>0</v>
      </c>
      <c r="G29" s="54">
        <f>SUMIFS(Sales!$K:$K,Sales!$J:$J,'AAPL Summary'!A11,Sales!$E:$E,"Unregistered Dealer",Sales!$B:$B,"Cash Sales",Sales!$C:$C,"&gt;="&amp;'AAPL Summary'!$K$3,Sales!$C:$C,"&lt;="&amp;'AAPL Summary'!$K$4)</f>
        <v>0</v>
      </c>
      <c r="H29" s="54">
        <f>SUMIFS(Sales!$M:$M,Sales!$J:$J,'AAPL Summary'!A11,Sales!$B:$B,"Scrap Sales",Sales!$C:$C,"&gt;="&amp;'AAPL Summary'!$K$3,Sales!$C:$C,"&lt;="&amp;'AAPL Summary'!$K$4)</f>
        <v>0</v>
      </c>
      <c r="I29" s="54">
        <f>SUMIFS(Sales!$L:$L,Sales!$J:$J,'AAPL Summary'!A11,Sales!$B:$B,"Scrap Sales",Sales!$C:$C,"&gt;="&amp;'AAPL Summary'!$K$3,Sales!$C:$C,"&lt;="&amp;'AAPL Summary'!$K$4)</f>
        <v>0</v>
      </c>
      <c r="J29" s="54">
        <f>SUMIFS(Sales!$K:$K,Sales!$J:$J,'AAPL Summary'!A11,Sales!$B:$B,"Scrap Sales",Sales!$C:$C,"&gt;="&amp;'AAPL Summary'!$K$3,Sales!$C:$C,"&lt;="&amp;'AAPL Summary'!$K$4)</f>
        <v>0</v>
      </c>
      <c r="K29" s="54">
        <f t="shared" si="1"/>
        <v>0</v>
      </c>
    </row>
    <row r="30" spans="1:11" s="69" customFormat="1" ht="20.5" customHeight="1" x14ac:dyDescent="0.35">
      <c r="A30" s="55" t="s">
        <v>435</v>
      </c>
      <c r="B30" s="68">
        <f>SUM(B26:B29)</f>
        <v>433901.79825000011</v>
      </c>
      <c r="C30" s="68">
        <f>SUM(C26:C29)</f>
        <v>433901.79825000011</v>
      </c>
      <c r="D30" s="68">
        <f>SUM(D26:D29)</f>
        <v>0</v>
      </c>
      <c r="E30" s="68">
        <f t="shared" ref="E30" si="2">SUM(E26:E29)</f>
        <v>59453.166464285721</v>
      </c>
      <c r="F30" s="68">
        <f t="shared" ref="F30" si="3">SUM(F26:F29)</f>
        <v>59453.166464285721</v>
      </c>
      <c r="G30" s="68">
        <f t="shared" ref="G30:I30" si="4">SUM(G26:G29)</f>
        <v>0</v>
      </c>
      <c r="H30" s="68">
        <f t="shared" si="4"/>
        <v>0</v>
      </c>
      <c r="I30" s="68">
        <f t="shared" si="4"/>
        <v>0</v>
      </c>
      <c r="J30" s="68">
        <f t="shared" ref="J30" si="5">SUM(J26:J29)</f>
        <v>0</v>
      </c>
      <c r="K30" s="70">
        <f>SUM(B30:J30)</f>
        <v>986709.9294285716</v>
      </c>
    </row>
    <row r="32" spans="1:11" x14ac:dyDescent="0.35">
      <c r="A32" s="76" t="s">
        <v>436</v>
      </c>
      <c r="B32" s="86" t="s">
        <v>447</v>
      </c>
      <c r="C32" s="87"/>
      <c r="D32" s="88"/>
      <c r="E32" s="86" t="s">
        <v>446</v>
      </c>
      <c r="F32" s="87"/>
      <c r="G32" s="88"/>
      <c r="I32" s="86" t="s">
        <v>473</v>
      </c>
      <c r="J32" s="87"/>
      <c r="K32" s="88"/>
    </row>
    <row r="33" spans="1:11" x14ac:dyDescent="0.35">
      <c r="A33" s="76"/>
      <c r="B33" s="51" t="s">
        <v>10</v>
      </c>
      <c r="C33" s="51" t="s">
        <v>9</v>
      </c>
      <c r="D33" s="51" t="s">
        <v>8</v>
      </c>
      <c r="E33" s="51" t="s">
        <v>10</v>
      </c>
      <c r="F33" s="51" t="s">
        <v>9</v>
      </c>
      <c r="G33" s="51" t="s">
        <v>8</v>
      </c>
      <c r="I33" s="51" t="s">
        <v>10</v>
      </c>
      <c r="J33" s="51" t="s">
        <v>9</v>
      </c>
      <c r="K33" s="51" t="s">
        <v>8</v>
      </c>
    </row>
    <row r="34" spans="1:11" x14ac:dyDescent="0.35">
      <c r="A34" s="53">
        <v>0.05</v>
      </c>
      <c r="B34" s="73"/>
      <c r="C34" s="73"/>
      <c r="D34" s="73"/>
      <c r="E34" s="73"/>
      <c r="F34" s="73"/>
      <c r="G34" s="73"/>
      <c r="I34" s="73"/>
      <c r="J34" s="73"/>
      <c r="K34" s="73"/>
    </row>
    <row r="35" spans="1:11" x14ac:dyDescent="0.35">
      <c r="A35" s="53">
        <v>0.12</v>
      </c>
      <c r="B35" s="73"/>
      <c r="C35" s="73"/>
      <c r="D35" s="73"/>
      <c r="E35" s="73"/>
      <c r="F35" s="73"/>
      <c r="G35" s="73"/>
      <c r="I35" s="73"/>
      <c r="J35" s="73"/>
      <c r="K35" s="73"/>
    </row>
    <row r="36" spans="1:11" x14ac:dyDescent="0.35">
      <c r="A36" s="53">
        <v>0.18</v>
      </c>
      <c r="B36" s="73"/>
      <c r="C36" s="73"/>
      <c r="D36" s="73"/>
      <c r="E36" s="73"/>
      <c r="F36" s="73"/>
      <c r="G36" s="73"/>
      <c r="I36" s="73"/>
      <c r="J36" s="73"/>
      <c r="K36" s="73"/>
    </row>
    <row r="37" spans="1:11" x14ac:dyDescent="0.35">
      <c r="A37" s="53">
        <v>0.28000000000000003</v>
      </c>
      <c r="B37" s="73"/>
      <c r="C37" s="73"/>
      <c r="D37" s="73"/>
      <c r="E37" s="73"/>
      <c r="F37" s="73"/>
      <c r="G37" s="73"/>
      <c r="I37" s="73"/>
      <c r="J37" s="73"/>
      <c r="K37" s="73"/>
    </row>
    <row r="38" spans="1:11" x14ac:dyDescent="0.35">
      <c r="A38" s="55" t="s">
        <v>435</v>
      </c>
      <c r="B38" s="77"/>
      <c r="C38" s="74"/>
      <c r="D38" s="74"/>
      <c r="E38" s="74"/>
      <c r="F38" s="77"/>
      <c r="G38" s="77"/>
      <c r="I38" s="74"/>
      <c r="J38" s="77"/>
      <c r="K38" s="77"/>
    </row>
    <row r="39" spans="1:11" s="52" customFormat="1" x14ac:dyDescent="0.35">
      <c r="C39" s="80"/>
      <c r="E39" s="69"/>
      <c r="F39" s="69"/>
      <c r="G39" s="69"/>
    </row>
    <row r="40" spans="1:11" s="52" customFormat="1" x14ac:dyDescent="0.35">
      <c r="C40" s="80"/>
      <c r="E40" s="69"/>
      <c r="F40" s="69"/>
      <c r="G40" s="69"/>
    </row>
    <row r="41" spans="1:11" s="52" customFormat="1" x14ac:dyDescent="0.35">
      <c r="C41" s="48"/>
      <c r="D41" s="76" t="s">
        <v>436</v>
      </c>
      <c r="E41" s="77" t="s">
        <v>10</v>
      </c>
      <c r="F41" s="77" t="s">
        <v>9</v>
      </c>
      <c r="G41" s="77" t="s">
        <v>8</v>
      </c>
      <c r="H41" s="77" t="s">
        <v>451</v>
      </c>
      <c r="I41" s="48"/>
    </row>
    <row r="42" spans="1:11" x14ac:dyDescent="0.35">
      <c r="D42" s="75" t="s">
        <v>448</v>
      </c>
      <c r="E42" s="82"/>
      <c r="F42" s="82"/>
      <c r="G42" s="82"/>
      <c r="H42" s="82"/>
    </row>
    <row r="43" spans="1:11" x14ac:dyDescent="0.35">
      <c r="D43" s="53">
        <v>0.05</v>
      </c>
      <c r="E43" s="78">
        <f>(B8+E8+H8)+(B17+E17+H17)</f>
        <v>9.2500000000000018</v>
      </c>
      <c r="F43" s="78">
        <f>(C8+F8+I8)+(C17+F17+I17)</f>
        <v>9.2500000000000018</v>
      </c>
      <c r="G43" s="78">
        <f>(D8+G8+J8)+(D17+G17+J17)</f>
        <v>0</v>
      </c>
      <c r="H43" s="78">
        <f>SUM(E43:G43)</f>
        <v>18.500000000000004</v>
      </c>
    </row>
    <row r="44" spans="1:11" x14ac:dyDescent="0.35">
      <c r="D44" s="53">
        <v>0.12</v>
      </c>
      <c r="E44" s="78">
        <f>(B9+E9+H9)+(B18+E18+H18)</f>
        <v>4596.96</v>
      </c>
      <c r="F44" s="78">
        <f>(C9+F9+I9)+(C18+F18+I18)</f>
        <v>4596.96</v>
      </c>
      <c r="G44" s="78">
        <f>(D9+G9+J9)+(D18+G18+J18)</f>
        <v>0</v>
      </c>
      <c r="H44" s="78">
        <f t="shared" ref="H44:H52" si="6">SUM(E44:G44)</f>
        <v>9193.92</v>
      </c>
    </row>
    <row r="45" spans="1:11" x14ac:dyDescent="0.35">
      <c r="C45" s="52"/>
      <c r="D45" s="53">
        <v>0.18</v>
      </c>
      <c r="E45" s="78">
        <f>(B10+E10+H10)+(B19+E19+H19)</f>
        <v>736686.37530000007</v>
      </c>
      <c r="F45" s="78">
        <f ca="1">(C10+F10+I10)+(C19+F19+I19)</f>
        <v>736686.37530000007</v>
      </c>
      <c r="G45" s="78">
        <f>(D10+G10+J10)+(D19+G19+J19)</f>
        <v>5760</v>
      </c>
      <c r="H45" s="78">
        <f t="shared" ca="1" si="6"/>
        <v>1479132.7506000001</v>
      </c>
      <c r="I45" s="52"/>
    </row>
    <row r="46" spans="1:11" s="52" customFormat="1" x14ac:dyDescent="0.35">
      <c r="C46" s="48"/>
      <c r="D46" s="53">
        <v>0.28000000000000003</v>
      </c>
      <c r="E46" s="78">
        <f>(B11+E11+H11)+(B20+E20+H20)</f>
        <v>78085.141400000008</v>
      </c>
      <c r="F46" s="78">
        <f>(C11+F11+I11)+(C20+F20+I20)</f>
        <v>78085.141400000008</v>
      </c>
      <c r="G46" s="78">
        <f>(D11+G11+J11)+(D20+G20+J20)</f>
        <v>0</v>
      </c>
      <c r="H46" s="78">
        <f t="shared" si="6"/>
        <v>156170.28280000002</v>
      </c>
      <c r="I46" s="48"/>
    </row>
    <row r="47" spans="1:11" x14ac:dyDescent="0.35">
      <c r="D47" s="53" t="s">
        <v>473</v>
      </c>
      <c r="E47" s="78"/>
      <c r="F47" s="78"/>
      <c r="G47" s="78"/>
      <c r="H47" s="78"/>
    </row>
    <row r="48" spans="1:11" x14ac:dyDescent="0.35">
      <c r="D48" s="53" t="s">
        <v>449</v>
      </c>
      <c r="E48" s="79">
        <f>SUM(E42:E47)</f>
        <v>819377.7267</v>
      </c>
      <c r="F48" s="79">
        <f t="shared" ref="F48:G48" ca="1" si="7">SUM(F42:F47)</f>
        <v>819377.7267</v>
      </c>
      <c r="G48" s="79">
        <f t="shared" si="7"/>
        <v>5760</v>
      </c>
      <c r="H48" s="77"/>
    </row>
    <row r="49" spans="4:8" x14ac:dyDescent="0.35">
      <c r="D49" s="53">
        <v>0.05</v>
      </c>
      <c r="E49" s="78">
        <f>B26+E26+H26</f>
        <v>493354.9647142858</v>
      </c>
      <c r="F49" s="78">
        <f>C26+F26+I26</f>
        <v>493354.9647142858</v>
      </c>
      <c r="G49" s="78">
        <f>D26+G26+J26</f>
        <v>0</v>
      </c>
      <c r="H49" s="78">
        <f t="shared" si="6"/>
        <v>986709.9294285716</v>
      </c>
    </row>
    <row r="50" spans="4:8" x14ac:dyDescent="0.35">
      <c r="D50" s="53">
        <v>0.12</v>
      </c>
      <c r="E50" s="78">
        <f>B27+E27+H27</f>
        <v>0</v>
      </c>
      <c r="F50" s="78">
        <f>C27+F27+I27</f>
        <v>0</v>
      </c>
      <c r="G50" s="78">
        <f>D27+G27+J27</f>
        <v>0</v>
      </c>
      <c r="H50" s="78">
        <f t="shared" si="6"/>
        <v>0</v>
      </c>
    </row>
    <row r="51" spans="4:8" x14ac:dyDescent="0.35">
      <c r="D51" s="53">
        <v>0.18</v>
      </c>
      <c r="E51" s="78">
        <f>B28+E28+H28</f>
        <v>0</v>
      </c>
      <c r="F51" s="78">
        <f>C28+F28+I28</f>
        <v>0</v>
      </c>
      <c r="G51" s="78">
        <f>D28+G28+J28</f>
        <v>0</v>
      </c>
      <c r="H51" s="78">
        <f t="shared" si="6"/>
        <v>0</v>
      </c>
    </row>
    <row r="52" spans="4:8" x14ac:dyDescent="0.35">
      <c r="D52" s="53">
        <v>0.28000000000000003</v>
      </c>
      <c r="E52" s="78">
        <f>B29+E29+H29</f>
        <v>0</v>
      </c>
      <c r="F52" s="78">
        <f>C29+F29+I29</f>
        <v>0</v>
      </c>
      <c r="G52" s="78">
        <f>D29+G29+J29</f>
        <v>0</v>
      </c>
      <c r="H52" s="78">
        <f t="shared" si="6"/>
        <v>0</v>
      </c>
    </row>
    <row r="53" spans="4:8" x14ac:dyDescent="0.35">
      <c r="D53" s="77" t="s">
        <v>450</v>
      </c>
      <c r="E53" s="79">
        <f t="shared" ref="E53:G53" si="8">SUM(E49:E52)</f>
        <v>493354.9647142858</v>
      </c>
      <c r="F53" s="79">
        <f t="shared" si="8"/>
        <v>493354.9647142858</v>
      </c>
      <c r="G53" s="79">
        <f t="shared" si="8"/>
        <v>0</v>
      </c>
      <c r="H53" s="77"/>
    </row>
    <row r="54" spans="4:8" x14ac:dyDescent="0.35">
      <c r="D54" s="73"/>
      <c r="E54" s="73"/>
      <c r="F54" s="73"/>
      <c r="G54" s="73"/>
      <c r="H54" s="73"/>
    </row>
    <row r="55" spans="4:8" ht="29" x14ac:dyDescent="0.35">
      <c r="D55" s="81" t="s">
        <v>452</v>
      </c>
      <c r="E55" s="78">
        <f>E53-E48</f>
        <v>-326022.7619857142</v>
      </c>
      <c r="F55" s="78">
        <f t="shared" ref="F55:G55" ca="1" si="9">F53-F48</f>
        <v>-326022.7619857142</v>
      </c>
      <c r="G55" s="78">
        <f t="shared" si="9"/>
        <v>-5760</v>
      </c>
      <c r="H55" s="73"/>
    </row>
  </sheetData>
  <mergeCells count="19">
    <mergeCell ref="B32:D32"/>
    <mergeCell ref="E32:G32"/>
    <mergeCell ref="I32:K32"/>
    <mergeCell ref="A1:K1"/>
    <mergeCell ref="H24:J24"/>
    <mergeCell ref="B15:D15"/>
    <mergeCell ref="E15:G15"/>
    <mergeCell ref="H15:J15"/>
    <mergeCell ref="A6:A7"/>
    <mergeCell ref="A15:A16"/>
    <mergeCell ref="K15:K16"/>
    <mergeCell ref="B6:D6"/>
    <mergeCell ref="E6:G6"/>
    <mergeCell ref="H6:J6"/>
    <mergeCell ref="B24:D24"/>
    <mergeCell ref="E24:G24"/>
    <mergeCell ref="K24:K25"/>
    <mergeCell ref="K6:K7"/>
    <mergeCell ref="A24:A25"/>
  </mergeCells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7"/>
  <sheetViews>
    <sheetView showZeros="0" zoomScale="109" zoomScaleNormal="109" workbookViewId="0">
      <pane ySplit="1" topLeftCell="A2" activePane="bottomLeft" state="frozen"/>
      <selection pane="bottomLeft"/>
    </sheetView>
  </sheetViews>
  <sheetFormatPr defaultColWidth="9.08984375" defaultRowHeight="14.5" x14ac:dyDescent="0.35"/>
  <cols>
    <col min="1" max="1" width="9.6328125" style="13" bestFit="1" customWidth="1"/>
    <col min="2" max="2" width="9.6328125" style="13" customWidth="1"/>
    <col min="3" max="3" width="10.36328125" style="13" bestFit="1" customWidth="1"/>
    <col min="4" max="4" width="17.6328125" style="13" bestFit="1" customWidth="1"/>
    <col min="5" max="6" width="17.6328125" style="13" customWidth="1"/>
    <col min="7" max="8" width="18" style="13" customWidth="1"/>
    <col min="9" max="9" width="35.81640625" style="119" bestFit="1" customWidth="1"/>
    <col min="10" max="10" width="14.6328125" style="13" bestFit="1" customWidth="1"/>
    <col min="11" max="11" width="14.6328125" style="13" customWidth="1"/>
    <col min="12" max="12" width="13.453125" style="113" customWidth="1"/>
    <col min="13" max="13" width="19.81640625" style="14" bestFit="1" customWidth="1"/>
    <col min="14" max="14" width="11.81640625" style="101" bestFit="1" customWidth="1"/>
    <col min="15" max="15" width="13.453125" style="15" bestFit="1" customWidth="1"/>
    <col min="16" max="16" width="16.36328125" style="101" bestFit="1" customWidth="1"/>
    <col min="17" max="18" width="15" style="114" bestFit="1" customWidth="1"/>
    <col min="19" max="19" width="20.453125" style="114" bestFit="1" customWidth="1"/>
    <col min="20" max="20" width="10.453125" style="13" bestFit="1" customWidth="1"/>
    <col min="21" max="16384" width="9.08984375" style="13"/>
  </cols>
  <sheetData>
    <row r="1" spans="1:19" s="11" customFormat="1" ht="15.5" x14ac:dyDescent="0.35">
      <c r="A1" s="17" t="s">
        <v>0</v>
      </c>
      <c r="B1" s="17" t="s">
        <v>434</v>
      </c>
      <c r="C1" s="17" t="s">
        <v>1</v>
      </c>
      <c r="D1" s="17" t="s">
        <v>2</v>
      </c>
      <c r="E1" s="17" t="s">
        <v>466</v>
      </c>
      <c r="F1" s="17" t="s">
        <v>463</v>
      </c>
      <c r="G1" s="17" t="s">
        <v>3</v>
      </c>
      <c r="H1" s="17" t="s">
        <v>473</v>
      </c>
      <c r="I1" s="115" t="s">
        <v>465</v>
      </c>
      <c r="J1" s="17" t="s">
        <v>5</v>
      </c>
      <c r="K1" s="17" t="s">
        <v>461</v>
      </c>
      <c r="L1" s="19" t="s">
        <v>430</v>
      </c>
      <c r="M1" s="18" t="s">
        <v>6</v>
      </c>
      <c r="N1" s="19" t="s">
        <v>462</v>
      </c>
      <c r="O1" s="19" t="s">
        <v>7</v>
      </c>
      <c r="P1" s="18" t="s">
        <v>8</v>
      </c>
      <c r="Q1" s="18" t="s">
        <v>9</v>
      </c>
      <c r="R1" s="18" t="s">
        <v>10</v>
      </c>
      <c r="S1" s="18" t="s">
        <v>11</v>
      </c>
    </row>
    <row r="2" spans="1:19" s="11" customFormat="1" x14ac:dyDescent="0.35">
      <c r="A2" s="93">
        <v>1</v>
      </c>
      <c r="B2" s="93" t="s">
        <v>431</v>
      </c>
      <c r="C2" s="94">
        <v>43466</v>
      </c>
      <c r="D2" s="95">
        <v>333</v>
      </c>
      <c r="E2" s="95" t="s">
        <v>468</v>
      </c>
      <c r="F2" s="95" t="s">
        <v>464</v>
      </c>
      <c r="G2" s="95" t="s">
        <v>20</v>
      </c>
      <c r="H2" s="95" t="s">
        <v>475</v>
      </c>
      <c r="I2" s="116" t="s">
        <v>21</v>
      </c>
      <c r="J2" s="95">
        <v>4009</v>
      </c>
      <c r="K2" s="97">
        <v>1050</v>
      </c>
      <c r="L2" s="98"/>
      <c r="M2" s="97">
        <f>K2-L2</f>
        <v>1050</v>
      </c>
      <c r="N2" s="95"/>
      <c r="O2" s="98">
        <v>0.18</v>
      </c>
      <c r="P2" s="95" t="str">
        <f>IF(AND(E2="Interstate",F2&lt;&gt;"Composition"),(M2+N2)*O2,"0")</f>
        <v>0</v>
      </c>
      <c r="Q2" s="97">
        <f>IF(AND(E2="Intrastate",F2&lt;&gt;"Composition"),(M2+N2)*(O2/2),"0")</f>
        <v>94.5</v>
      </c>
      <c r="R2" s="97">
        <f>IF(AND(E2="Intrastate",F2&lt;&gt;"Composition"),(M2+N2)*(O2/2),"0")</f>
        <v>94.5</v>
      </c>
      <c r="S2" s="97">
        <f>SUM(M2:N2,P2:R2)</f>
        <v>1239</v>
      </c>
    </row>
    <row r="3" spans="1:19" s="11" customFormat="1" x14ac:dyDescent="0.35">
      <c r="A3" s="93">
        <v>2</v>
      </c>
      <c r="B3" s="93" t="s">
        <v>431</v>
      </c>
      <c r="C3" s="94">
        <v>43466</v>
      </c>
      <c r="D3" s="95">
        <v>770</v>
      </c>
      <c r="E3" s="95" t="s">
        <v>468</v>
      </c>
      <c r="F3" s="95" t="s">
        <v>464</v>
      </c>
      <c r="G3" s="95" t="s">
        <v>35</v>
      </c>
      <c r="H3" s="95" t="s">
        <v>475</v>
      </c>
      <c r="I3" s="116" t="s">
        <v>36</v>
      </c>
      <c r="J3" s="95">
        <v>8708</v>
      </c>
      <c r="K3" s="97">
        <v>2351.56</v>
      </c>
      <c r="L3" s="98"/>
      <c r="M3" s="97">
        <f t="shared" ref="M3:M66" si="0">K3-L3</f>
        <v>2351.56</v>
      </c>
      <c r="N3" s="95"/>
      <c r="O3" s="98">
        <v>0.28000000000000003</v>
      </c>
      <c r="P3" s="95" t="str">
        <f t="shared" ref="P3:P66" si="1">IF(AND(E3="Interstate",F3&lt;&gt;"Composition"),(M3+N3)*O3,"0")</f>
        <v>0</v>
      </c>
      <c r="Q3" s="97">
        <f t="shared" ref="Q3:Q66" si="2">IF(AND(E3="Intrastate",F3&lt;&gt;"Composition"),(M3+N3)*(O3/2),"0")</f>
        <v>329.21840000000003</v>
      </c>
      <c r="R3" s="97">
        <f t="shared" ref="R3:R66" si="3">IF(AND(E3="Intrastate",F3&lt;&gt;"Composition"),(M3+N3)*(O3/2),"0")</f>
        <v>329.21840000000003</v>
      </c>
      <c r="S3" s="97">
        <f t="shared" ref="S3:S66" si="4">SUM(M3:N3,P3:R3)</f>
        <v>3009.9968000000003</v>
      </c>
    </row>
    <row r="4" spans="1:19" s="11" customFormat="1" x14ac:dyDescent="0.35">
      <c r="A4" s="93">
        <v>3</v>
      </c>
      <c r="B4" s="93" t="s">
        <v>431</v>
      </c>
      <c r="C4" s="94">
        <v>43466</v>
      </c>
      <c r="D4" s="95">
        <v>770</v>
      </c>
      <c r="E4" s="95" t="s">
        <v>468</v>
      </c>
      <c r="F4" s="95" t="s">
        <v>464</v>
      </c>
      <c r="G4" s="95" t="s">
        <v>35</v>
      </c>
      <c r="H4" s="95" t="s">
        <v>475</v>
      </c>
      <c r="I4" s="116" t="s">
        <v>36</v>
      </c>
      <c r="J4" s="95" t="s">
        <v>63</v>
      </c>
      <c r="K4" s="97">
        <v>1101.7</v>
      </c>
      <c r="L4" s="98"/>
      <c r="M4" s="97">
        <f t="shared" si="0"/>
        <v>1101.7</v>
      </c>
      <c r="N4" s="95"/>
      <c r="O4" s="98">
        <v>0.18</v>
      </c>
      <c r="P4" s="95" t="str">
        <f t="shared" si="1"/>
        <v>0</v>
      </c>
      <c r="Q4" s="97">
        <f t="shared" si="2"/>
        <v>99.153000000000006</v>
      </c>
      <c r="R4" s="97">
        <f t="shared" si="3"/>
        <v>99.153000000000006</v>
      </c>
      <c r="S4" s="97">
        <f t="shared" si="4"/>
        <v>1300.0060000000001</v>
      </c>
    </row>
    <row r="5" spans="1:19" s="11" customFormat="1" x14ac:dyDescent="0.35">
      <c r="A5" s="93">
        <v>4</v>
      </c>
      <c r="B5" s="93" t="s">
        <v>431</v>
      </c>
      <c r="C5" s="94">
        <v>43466</v>
      </c>
      <c r="D5" s="95">
        <v>770</v>
      </c>
      <c r="E5" s="95" t="s">
        <v>468</v>
      </c>
      <c r="F5" s="95" t="s">
        <v>464</v>
      </c>
      <c r="G5" s="95" t="s">
        <v>35</v>
      </c>
      <c r="H5" s="95" t="s">
        <v>475</v>
      </c>
      <c r="I5" s="116" t="s">
        <v>36</v>
      </c>
      <c r="J5" s="95" t="s">
        <v>63</v>
      </c>
      <c r="K5" s="97">
        <v>296.61</v>
      </c>
      <c r="L5" s="98"/>
      <c r="M5" s="97">
        <f t="shared" si="0"/>
        <v>296.61</v>
      </c>
      <c r="N5" s="95"/>
      <c r="O5" s="98">
        <v>0.18</v>
      </c>
      <c r="P5" s="95" t="str">
        <f t="shared" si="1"/>
        <v>0</v>
      </c>
      <c r="Q5" s="97">
        <f t="shared" si="2"/>
        <v>26.694900000000001</v>
      </c>
      <c r="R5" s="97">
        <f t="shared" si="3"/>
        <v>26.694900000000001</v>
      </c>
      <c r="S5" s="97">
        <f t="shared" si="4"/>
        <v>349.99980000000005</v>
      </c>
    </row>
    <row r="6" spans="1:19" s="11" customFormat="1" x14ac:dyDescent="0.35">
      <c r="A6" s="93">
        <v>5</v>
      </c>
      <c r="B6" s="93" t="s">
        <v>431</v>
      </c>
      <c r="C6" s="94">
        <v>43466</v>
      </c>
      <c r="D6" s="95">
        <v>588</v>
      </c>
      <c r="E6" s="95" t="s">
        <v>468</v>
      </c>
      <c r="F6" s="95" t="s">
        <v>464</v>
      </c>
      <c r="G6" s="95" t="s">
        <v>22</v>
      </c>
      <c r="H6" s="95" t="s">
        <v>475</v>
      </c>
      <c r="I6" s="116" t="s">
        <v>23</v>
      </c>
      <c r="J6" s="95">
        <v>4011</v>
      </c>
      <c r="K6" s="97">
        <v>93365.64</v>
      </c>
      <c r="L6" s="98"/>
      <c r="M6" s="97">
        <f t="shared" si="0"/>
        <v>93365.64</v>
      </c>
      <c r="N6" s="95"/>
      <c r="O6" s="98">
        <v>0.28000000000000003</v>
      </c>
      <c r="P6" s="95" t="str">
        <f t="shared" si="1"/>
        <v>0</v>
      </c>
      <c r="Q6" s="97">
        <f t="shared" si="2"/>
        <v>13071.189600000002</v>
      </c>
      <c r="R6" s="97">
        <f t="shared" si="3"/>
        <v>13071.189600000002</v>
      </c>
      <c r="S6" s="97">
        <f t="shared" si="4"/>
        <v>119508.0192</v>
      </c>
    </row>
    <row r="7" spans="1:19" s="11" customFormat="1" x14ac:dyDescent="0.35">
      <c r="A7" s="93">
        <v>6</v>
      </c>
      <c r="B7" s="93" t="s">
        <v>431</v>
      </c>
      <c r="C7" s="94">
        <v>43466</v>
      </c>
      <c r="D7" s="95">
        <v>588</v>
      </c>
      <c r="E7" s="95" t="s">
        <v>468</v>
      </c>
      <c r="F7" s="95" t="s">
        <v>464</v>
      </c>
      <c r="G7" s="95" t="s">
        <v>22</v>
      </c>
      <c r="H7" s="95" t="s">
        <v>475</v>
      </c>
      <c r="I7" s="116" t="s">
        <v>23</v>
      </c>
      <c r="J7" s="95">
        <v>4013</v>
      </c>
      <c r="K7" s="97">
        <v>9254.2199999999993</v>
      </c>
      <c r="L7" s="98"/>
      <c r="M7" s="97">
        <f t="shared" si="0"/>
        <v>9254.2199999999993</v>
      </c>
      <c r="N7" s="95"/>
      <c r="O7" s="98">
        <v>0.18</v>
      </c>
      <c r="P7" s="95" t="str">
        <f t="shared" si="1"/>
        <v>0</v>
      </c>
      <c r="Q7" s="97">
        <f t="shared" si="2"/>
        <v>832.87979999999993</v>
      </c>
      <c r="R7" s="97">
        <f t="shared" si="3"/>
        <v>832.87979999999993</v>
      </c>
      <c r="S7" s="97">
        <f t="shared" si="4"/>
        <v>10919.979600000001</v>
      </c>
    </row>
    <row r="8" spans="1:19" s="11" customFormat="1" x14ac:dyDescent="0.35">
      <c r="A8" s="93">
        <v>7</v>
      </c>
      <c r="B8" s="93" t="s">
        <v>431</v>
      </c>
      <c r="C8" s="94">
        <v>43466</v>
      </c>
      <c r="D8" s="95">
        <v>588</v>
      </c>
      <c r="E8" s="95" t="s">
        <v>468</v>
      </c>
      <c r="F8" s="95" t="s">
        <v>464</v>
      </c>
      <c r="G8" s="95" t="s">
        <v>22</v>
      </c>
      <c r="H8" s="95" t="s">
        <v>475</v>
      </c>
      <c r="I8" s="116" t="s">
        <v>23</v>
      </c>
      <c r="J8" s="95">
        <v>4012</v>
      </c>
      <c r="K8" s="97">
        <v>2334</v>
      </c>
      <c r="L8" s="98"/>
      <c r="M8" s="97">
        <f t="shared" si="0"/>
        <v>2334</v>
      </c>
      <c r="N8" s="95"/>
      <c r="O8" s="98">
        <v>0.18</v>
      </c>
      <c r="P8" s="95" t="str">
        <f t="shared" si="1"/>
        <v>0</v>
      </c>
      <c r="Q8" s="97">
        <f t="shared" si="2"/>
        <v>210.06</v>
      </c>
      <c r="R8" s="97">
        <f t="shared" si="3"/>
        <v>210.06</v>
      </c>
      <c r="S8" s="97">
        <f t="shared" si="4"/>
        <v>2754.12</v>
      </c>
    </row>
    <row r="9" spans="1:19" s="11" customFormat="1" x14ac:dyDescent="0.35">
      <c r="A9" s="93">
        <v>8</v>
      </c>
      <c r="B9" s="93" t="s">
        <v>431</v>
      </c>
      <c r="C9" s="94">
        <v>43467</v>
      </c>
      <c r="D9" s="95" t="s">
        <v>250</v>
      </c>
      <c r="E9" s="95" t="s">
        <v>468</v>
      </c>
      <c r="F9" s="95" t="s">
        <v>464</v>
      </c>
      <c r="G9" s="95" t="s">
        <v>262</v>
      </c>
      <c r="H9" s="95" t="s">
        <v>475</v>
      </c>
      <c r="I9" s="116" t="s">
        <v>337</v>
      </c>
      <c r="J9" s="95">
        <v>998729</v>
      </c>
      <c r="K9" s="97">
        <v>1000</v>
      </c>
      <c r="L9" s="98"/>
      <c r="M9" s="97">
        <f t="shared" si="0"/>
        <v>1000</v>
      </c>
      <c r="N9" s="95"/>
      <c r="O9" s="98">
        <v>0.18</v>
      </c>
      <c r="P9" s="95" t="str">
        <f t="shared" si="1"/>
        <v>0</v>
      </c>
      <c r="Q9" s="97">
        <f t="shared" si="2"/>
        <v>90</v>
      </c>
      <c r="R9" s="97">
        <f t="shared" si="3"/>
        <v>90</v>
      </c>
      <c r="S9" s="97">
        <f t="shared" si="4"/>
        <v>1180</v>
      </c>
    </row>
    <row r="10" spans="1:19" s="11" customFormat="1" x14ac:dyDescent="0.35">
      <c r="A10" s="93">
        <v>9</v>
      </c>
      <c r="B10" s="93" t="s">
        <v>431</v>
      </c>
      <c r="C10" s="94">
        <v>43467</v>
      </c>
      <c r="D10" s="95" t="s">
        <v>251</v>
      </c>
      <c r="E10" s="95" t="s">
        <v>468</v>
      </c>
      <c r="F10" s="95" t="s">
        <v>464</v>
      </c>
      <c r="G10" s="95" t="s">
        <v>262</v>
      </c>
      <c r="H10" s="95" t="s">
        <v>475</v>
      </c>
      <c r="I10" s="116" t="s">
        <v>337</v>
      </c>
      <c r="J10" s="95">
        <v>87082900</v>
      </c>
      <c r="K10" s="97">
        <f>488.28+488.28</f>
        <v>976.56</v>
      </c>
      <c r="L10" s="98"/>
      <c r="M10" s="97">
        <f t="shared" si="0"/>
        <v>976.56</v>
      </c>
      <c r="N10" s="95"/>
      <c r="O10" s="98">
        <v>0.28000000000000003</v>
      </c>
      <c r="P10" s="95" t="str">
        <f t="shared" si="1"/>
        <v>0</v>
      </c>
      <c r="Q10" s="97">
        <f t="shared" si="2"/>
        <v>136.7184</v>
      </c>
      <c r="R10" s="97">
        <f t="shared" si="3"/>
        <v>136.7184</v>
      </c>
      <c r="S10" s="97">
        <f t="shared" si="4"/>
        <v>1249.9967999999999</v>
      </c>
    </row>
    <row r="11" spans="1:19" s="11" customFormat="1" x14ac:dyDescent="0.35">
      <c r="A11" s="93">
        <v>10</v>
      </c>
      <c r="B11" s="93" t="s">
        <v>431</v>
      </c>
      <c r="C11" s="94">
        <v>43467</v>
      </c>
      <c r="D11" s="95">
        <v>442</v>
      </c>
      <c r="E11" s="95" t="s">
        <v>468</v>
      </c>
      <c r="F11" s="95" t="s">
        <v>464</v>
      </c>
      <c r="G11" s="95" t="s">
        <v>319</v>
      </c>
      <c r="H11" s="95" t="s">
        <v>475</v>
      </c>
      <c r="I11" s="116" t="s">
        <v>24</v>
      </c>
      <c r="J11" s="95">
        <v>8431</v>
      </c>
      <c r="K11" s="97">
        <v>2800</v>
      </c>
      <c r="L11" s="98"/>
      <c r="M11" s="97">
        <f t="shared" si="0"/>
        <v>2800</v>
      </c>
      <c r="N11" s="95"/>
      <c r="O11" s="98">
        <v>0.18</v>
      </c>
      <c r="P11" s="95" t="str">
        <f t="shared" si="1"/>
        <v>0</v>
      </c>
      <c r="Q11" s="97">
        <f t="shared" si="2"/>
        <v>252</v>
      </c>
      <c r="R11" s="97">
        <f t="shared" si="3"/>
        <v>252</v>
      </c>
      <c r="S11" s="97">
        <f t="shared" si="4"/>
        <v>3304</v>
      </c>
    </row>
    <row r="12" spans="1:19" s="11" customFormat="1" x14ac:dyDescent="0.35">
      <c r="A12" s="93">
        <v>11</v>
      </c>
      <c r="B12" s="93" t="s">
        <v>431</v>
      </c>
      <c r="C12" s="94">
        <v>43468</v>
      </c>
      <c r="D12" s="95" t="s">
        <v>252</v>
      </c>
      <c r="E12" s="95" t="s">
        <v>468</v>
      </c>
      <c r="F12" s="95" t="s">
        <v>464</v>
      </c>
      <c r="G12" s="95" t="s">
        <v>262</v>
      </c>
      <c r="H12" s="95" t="s">
        <v>475</v>
      </c>
      <c r="I12" s="116" t="s">
        <v>337</v>
      </c>
      <c r="J12" s="95">
        <v>998729</v>
      </c>
      <c r="K12" s="97">
        <f>800+100</f>
        <v>900</v>
      </c>
      <c r="L12" s="98"/>
      <c r="M12" s="97">
        <f t="shared" si="0"/>
        <v>900</v>
      </c>
      <c r="N12" s="95"/>
      <c r="O12" s="98">
        <v>0.18</v>
      </c>
      <c r="P12" s="95" t="str">
        <f t="shared" si="1"/>
        <v>0</v>
      </c>
      <c r="Q12" s="97">
        <f t="shared" si="2"/>
        <v>81</v>
      </c>
      <c r="R12" s="97">
        <f t="shared" si="3"/>
        <v>81</v>
      </c>
      <c r="S12" s="97">
        <f t="shared" si="4"/>
        <v>1062</v>
      </c>
    </row>
    <row r="13" spans="1:19" s="11" customFormat="1" x14ac:dyDescent="0.35">
      <c r="A13" s="93">
        <v>12</v>
      </c>
      <c r="B13" s="93" t="s">
        <v>431</v>
      </c>
      <c r="C13" s="94">
        <v>43468</v>
      </c>
      <c r="D13" s="95" t="s">
        <v>253</v>
      </c>
      <c r="E13" s="95" t="s">
        <v>468</v>
      </c>
      <c r="F13" s="95" t="s">
        <v>464</v>
      </c>
      <c r="G13" s="95" t="s">
        <v>262</v>
      </c>
      <c r="H13" s="95" t="s">
        <v>475</v>
      </c>
      <c r="I13" s="116" t="s">
        <v>337</v>
      </c>
      <c r="J13" s="95">
        <v>85124000</v>
      </c>
      <c r="K13" s="97">
        <f>738.14+565.25</f>
        <v>1303.3899999999999</v>
      </c>
      <c r="L13" s="98"/>
      <c r="M13" s="97">
        <f t="shared" si="0"/>
        <v>1303.3899999999999</v>
      </c>
      <c r="N13" s="95"/>
      <c r="O13" s="98">
        <v>0.18</v>
      </c>
      <c r="P13" s="95" t="str">
        <f t="shared" si="1"/>
        <v>0</v>
      </c>
      <c r="Q13" s="97">
        <f t="shared" si="2"/>
        <v>117.30509999999998</v>
      </c>
      <c r="R13" s="97">
        <f t="shared" si="3"/>
        <v>117.30509999999998</v>
      </c>
      <c r="S13" s="97">
        <f t="shared" si="4"/>
        <v>1538.0001999999999</v>
      </c>
    </row>
    <row r="14" spans="1:19" s="11" customFormat="1" x14ac:dyDescent="0.35">
      <c r="A14" s="93">
        <v>13</v>
      </c>
      <c r="B14" s="93" t="s">
        <v>431</v>
      </c>
      <c r="C14" s="94">
        <v>43469</v>
      </c>
      <c r="D14" s="95">
        <v>449</v>
      </c>
      <c r="E14" s="95" t="s">
        <v>468</v>
      </c>
      <c r="F14" s="95" t="s">
        <v>464</v>
      </c>
      <c r="G14" s="95" t="s">
        <v>32</v>
      </c>
      <c r="H14" s="95" t="s">
        <v>475</v>
      </c>
      <c r="I14" s="116" t="s">
        <v>25</v>
      </c>
      <c r="J14" s="95">
        <v>8536</v>
      </c>
      <c r="K14" s="97">
        <f>4320+3960+6919.4+1445.92+140.16</f>
        <v>16785.48</v>
      </c>
      <c r="L14" s="98"/>
      <c r="M14" s="97">
        <f t="shared" si="0"/>
        <v>16785.48</v>
      </c>
      <c r="N14" s="95"/>
      <c r="O14" s="98">
        <v>0.18</v>
      </c>
      <c r="P14" s="95" t="str">
        <f t="shared" si="1"/>
        <v>0</v>
      </c>
      <c r="Q14" s="97">
        <f t="shared" si="2"/>
        <v>1510.6931999999999</v>
      </c>
      <c r="R14" s="97">
        <f t="shared" si="3"/>
        <v>1510.6931999999999</v>
      </c>
      <c r="S14" s="97">
        <f t="shared" si="4"/>
        <v>19806.866400000003</v>
      </c>
    </row>
    <row r="15" spans="1:19" s="11" customFormat="1" x14ac:dyDescent="0.35">
      <c r="A15" s="93">
        <v>14</v>
      </c>
      <c r="B15" s="93" t="s">
        <v>431</v>
      </c>
      <c r="C15" s="94">
        <v>43469</v>
      </c>
      <c r="D15" s="95">
        <v>449</v>
      </c>
      <c r="E15" s="95" t="s">
        <v>468</v>
      </c>
      <c r="F15" s="95" t="s">
        <v>464</v>
      </c>
      <c r="G15" s="95" t="s">
        <v>32</v>
      </c>
      <c r="H15" s="95" t="s">
        <v>475</v>
      </c>
      <c r="I15" s="116" t="s">
        <v>25</v>
      </c>
      <c r="J15" s="95">
        <v>8546</v>
      </c>
      <c r="K15" s="97">
        <v>300</v>
      </c>
      <c r="L15" s="98"/>
      <c r="M15" s="97">
        <f t="shared" si="0"/>
        <v>300</v>
      </c>
      <c r="N15" s="95"/>
      <c r="O15" s="98">
        <v>0.18</v>
      </c>
      <c r="P15" s="95" t="str">
        <f t="shared" si="1"/>
        <v>0</v>
      </c>
      <c r="Q15" s="97">
        <f t="shared" si="2"/>
        <v>27</v>
      </c>
      <c r="R15" s="97">
        <f t="shared" si="3"/>
        <v>27</v>
      </c>
      <c r="S15" s="97">
        <f t="shared" si="4"/>
        <v>354</v>
      </c>
    </row>
    <row r="16" spans="1:19" s="11" customFormat="1" x14ac:dyDescent="0.35">
      <c r="A16" s="93">
        <v>15</v>
      </c>
      <c r="B16" s="93" t="s">
        <v>431</v>
      </c>
      <c r="C16" s="94">
        <v>43469</v>
      </c>
      <c r="D16" s="95" t="s">
        <v>26</v>
      </c>
      <c r="E16" s="95" t="s">
        <v>468</v>
      </c>
      <c r="F16" s="95" t="s">
        <v>464</v>
      </c>
      <c r="G16" s="95" t="s">
        <v>15</v>
      </c>
      <c r="H16" s="95" t="s">
        <v>475</v>
      </c>
      <c r="I16" s="116" t="s">
        <v>16</v>
      </c>
      <c r="J16" s="95">
        <v>73201020</v>
      </c>
      <c r="K16" s="97">
        <v>4325.42</v>
      </c>
      <c r="L16" s="98"/>
      <c r="M16" s="97">
        <f t="shared" si="0"/>
        <v>4325.42</v>
      </c>
      <c r="N16" s="95"/>
      <c r="O16" s="98">
        <v>0.18</v>
      </c>
      <c r="P16" s="95" t="str">
        <f t="shared" si="1"/>
        <v>0</v>
      </c>
      <c r="Q16" s="97">
        <f t="shared" si="2"/>
        <v>389.2878</v>
      </c>
      <c r="R16" s="97">
        <f t="shared" si="3"/>
        <v>389.2878</v>
      </c>
      <c r="S16" s="97">
        <f t="shared" si="4"/>
        <v>5103.9956000000002</v>
      </c>
    </row>
    <row r="17" spans="1:19" s="11" customFormat="1" x14ac:dyDescent="0.35">
      <c r="A17" s="93">
        <v>16</v>
      </c>
      <c r="B17" s="93" t="s">
        <v>431</v>
      </c>
      <c r="C17" s="94">
        <v>43469</v>
      </c>
      <c r="D17" s="95" t="s">
        <v>26</v>
      </c>
      <c r="E17" s="95" t="s">
        <v>468</v>
      </c>
      <c r="F17" s="95" t="s">
        <v>464</v>
      </c>
      <c r="G17" s="95" t="s">
        <v>15</v>
      </c>
      <c r="H17" s="95" t="s">
        <v>475</v>
      </c>
      <c r="I17" s="116" t="s">
        <v>16</v>
      </c>
      <c r="J17" s="95">
        <v>87089900</v>
      </c>
      <c r="K17" s="97">
        <f>1872.66+1002.34+9213.28</f>
        <v>12088.28</v>
      </c>
      <c r="L17" s="98"/>
      <c r="M17" s="97">
        <f t="shared" si="0"/>
        <v>12088.28</v>
      </c>
      <c r="N17" s="95"/>
      <c r="O17" s="98">
        <v>0.28000000000000003</v>
      </c>
      <c r="P17" s="95" t="str">
        <f t="shared" si="1"/>
        <v>0</v>
      </c>
      <c r="Q17" s="97">
        <f t="shared" si="2"/>
        <v>1692.3592000000003</v>
      </c>
      <c r="R17" s="97">
        <f t="shared" si="3"/>
        <v>1692.3592000000003</v>
      </c>
      <c r="S17" s="97">
        <f t="shared" si="4"/>
        <v>15472.998400000002</v>
      </c>
    </row>
    <row r="18" spans="1:19" s="11" customFormat="1" x14ac:dyDescent="0.35">
      <c r="A18" s="93">
        <v>17</v>
      </c>
      <c r="B18" s="93" t="s">
        <v>431</v>
      </c>
      <c r="C18" s="94">
        <v>43469</v>
      </c>
      <c r="D18" s="95" t="s">
        <v>26</v>
      </c>
      <c r="E18" s="95" t="s">
        <v>468</v>
      </c>
      <c r="F18" s="95" t="s">
        <v>464</v>
      </c>
      <c r="G18" s="95" t="s">
        <v>15</v>
      </c>
      <c r="H18" s="95" t="s">
        <v>475</v>
      </c>
      <c r="I18" s="116" t="s">
        <v>16</v>
      </c>
      <c r="J18" s="95">
        <v>73181500</v>
      </c>
      <c r="K18" s="97">
        <f>290.68+233.9</f>
        <v>524.58000000000004</v>
      </c>
      <c r="L18" s="98"/>
      <c r="M18" s="97">
        <f t="shared" si="0"/>
        <v>524.58000000000004</v>
      </c>
      <c r="N18" s="95"/>
      <c r="O18" s="98">
        <v>0.18</v>
      </c>
      <c r="P18" s="95" t="str">
        <f t="shared" si="1"/>
        <v>0</v>
      </c>
      <c r="Q18" s="97">
        <f t="shared" si="2"/>
        <v>47.212200000000003</v>
      </c>
      <c r="R18" s="97">
        <f t="shared" si="3"/>
        <v>47.212200000000003</v>
      </c>
      <c r="S18" s="97">
        <f t="shared" si="4"/>
        <v>619.00440000000015</v>
      </c>
    </row>
    <row r="19" spans="1:19" s="11" customFormat="1" x14ac:dyDescent="0.35">
      <c r="A19" s="93">
        <v>18</v>
      </c>
      <c r="B19" s="93" t="s">
        <v>431</v>
      </c>
      <c r="C19" s="94">
        <v>43469</v>
      </c>
      <c r="D19" s="95" t="s">
        <v>26</v>
      </c>
      <c r="E19" s="95" t="s">
        <v>468</v>
      </c>
      <c r="F19" s="95" t="s">
        <v>464</v>
      </c>
      <c r="G19" s="95" t="s">
        <v>15</v>
      </c>
      <c r="H19" s="95" t="s">
        <v>475</v>
      </c>
      <c r="I19" s="116" t="s">
        <v>16</v>
      </c>
      <c r="J19" s="95">
        <v>73181600</v>
      </c>
      <c r="K19" s="97">
        <f>89.83+681.36</f>
        <v>771.19</v>
      </c>
      <c r="L19" s="98"/>
      <c r="M19" s="97">
        <f t="shared" si="0"/>
        <v>771.19</v>
      </c>
      <c r="N19" s="95"/>
      <c r="O19" s="98">
        <v>0.18</v>
      </c>
      <c r="P19" s="95" t="str">
        <f t="shared" si="1"/>
        <v>0</v>
      </c>
      <c r="Q19" s="97">
        <f t="shared" si="2"/>
        <v>69.4071</v>
      </c>
      <c r="R19" s="97">
        <f t="shared" si="3"/>
        <v>69.4071</v>
      </c>
      <c r="S19" s="97">
        <f t="shared" si="4"/>
        <v>910.00420000000008</v>
      </c>
    </row>
    <row r="20" spans="1:19" s="11" customFormat="1" x14ac:dyDescent="0.35">
      <c r="A20" s="93">
        <v>19</v>
      </c>
      <c r="B20" s="93" t="s">
        <v>431</v>
      </c>
      <c r="C20" s="94">
        <v>43469</v>
      </c>
      <c r="D20" s="95" t="s">
        <v>26</v>
      </c>
      <c r="E20" s="95" t="s">
        <v>468</v>
      </c>
      <c r="F20" s="95" t="s">
        <v>464</v>
      </c>
      <c r="G20" s="95" t="s">
        <v>15</v>
      </c>
      <c r="H20" s="95" t="s">
        <v>475</v>
      </c>
      <c r="I20" s="116" t="s">
        <v>16</v>
      </c>
      <c r="J20" s="95">
        <v>34029092</v>
      </c>
      <c r="K20" s="97">
        <v>109.17</v>
      </c>
      <c r="L20" s="98"/>
      <c r="M20" s="97">
        <f t="shared" si="0"/>
        <v>109.17</v>
      </c>
      <c r="N20" s="95"/>
      <c r="O20" s="98">
        <v>0.28000000000000003</v>
      </c>
      <c r="P20" s="95" t="str">
        <f t="shared" si="1"/>
        <v>0</v>
      </c>
      <c r="Q20" s="97">
        <f t="shared" si="2"/>
        <v>15.283800000000001</v>
      </c>
      <c r="R20" s="97">
        <f t="shared" si="3"/>
        <v>15.283800000000001</v>
      </c>
      <c r="S20" s="97">
        <f t="shared" si="4"/>
        <v>139.73760000000001</v>
      </c>
    </row>
    <row r="21" spans="1:19" s="11" customFormat="1" x14ac:dyDescent="0.35">
      <c r="A21" s="93">
        <v>20</v>
      </c>
      <c r="B21" s="93" t="s">
        <v>431</v>
      </c>
      <c r="C21" s="94">
        <v>43469</v>
      </c>
      <c r="D21" s="95" t="s">
        <v>26</v>
      </c>
      <c r="E21" s="95" t="s">
        <v>468</v>
      </c>
      <c r="F21" s="95" t="s">
        <v>464</v>
      </c>
      <c r="G21" s="95" t="s">
        <v>15</v>
      </c>
      <c r="H21" s="95" t="s">
        <v>475</v>
      </c>
      <c r="I21" s="116" t="s">
        <v>16</v>
      </c>
      <c r="J21" s="95">
        <v>73181900</v>
      </c>
      <c r="K21" s="97">
        <v>18.64</v>
      </c>
      <c r="L21" s="98"/>
      <c r="M21" s="97">
        <f t="shared" si="0"/>
        <v>18.64</v>
      </c>
      <c r="N21" s="95"/>
      <c r="O21" s="98">
        <v>0.18</v>
      </c>
      <c r="P21" s="95" t="str">
        <f t="shared" si="1"/>
        <v>0</v>
      </c>
      <c r="Q21" s="97">
        <f t="shared" si="2"/>
        <v>1.6776</v>
      </c>
      <c r="R21" s="97">
        <f t="shared" si="3"/>
        <v>1.6776</v>
      </c>
      <c r="S21" s="97">
        <f t="shared" si="4"/>
        <v>21.995199999999997</v>
      </c>
    </row>
    <row r="22" spans="1:19" s="11" customFormat="1" x14ac:dyDescent="0.35">
      <c r="A22" s="93">
        <v>21</v>
      </c>
      <c r="B22" s="93" t="s">
        <v>431</v>
      </c>
      <c r="C22" s="94">
        <v>43469</v>
      </c>
      <c r="D22" s="95" t="s">
        <v>26</v>
      </c>
      <c r="E22" s="95" t="s">
        <v>468</v>
      </c>
      <c r="F22" s="95" t="s">
        <v>464</v>
      </c>
      <c r="G22" s="95" t="s">
        <v>15</v>
      </c>
      <c r="H22" s="95" t="s">
        <v>475</v>
      </c>
      <c r="I22" s="116" t="s">
        <v>16</v>
      </c>
      <c r="J22" s="95">
        <v>73269080</v>
      </c>
      <c r="K22" s="97">
        <v>220.34</v>
      </c>
      <c r="L22" s="98"/>
      <c r="M22" s="97">
        <f t="shared" si="0"/>
        <v>220.34</v>
      </c>
      <c r="N22" s="95"/>
      <c r="O22" s="98">
        <v>0.18</v>
      </c>
      <c r="P22" s="95" t="str">
        <f t="shared" si="1"/>
        <v>0</v>
      </c>
      <c r="Q22" s="97">
        <f t="shared" si="2"/>
        <v>19.8306</v>
      </c>
      <c r="R22" s="97">
        <f t="shared" si="3"/>
        <v>19.8306</v>
      </c>
      <c r="S22" s="97">
        <f t="shared" si="4"/>
        <v>260.00119999999998</v>
      </c>
    </row>
    <row r="23" spans="1:19" s="11" customFormat="1" x14ac:dyDescent="0.35">
      <c r="A23" s="93">
        <v>22</v>
      </c>
      <c r="B23" s="93" t="s">
        <v>431</v>
      </c>
      <c r="C23" s="94">
        <v>43469</v>
      </c>
      <c r="D23" s="95" t="s">
        <v>26</v>
      </c>
      <c r="E23" s="95" t="s">
        <v>468</v>
      </c>
      <c r="F23" s="95" t="s">
        <v>464</v>
      </c>
      <c r="G23" s="95" t="s">
        <v>15</v>
      </c>
      <c r="H23" s="95" t="s">
        <v>475</v>
      </c>
      <c r="I23" s="116" t="s">
        <v>16</v>
      </c>
      <c r="J23" s="95">
        <v>87083000</v>
      </c>
      <c r="K23" s="97">
        <f>311.72+1306.25</f>
        <v>1617.97</v>
      </c>
      <c r="L23" s="98"/>
      <c r="M23" s="97">
        <f t="shared" si="0"/>
        <v>1617.97</v>
      </c>
      <c r="N23" s="95"/>
      <c r="O23" s="98">
        <v>0.28000000000000003</v>
      </c>
      <c r="P23" s="95" t="str">
        <f t="shared" si="1"/>
        <v>0</v>
      </c>
      <c r="Q23" s="97">
        <f t="shared" si="2"/>
        <v>226.51580000000001</v>
      </c>
      <c r="R23" s="97">
        <f t="shared" si="3"/>
        <v>226.51580000000001</v>
      </c>
      <c r="S23" s="97">
        <f t="shared" si="4"/>
        <v>2071.0016000000001</v>
      </c>
    </row>
    <row r="24" spans="1:19" s="11" customFormat="1" x14ac:dyDescent="0.35">
      <c r="A24" s="93">
        <v>23</v>
      </c>
      <c r="B24" s="93" t="s">
        <v>431</v>
      </c>
      <c r="C24" s="94">
        <v>43469</v>
      </c>
      <c r="D24" s="95" t="s">
        <v>26</v>
      </c>
      <c r="E24" s="95" t="s">
        <v>468</v>
      </c>
      <c r="F24" s="95" t="s">
        <v>464</v>
      </c>
      <c r="G24" s="95" t="s">
        <v>15</v>
      </c>
      <c r="H24" s="95" t="s">
        <v>475</v>
      </c>
      <c r="I24" s="116" t="s">
        <v>16</v>
      </c>
      <c r="J24" s="95">
        <v>52021000</v>
      </c>
      <c r="K24" s="97">
        <v>18.5</v>
      </c>
      <c r="L24" s="98"/>
      <c r="M24" s="97">
        <f t="shared" si="0"/>
        <v>18.5</v>
      </c>
      <c r="N24" s="95"/>
      <c r="O24" s="98">
        <v>0.05</v>
      </c>
      <c r="P24" s="95" t="str">
        <f t="shared" si="1"/>
        <v>0</v>
      </c>
      <c r="Q24" s="97">
        <f t="shared" si="2"/>
        <v>0.46250000000000002</v>
      </c>
      <c r="R24" s="97">
        <f t="shared" si="3"/>
        <v>0.46250000000000002</v>
      </c>
      <c r="S24" s="97">
        <f t="shared" si="4"/>
        <v>19.424999999999997</v>
      </c>
    </row>
    <row r="25" spans="1:19" s="11" customFormat="1" x14ac:dyDescent="0.35">
      <c r="A25" s="93">
        <v>24</v>
      </c>
      <c r="B25" s="93" t="s">
        <v>431</v>
      </c>
      <c r="C25" s="94">
        <v>43469</v>
      </c>
      <c r="D25" s="95" t="s">
        <v>26</v>
      </c>
      <c r="E25" s="95" t="s">
        <v>468</v>
      </c>
      <c r="F25" s="95" t="s">
        <v>464</v>
      </c>
      <c r="G25" s="95" t="s">
        <v>15</v>
      </c>
      <c r="H25" s="95" t="s">
        <v>475</v>
      </c>
      <c r="I25" s="116" t="s">
        <v>16</v>
      </c>
      <c r="J25" s="95">
        <v>85392120</v>
      </c>
      <c r="K25" s="97">
        <f>49.22+93.76</f>
        <v>142.98000000000002</v>
      </c>
      <c r="L25" s="98"/>
      <c r="M25" s="97">
        <f t="shared" si="0"/>
        <v>142.98000000000002</v>
      </c>
      <c r="N25" s="95"/>
      <c r="O25" s="98">
        <v>0.18</v>
      </c>
      <c r="P25" s="95" t="str">
        <f t="shared" si="1"/>
        <v>0</v>
      </c>
      <c r="Q25" s="97">
        <f t="shared" si="2"/>
        <v>12.868200000000002</v>
      </c>
      <c r="R25" s="97">
        <f t="shared" si="3"/>
        <v>12.868200000000002</v>
      </c>
      <c r="S25" s="97">
        <f t="shared" si="4"/>
        <v>168.71640000000002</v>
      </c>
    </row>
    <row r="26" spans="1:19" s="11" customFormat="1" x14ac:dyDescent="0.35">
      <c r="A26" s="93">
        <v>25</v>
      </c>
      <c r="B26" s="93" t="s">
        <v>431</v>
      </c>
      <c r="C26" s="94">
        <v>43469</v>
      </c>
      <c r="D26" s="95" t="s">
        <v>26</v>
      </c>
      <c r="E26" s="95" t="s">
        <v>468</v>
      </c>
      <c r="F26" s="95" t="s">
        <v>464</v>
      </c>
      <c r="G26" s="95" t="s">
        <v>15</v>
      </c>
      <c r="H26" s="95" t="s">
        <v>475</v>
      </c>
      <c r="I26" s="116" t="s">
        <v>16</v>
      </c>
      <c r="J26" s="95">
        <v>998714</v>
      </c>
      <c r="K26" s="97">
        <f>375+750+1725+375+500</f>
        <v>3725</v>
      </c>
      <c r="L26" s="98"/>
      <c r="M26" s="97">
        <f t="shared" si="0"/>
        <v>3725</v>
      </c>
      <c r="N26" s="95"/>
      <c r="O26" s="98">
        <v>0.18</v>
      </c>
      <c r="P26" s="95" t="str">
        <f t="shared" si="1"/>
        <v>0</v>
      </c>
      <c r="Q26" s="97">
        <f t="shared" si="2"/>
        <v>335.25</v>
      </c>
      <c r="R26" s="97">
        <f t="shared" si="3"/>
        <v>335.25</v>
      </c>
      <c r="S26" s="97">
        <f t="shared" si="4"/>
        <v>4395.5</v>
      </c>
    </row>
    <row r="27" spans="1:19" s="11" customFormat="1" x14ac:dyDescent="0.35">
      <c r="A27" s="93">
        <v>26</v>
      </c>
      <c r="B27" s="93" t="s">
        <v>431</v>
      </c>
      <c r="C27" s="94">
        <v>43469</v>
      </c>
      <c r="D27" s="95">
        <v>447</v>
      </c>
      <c r="E27" s="95" t="s">
        <v>468</v>
      </c>
      <c r="F27" s="95" t="s">
        <v>464</v>
      </c>
      <c r="G27" s="95" t="s">
        <v>319</v>
      </c>
      <c r="H27" s="95" t="s">
        <v>475</v>
      </c>
      <c r="I27" s="116" t="s">
        <v>24</v>
      </c>
      <c r="J27" s="95">
        <v>2710</v>
      </c>
      <c r="K27" s="97">
        <v>800</v>
      </c>
      <c r="L27" s="98"/>
      <c r="M27" s="97">
        <f t="shared" si="0"/>
        <v>800</v>
      </c>
      <c r="N27" s="95"/>
      <c r="O27" s="98">
        <v>0.18</v>
      </c>
      <c r="P27" s="95" t="str">
        <f t="shared" si="1"/>
        <v>0</v>
      </c>
      <c r="Q27" s="97">
        <f t="shared" si="2"/>
        <v>72</v>
      </c>
      <c r="R27" s="97">
        <f t="shared" si="3"/>
        <v>72</v>
      </c>
      <c r="S27" s="97">
        <f t="shared" si="4"/>
        <v>944</v>
      </c>
    </row>
    <row r="28" spans="1:19" s="11" customFormat="1" x14ac:dyDescent="0.35">
      <c r="A28" s="93">
        <v>27</v>
      </c>
      <c r="B28" s="93" t="s">
        <v>431</v>
      </c>
      <c r="C28" s="94">
        <v>43469</v>
      </c>
      <c r="D28" s="95">
        <v>175</v>
      </c>
      <c r="E28" s="95" t="s">
        <v>468</v>
      </c>
      <c r="F28" s="95" t="s">
        <v>464</v>
      </c>
      <c r="G28" s="95" t="s">
        <v>318</v>
      </c>
      <c r="H28" s="95" t="s">
        <v>475</v>
      </c>
      <c r="I28" s="116" t="s">
        <v>38</v>
      </c>
      <c r="J28" s="95">
        <v>8409</v>
      </c>
      <c r="K28" s="97">
        <v>23650</v>
      </c>
      <c r="L28" s="98"/>
      <c r="M28" s="97">
        <f t="shared" si="0"/>
        <v>23650</v>
      </c>
      <c r="N28" s="110"/>
      <c r="O28" s="98">
        <v>0.28000000000000003</v>
      </c>
      <c r="P28" s="95" t="str">
        <f t="shared" si="1"/>
        <v>0</v>
      </c>
      <c r="Q28" s="97">
        <f t="shared" si="2"/>
        <v>3311.0000000000005</v>
      </c>
      <c r="R28" s="97">
        <f t="shared" si="3"/>
        <v>3311.0000000000005</v>
      </c>
      <c r="S28" s="97">
        <f t="shared" si="4"/>
        <v>30272</v>
      </c>
    </row>
    <row r="29" spans="1:19" s="11" customFormat="1" x14ac:dyDescent="0.35">
      <c r="A29" s="93">
        <v>28</v>
      </c>
      <c r="B29" s="93" t="s">
        <v>431</v>
      </c>
      <c r="C29" s="94">
        <v>43469</v>
      </c>
      <c r="D29" s="95">
        <v>175</v>
      </c>
      <c r="E29" s="95" t="s">
        <v>468</v>
      </c>
      <c r="F29" s="95" t="s">
        <v>464</v>
      </c>
      <c r="G29" s="95" t="s">
        <v>318</v>
      </c>
      <c r="H29" s="95" t="s">
        <v>475</v>
      </c>
      <c r="I29" s="116" t="s">
        <v>38</v>
      </c>
      <c r="J29" s="95">
        <v>8483</v>
      </c>
      <c r="K29" s="97">
        <f>4200+1200+1550+850+26000</f>
        <v>33800</v>
      </c>
      <c r="L29" s="98"/>
      <c r="M29" s="97">
        <f t="shared" si="0"/>
        <v>33800</v>
      </c>
      <c r="N29" s="110"/>
      <c r="O29" s="98">
        <v>0.18</v>
      </c>
      <c r="P29" s="95" t="str">
        <f t="shared" si="1"/>
        <v>0</v>
      </c>
      <c r="Q29" s="97">
        <f t="shared" si="2"/>
        <v>3042</v>
      </c>
      <c r="R29" s="97">
        <f t="shared" si="3"/>
        <v>3042</v>
      </c>
      <c r="S29" s="97">
        <f t="shared" si="4"/>
        <v>39884</v>
      </c>
    </row>
    <row r="30" spans="1:19" s="11" customFormat="1" x14ac:dyDescent="0.35">
      <c r="A30" s="93">
        <v>29</v>
      </c>
      <c r="B30" s="93" t="s">
        <v>431</v>
      </c>
      <c r="C30" s="94">
        <v>43469</v>
      </c>
      <c r="D30" s="95">
        <v>175</v>
      </c>
      <c r="E30" s="95" t="s">
        <v>468</v>
      </c>
      <c r="F30" s="95" t="s">
        <v>464</v>
      </c>
      <c r="G30" s="95" t="s">
        <v>318</v>
      </c>
      <c r="H30" s="95" t="s">
        <v>475</v>
      </c>
      <c r="I30" s="116" t="s">
        <v>38</v>
      </c>
      <c r="J30" s="95">
        <v>8484</v>
      </c>
      <c r="K30" s="97">
        <v>9200</v>
      </c>
      <c r="L30" s="98"/>
      <c r="M30" s="97">
        <f t="shared" si="0"/>
        <v>9200</v>
      </c>
      <c r="N30" s="110"/>
      <c r="O30" s="98">
        <v>0.18</v>
      </c>
      <c r="P30" s="95" t="str">
        <f t="shared" si="1"/>
        <v>0</v>
      </c>
      <c r="Q30" s="97">
        <f t="shared" si="2"/>
        <v>828</v>
      </c>
      <c r="R30" s="97">
        <f t="shared" si="3"/>
        <v>828</v>
      </c>
      <c r="S30" s="97">
        <f t="shared" si="4"/>
        <v>10856</v>
      </c>
    </row>
    <row r="31" spans="1:19" s="11" customFormat="1" x14ac:dyDescent="0.35">
      <c r="A31" s="93">
        <v>30</v>
      </c>
      <c r="B31" s="93" t="s">
        <v>431</v>
      </c>
      <c r="C31" s="94">
        <v>43469</v>
      </c>
      <c r="D31" s="95">
        <v>175</v>
      </c>
      <c r="E31" s="95" t="s">
        <v>468</v>
      </c>
      <c r="F31" s="95" t="s">
        <v>464</v>
      </c>
      <c r="G31" s="95" t="s">
        <v>318</v>
      </c>
      <c r="H31" s="95" t="s">
        <v>475</v>
      </c>
      <c r="I31" s="116" t="s">
        <v>38</v>
      </c>
      <c r="J31" s="95">
        <v>8431</v>
      </c>
      <c r="K31" s="97">
        <v>12500</v>
      </c>
      <c r="L31" s="98"/>
      <c r="M31" s="97">
        <f t="shared" si="0"/>
        <v>12500</v>
      </c>
      <c r="N31" s="110"/>
      <c r="O31" s="98">
        <v>0.18</v>
      </c>
      <c r="P31" s="95" t="str">
        <f t="shared" si="1"/>
        <v>0</v>
      </c>
      <c r="Q31" s="97">
        <f t="shared" si="2"/>
        <v>1125</v>
      </c>
      <c r="R31" s="97">
        <f t="shared" si="3"/>
        <v>1125</v>
      </c>
      <c r="S31" s="97">
        <f t="shared" si="4"/>
        <v>14750</v>
      </c>
    </row>
    <row r="32" spans="1:19" s="11" customFormat="1" x14ac:dyDescent="0.35">
      <c r="A32" s="93">
        <v>31</v>
      </c>
      <c r="B32" s="93" t="s">
        <v>431</v>
      </c>
      <c r="C32" s="94">
        <v>43469</v>
      </c>
      <c r="D32" s="95">
        <v>175</v>
      </c>
      <c r="E32" s="95" t="s">
        <v>468</v>
      </c>
      <c r="F32" s="95" t="s">
        <v>464</v>
      </c>
      <c r="G32" s="95" t="s">
        <v>318</v>
      </c>
      <c r="H32" s="95" t="s">
        <v>475</v>
      </c>
      <c r="I32" s="116" t="s">
        <v>38</v>
      </c>
      <c r="J32" s="95">
        <v>8421</v>
      </c>
      <c r="K32" s="97">
        <v>1900</v>
      </c>
      <c r="L32" s="98"/>
      <c r="M32" s="97">
        <f t="shared" si="0"/>
        <v>1900</v>
      </c>
      <c r="N32" s="110"/>
      <c r="O32" s="98">
        <v>0.18</v>
      </c>
      <c r="P32" s="95" t="str">
        <f t="shared" si="1"/>
        <v>0</v>
      </c>
      <c r="Q32" s="97">
        <f t="shared" si="2"/>
        <v>171</v>
      </c>
      <c r="R32" s="97">
        <f t="shared" si="3"/>
        <v>171</v>
      </c>
      <c r="S32" s="97">
        <f t="shared" si="4"/>
        <v>2242</v>
      </c>
    </row>
    <row r="33" spans="1:19" s="11" customFormat="1" x14ac:dyDescent="0.35">
      <c r="A33" s="93">
        <v>32</v>
      </c>
      <c r="B33" s="93" t="s">
        <v>431</v>
      </c>
      <c r="C33" s="94">
        <v>43469</v>
      </c>
      <c r="D33" s="95">
        <v>175</v>
      </c>
      <c r="E33" s="95" t="s">
        <v>468</v>
      </c>
      <c r="F33" s="95" t="s">
        <v>464</v>
      </c>
      <c r="G33" s="95" t="s">
        <v>318</v>
      </c>
      <c r="H33" s="95" t="s">
        <v>475</v>
      </c>
      <c r="I33" s="116" t="s">
        <v>38</v>
      </c>
      <c r="J33" s="95">
        <v>27101980</v>
      </c>
      <c r="K33" s="97">
        <v>3750</v>
      </c>
      <c r="L33" s="98"/>
      <c r="M33" s="97">
        <f t="shared" si="0"/>
        <v>3750</v>
      </c>
      <c r="N33" s="110"/>
      <c r="O33" s="98">
        <v>0.18</v>
      </c>
      <c r="P33" s="95" t="str">
        <f t="shared" si="1"/>
        <v>0</v>
      </c>
      <c r="Q33" s="97">
        <f t="shared" si="2"/>
        <v>337.5</v>
      </c>
      <c r="R33" s="97">
        <f t="shared" si="3"/>
        <v>337.5</v>
      </c>
      <c r="S33" s="97">
        <f t="shared" si="4"/>
        <v>4425</v>
      </c>
    </row>
    <row r="34" spans="1:19" s="11" customFormat="1" x14ac:dyDescent="0.35">
      <c r="A34" s="93">
        <v>33</v>
      </c>
      <c r="B34" s="93" t="s">
        <v>431</v>
      </c>
      <c r="C34" s="99">
        <v>43470</v>
      </c>
      <c r="D34" s="95">
        <v>629</v>
      </c>
      <c r="E34" s="95" t="s">
        <v>468</v>
      </c>
      <c r="F34" s="95" t="s">
        <v>464</v>
      </c>
      <c r="G34" s="95" t="s">
        <v>27</v>
      </c>
      <c r="H34" s="95" t="s">
        <v>475</v>
      </c>
      <c r="I34" s="116" t="s">
        <v>28</v>
      </c>
      <c r="J34" s="95">
        <v>7318</v>
      </c>
      <c r="K34" s="97">
        <f>180+24</f>
        <v>204</v>
      </c>
      <c r="L34" s="98"/>
      <c r="M34" s="97">
        <f t="shared" si="0"/>
        <v>204</v>
      </c>
      <c r="N34" s="95"/>
      <c r="O34" s="98">
        <v>0.18</v>
      </c>
      <c r="P34" s="95" t="str">
        <f t="shared" si="1"/>
        <v>0</v>
      </c>
      <c r="Q34" s="97">
        <f t="shared" si="2"/>
        <v>18.36</v>
      </c>
      <c r="R34" s="97">
        <f t="shared" si="3"/>
        <v>18.36</v>
      </c>
      <c r="S34" s="97">
        <f t="shared" si="4"/>
        <v>240.72000000000003</v>
      </c>
    </row>
    <row r="35" spans="1:19" s="11" customFormat="1" x14ac:dyDescent="0.35">
      <c r="A35" s="93">
        <v>34</v>
      </c>
      <c r="B35" s="93" t="s">
        <v>431</v>
      </c>
      <c r="C35" s="99">
        <v>43470</v>
      </c>
      <c r="D35" s="95">
        <v>629</v>
      </c>
      <c r="E35" s="95" t="s">
        <v>468</v>
      </c>
      <c r="F35" s="95" t="s">
        <v>464</v>
      </c>
      <c r="G35" s="95" t="s">
        <v>27</v>
      </c>
      <c r="H35" s="95" t="s">
        <v>475</v>
      </c>
      <c r="I35" s="116" t="s">
        <v>28</v>
      </c>
      <c r="J35" s="95">
        <v>4010</v>
      </c>
      <c r="K35" s="97">
        <f>4056+3310</f>
        <v>7366</v>
      </c>
      <c r="L35" s="98"/>
      <c r="M35" s="97">
        <f t="shared" si="0"/>
        <v>7366</v>
      </c>
      <c r="N35" s="95"/>
      <c r="O35" s="98">
        <v>0.18</v>
      </c>
      <c r="P35" s="95" t="str">
        <f t="shared" si="1"/>
        <v>0</v>
      </c>
      <c r="Q35" s="97">
        <f t="shared" si="2"/>
        <v>662.93999999999994</v>
      </c>
      <c r="R35" s="97">
        <f t="shared" si="3"/>
        <v>662.93999999999994</v>
      </c>
      <c r="S35" s="97">
        <f t="shared" si="4"/>
        <v>8691.8799999999992</v>
      </c>
    </row>
    <row r="36" spans="1:19" s="11" customFormat="1" x14ac:dyDescent="0.35">
      <c r="A36" s="93">
        <v>35</v>
      </c>
      <c r="B36" s="93" t="s">
        <v>431</v>
      </c>
      <c r="C36" s="99">
        <v>43470</v>
      </c>
      <c r="D36" s="95">
        <v>629</v>
      </c>
      <c r="E36" s="95" t="s">
        <v>468</v>
      </c>
      <c r="F36" s="95" t="s">
        <v>464</v>
      </c>
      <c r="G36" s="95" t="s">
        <v>27</v>
      </c>
      <c r="H36" s="95" t="s">
        <v>475</v>
      </c>
      <c r="I36" s="116" t="s">
        <v>28</v>
      </c>
      <c r="J36" s="95">
        <v>8204</v>
      </c>
      <c r="K36" s="97">
        <f>390+780</f>
        <v>1170</v>
      </c>
      <c r="L36" s="98"/>
      <c r="M36" s="97">
        <f t="shared" si="0"/>
        <v>1170</v>
      </c>
      <c r="N36" s="95"/>
      <c r="O36" s="98">
        <v>0.18</v>
      </c>
      <c r="P36" s="95" t="str">
        <f t="shared" si="1"/>
        <v>0</v>
      </c>
      <c r="Q36" s="97">
        <f t="shared" si="2"/>
        <v>105.3</v>
      </c>
      <c r="R36" s="97">
        <f t="shared" si="3"/>
        <v>105.3</v>
      </c>
      <c r="S36" s="97">
        <f t="shared" si="4"/>
        <v>1380.6</v>
      </c>
    </row>
    <row r="37" spans="1:19" s="11" customFormat="1" x14ac:dyDescent="0.35">
      <c r="A37" s="93">
        <v>36</v>
      </c>
      <c r="B37" s="93" t="s">
        <v>431</v>
      </c>
      <c r="C37" s="99">
        <v>43470</v>
      </c>
      <c r="D37" s="95">
        <v>629</v>
      </c>
      <c r="E37" s="95" t="s">
        <v>468</v>
      </c>
      <c r="F37" s="95" t="s">
        <v>464</v>
      </c>
      <c r="G37" s="95" t="s">
        <v>27</v>
      </c>
      <c r="H37" s="95" t="s">
        <v>475</v>
      </c>
      <c r="I37" s="116" t="s">
        <v>28</v>
      </c>
      <c r="J37" s="95" t="s">
        <v>63</v>
      </c>
      <c r="K37" s="97">
        <v>140</v>
      </c>
      <c r="L37" s="98"/>
      <c r="M37" s="97">
        <f t="shared" si="0"/>
        <v>140</v>
      </c>
      <c r="N37" s="95"/>
      <c r="O37" s="98">
        <v>0.18</v>
      </c>
      <c r="P37" s="95" t="str">
        <f t="shared" si="1"/>
        <v>0</v>
      </c>
      <c r="Q37" s="97">
        <f t="shared" si="2"/>
        <v>12.6</v>
      </c>
      <c r="R37" s="97">
        <f t="shared" si="3"/>
        <v>12.6</v>
      </c>
      <c r="S37" s="97">
        <f t="shared" si="4"/>
        <v>165.2</v>
      </c>
    </row>
    <row r="38" spans="1:19" s="11" customFormat="1" x14ac:dyDescent="0.35">
      <c r="A38" s="93">
        <v>37</v>
      </c>
      <c r="B38" s="93" t="s">
        <v>431</v>
      </c>
      <c r="C38" s="94">
        <v>43470</v>
      </c>
      <c r="D38" s="95">
        <v>1210</v>
      </c>
      <c r="E38" s="95" t="s">
        <v>468</v>
      </c>
      <c r="F38" s="95" t="s">
        <v>464</v>
      </c>
      <c r="G38" s="95" t="s">
        <v>313</v>
      </c>
      <c r="H38" s="95" t="s">
        <v>475</v>
      </c>
      <c r="I38" s="116" t="s">
        <v>29</v>
      </c>
      <c r="J38" s="95">
        <v>8482</v>
      </c>
      <c r="K38" s="97">
        <v>54600</v>
      </c>
      <c r="L38" s="98"/>
      <c r="M38" s="97">
        <f t="shared" si="0"/>
        <v>54600</v>
      </c>
      <c r="N38" s="95"/>
      <c r="O38" s="98">
        <v>0.18</v>
      </c>
      <c r="P38" s="95" t="str">
        <f t="shared" si="1"/>
        <v>0</v>
      </c>
      <c r="Q38" s="97">
        <f t="shared" si="2"/>
        <v>4914</v>
      </c>
      <c r="R38" s="97">
        <f t="shared" si="3"/>
        <v>4914</v>
      </c>
      <c r="S38" s="97">
        <f t="shared" si="4"/>
        <v>64428</v>
      </c>
    </row>
    <row r="39" spans="1:19" s="11" customFormat="1" x14ac:dyDescent="0.35">
      <c r="A39" s="93">
        <v>38</v>
      </c>
      <c r="B39" s="93" t="s">
        <v>431</v>
      </c>
      <c r="C39" s="94">
        <v>43470</v>
      </c>
      <c r="D39" s="95">
        <v>1210</v>
      </c>
      <c r="E39" s="95" t="s">
        <v>468</v>
      </c>
      <c r="F39" s="95" t="s">
        <v>464</v>
      </c>
      <c r="G39" s="95" t="s">
        <v>313</v>
      </c>
      <c r="H39" s="95" t="s">
        <v>475</v>
      </c>
      <c r="I39" s="116" t="s">
        <v>29</v>
      </c>
      <c r="J39" s="95">
        <v>4016</v>
      </c>
      <c r="K39" s="97">
        <f>2340+252+432+690</f>
        <v>3714</v>
      </c>
      <c r="L39" s="98"/>
      <c r="M39" s="97">
        <f t="shared" si="0"/>
        <v>3714</v>
      </c>
      <c r="N39" s="95"/>
      <c r="O39" s="98">
        <v>0.18</v>
      </c>
      <c r="P39" s="95" t="str">
        <f t="shared" si="1"/>
        <v>0</v>
      </c>
      <c r="Q39" s="97">
        <f t="shared" si="2"/>
        <v>334.26</v>
      </c>
      <c r="R39" s="97">
        <f t="shared" si="3"/>
        <v>334.26</v>
      </c>
      <c r="S39" s="97">
        <f t="shared" si="4"/>
        <v>4382.5200000000004</v>
      </c>
    </row>
    <row r="40" spans="1:19" s="11" customFormat="1" x14ac:dyDescent="0.35">
      <c r="A40" s="93">
        <v>39</v>
      </c>
      <c r="B40" s="93" t="s">
        <v>431</v>
      </c>
      <c r="C40" s="99">
        <v>43470</v>
      </c>
      <c r="D40" s="93">
        <v>23</v>
      </c>
      <c r="E40" s="95" t="s">
        <v>468</v>
      </c>
      <c r="F40" s="95" t="s">
        <v>464</v>
      </c>
      <c r="G40" s="95" t="s">
        <v>315</v>
      </c>
      <c r="H40" s="95" t="s">
        <v>475</v>
      </c>
      <c r="I40" s="117" t="s">
        <v>73</v>
      </c>
      <c r="J40" s="93" t="s">
        <v>63</v>
      </c>
      <c r="K40" s="97">
        <v>120000</v>
      </c>
      <c r="L40" s="100"/>
      <c r="M40" s="97">
        <f t="shared" si="0"/>
        <v>120000</v>
      </c>
      <c r="N40" s="95"/>
      <c r="O40" s="98">
        <v>0.18</v>
      </c>
      <c r="P40" s="95" t="str">
        <f t="shared" si="1"/>
        <v>0</v>
      </c>
      <c r="Q40" s="97">
        <f t="shared" si="2"/>
        <v>10800</v>
      </c>
      <c r="R40" s="97">
        <f t="shared" si="3"/>
        <v>10800</v>
      </c>
      <c r="S40" s="97">
        <f t="shared" si="4"/>
        <v>141600</v>
      </c>
    </row>
    <row r="41" spans="1:19" s="11" customFormat="1" x14ac:dyDescent="0.35">
      <c r="A41" s="93">
        <v>40</v>
      </c>
      <c r="B41" s="93" t="s">
        <v>431</v>
      </c>
      <c r="C41" s="94">
        <v>43470</v>
      </c>
      <c r="D41" s="95">
        <v>337</v>
      </c>
      <c r="E41" s="95" t="s">
        <v>468</v>
      </c>
      <c r="F41" s="95" t="s">
        <v>464</v>
      </c>
      <c r="G41" s="95" t="s">
        <v>20</v>
      </c>
      <c r="H41" s="95" t="s">
        <v>475</v>
      </c>
      <c r="I41" s="116" t="s">
        <v>21</v>
      </c>
      <c r="J41" s="95">
        <v>4009</v>
      </c>
      <c r="K41" s="97">
        <v>1500</v>
      </c>
      <c r="L41" s="98"/>
      <c r="M41" s="97">
        <f t="shared" si="0"/>
        <v>1500</v>
      </c>
      <c r="N41" s="95"/>
      <c r="O41" s="98">
        <v>0.18</v>
      </c>
      <c r="P41" s="95" t="str">
        <f t="shared" si="1"/>
        <v>0</v>
      </c>
      <c r="Q41" s="97">
        <f t="shared" si="2"/>
        <v>135</v>
      </c>
      <c r="R41" s="97">
        <f t="shared" si="3"/>
        <v>135</v>
      </c>
      <c r="S41" s="97">
        <f t="shared" si="4"/>
        <v>1770</v>
      </c>
    </row>
    <row r="42" spans="1:19" s="11" customFormat="1" x14ac:dyDescent="0.35">
      <c r="A42" s="93">
        <v>41</v>
      </c>
      <c r="B42" s="93" t="s">
        <v>431</v>
      </c>
      <c r="C42" s="99">
        <v>43470</v>
      </c>
      <c r="D42" s="93">
        <v>989</v>
      </c>
      <c r="E42" s="95" t="s">
        <v>468</v>
      </c>
      <c r="F42" s="95" t="s">
        <v>464</v>
      </c>
      <c r="G42" s="95" t="s">
        <v>12</v>
      </c>
      <c r="H42" s="95" t="s">
        <v>475</v>
      </c>
      <c r="I42" s="117" t="s">
        <v>13</v>
      </c>
      <c r="J42" s="93">
        <v>8311</v>
      </c>
      <c r="K42" s="96">
        <f>760+106+5200</f>
        <v>6066</v>
      </c>
      <c r="L42" s="100"/>
      <c r="M42" s="97">
        <f t="shared" si="0"/>
        <v>6066</v>
      </c>
      <c r="N42" s="95"/>
      <c r="O42" s="98">
        <v>0.18</v>
      </c>
      <c r="P42" s="95" t="str">
        <f t="shared" si="1"/>
        <v>0</v>
      </c>
      <c r="Q42" s="97">
        <f t="shared" si="2"/>
        <v>545.93999999999994</v>
      </c>
      <c r="R42" s="97">
        <f t="shared" si="3"/>
        <v>545.93999999999994</v>
      </c>
      <c r="S42" s="97">
        <f t="shared" si="4"/>
        <v>7157.8799999999992</v>
      </c>
    </row>
    <row r="43" spans="1:19" s="11" customFormat="1" x14ac:dyDescent="0.35">
      <c r="A43" s="93">
        <v>42</v>
      </c>
      <c r="B43" s="93" t="s">
        <v>431</v>
      </c>
      <c r="C43" s="99">
        <v>43470</v>
      </c>
      <c r="D43" s="93">
        <v>989</v>
      </c>
      <c r="E43" s="95" t="s">
        <v>468</v>
      </c>
      <c r="F43" s="95" t="s">
        <v>464</v>
      </c>
      <c r="G43" s="95" t="s">
        <v>12</v>
      </c>
      <c r="H43" s="95" t="s">
        <v>475</v>
      </c>
      <c r="I43" s="117" t="s">
        <v>13</v>
      </c>
      <c r="J43" s="95" t="s">
        <v>63</v>
      </c>
      <c r="K43" s="96">
        <v>25</v>
      </c>
      <c r="L43" s="100"/>
      <c r="M43" s="97">
        <f t="shared" si="0"/>
        <v>25</v>
      </c>
      <c r="N43" s="95"/>
      <c r="O43" s="98">
        <v>0.18</v>
      </c>
      <c r="P43" s="95" t="str">
        <f t="shared" si="1"/>
        <v>0</v>
      </c>
      <c r="Q43" s="97">
        <f t="shared" si="2"/>
        <v>2.25</v>
      </c>
      <c r="R43" s="97">
        <f t="shared" si="3"/>
        <v>2.25</v>
      </c>
      <c r="S43" s="97">
        <f t="shared" si="4"/>
        <v>29.5</v>
      </c>
    </row>
    <row r="44" spans="1:19" s="11" customFormat="1" x14ac:dyDescent="0.35">
      <c r="A44" s="93">
        <v>43</v>
      </c>
      <c r="B44" s="93" t="s">
        <v>431</v>
      </c>
      <c r="C44" s="99">
        <v>43470</v>
      </c>
      <c r="D44" s="93">
        <v>989</v>
      </c>
      <c r="E44" s="95" t="s">
        <v>468</v>
      </c>
      <c r="F44" s="95" t="s">
        <v>464</v>
      </c>
      <c r="G44" s="95" t="s">
        <v>12</v>
      </c>
      <c r="H44" s="95" t="s">
        <v>475</v>
      </c>
      <c r="I44" s="117" t="s">
        <v>13</v>
      </c>
      <c r="J44" s="95" t="s">
        <v>63</v>
      </c>
      <c r="K44" s="97">
        <v>90</v>
      </c>
      <c r="L44" s="100"/>
      <c r="M44" s="97">
        <f t="shared" si="0"/>
        <v>90</v>
      </c>
      <c r="N44" s="95"/>
      <c r="O44" s="98">
        <v>0.18</v>
      </c>
      <c r="P44" s="95" t="str">
        <f t="shared" si="1"/>
        <v>0</v>
      </c>
      <c r="Q44" s="97">
        <f t="shared" si="2"/>
        <v>8.1</v>
      </c>
      <c r="R44" s="97">
        <f t="shared" si="3"/>
        <v>8.1</v>
      </c>
      <c r="S44" s="97">
        <f t="shared" si="4"/>
        <v>106.19999999999999</v>
      </c>
    </row>
    <row r="45" spans="1:19" s="11" customFormat="1" x14ac:dyDescent="0.35">
      <c r="A45" s="93">
        <v>44</v>
      </c>
      <c r="B45" s="93" t="s">
        <v>431</v>
      </c>
      <c r="C45" s="99">
        <v>43470</v>
      </c>
      <c r="D45" s="93">
        <v>989</v>
      </c>
      <c r="E45" s="95" t="s">
        <v>468</v>
      </c>
      <c r="F45" s="95" t="s">
        <v>464</v>
      </c>
      <c r="G45" s="95" t="s">
        <v>12</v>
      </c>
      <c r="H45" s="95" t="s">
        <v>475</v>
      </c>
      <c r="I45" s="117" t="s">
        <v>13</v>
      </c>
      <c r="J45" s="95" t="s">
        <v>63</v>
      </c>
      <c r="K45" s="97">
        <v>90</v>
      </c>
      <c r="L45" s="100"/>
      <c r="M45" s="97">
        <f t="shared" si="0"/>
        <v>90</v>
      </c>
      <c r="N45" s="95"/>
      <c r="O45" s="98">
        <v>0.18</v>
      </c>
      <c r="P45" s="95" t="str">
        <f t="shared" si="1"/>
        <v>0</v>
      </c>
      <c r="Q45" s="97">
        <f t="shared" si="2"/>
        <v>8.1</v>
      </c>
      <c r="R45" s="97">
        <f t="shared" si="3"/>
        <v>8.1</v>
      </c>
      <c r="S45" s="97">
        <f t="shared" si="4"/>
        <v>106.19999999999999</v>
      </c>
    </row>
    <row r="46" spans="1:19" s="11" customFormat="1" x14ac:dyDescent="0.35">
      <c r="A46" s="93">
        <v>45</v>
      </c>
      <c r="B46" s="93" t="s">
        <v>431</v>
      </c>
      <c r="C46" s="99">
        <v>43470</v>
      </c>
      <c r="D46" s="93">
        <v>989</v>
      </c>
      <c r="E46" s="95" t="s">
        <v>468</v>
      </c>
      <c r="F46" s="95" t="s">
        <v>464</v>
      </c>
      <c r="G46" s="95" t="s">
        <v>12</v>
      </c>
      <c r="H46" s="95" t="s">
        <v>475</v>
      </c>
      <c r="I46" s="117" t="s">
        <v>13</v>
      </c>
      <c r="J46" s="95" t="s">
        <v>63</v>
      </c>
      <c r="K46" s="97">
        <v>625</v>
      </c>
      <c r="L46" s="100"/>
      <c r="M46" s="97">
        <f t="shared" si="0"/>
        <v>625</v>
      </c>
      <c r="N46" s="95"/>
      <c r="O46" s="98">
        <v>0.18</v>
      </c>
      <c r="P46" s="95" t="str">
        <f t="shared" si="1"/>
        <v>0</v>
      </c>
      <c r="Q46" s="97">
        <f t="shared" si="2"/>
        <v>56.25</v>
      </c>
      <c r="R46" s="97">
        <f t="shared" si="3"/>
        <v>56.25</v>
      </c>
      <c r="S46" s="97">
        <f t="shared" si="4"/>
        <v>737.5</v>
      </c>
    </row>
    <row r="47" spans="1:19" s="11" customFormat="1" x14ac:dyDescent="0.35">
      <c r="A47" s="93">
        <v>46</v>
      </c>
      <c r="B47" s="93" t="s">
        <v>431</v>
      </c>
      <c r="C47" s="94">
        <v>43472</v>
      </c>
      <c r="D47" s="95">
        <v>560</v>
      </c>
      <c r="E47" s="95" t="s">
        <v>468</v>
      </c>
      <c r="F47" s="95" t="s">
        <v>464</v>
      </c>
      <c r="G47" s="95" t="s">
        <v>30</v>
      </c>
      <c r="H47" s="95" t="s">
        <v>475</v>
      </c>
      <c r="I47" s="116" t="s">
        <v>31</v>
      </c>
      <c r="J47" s="95">
        <v>7208</v>
      </c>
      <c r="K47" s="97">
        <v>2623.5</v>
      </c>
      <c r="L47" s="98"/>
      <c r="M47" s="97">
        <f t="shared" si="0"/>
        <v>2623.5</v>
      </c>
      <c r="N47" s="95"/>
      <c r="O47" s="98">
        <v>0.18</v>
      </c>
      <c r="P47" s="95" t="str">
        <f t="shared" si="1"/>
        <v>0</v>
      </c>
      <c r="Q47" s="97">
        <f t="shared" si="2"/>
        <v>236.11499999999998</v>
      </c>
      <c r="R47" s="97">
        <f t="shared" si="3"/>
        <v>236.11499999999998</v>
      </c>
      <c r="S47" s="97">
        <f t="shared" si="4"/>
        <v>3095.7299999999996</v>
      </c>
    </row>
    <row r="48" spans="1:19" s="11" customFormat="1" x14ac:dyDescent="0.35">
      <c r="A48" s="93">
        <v>47</v>
      </c>
      <c r="B48" s="93" t="s">
        <v>431</v>
      </c>
      <c r="C48" s="94">
        <v>43472</v>
      </c>
      <c r="D48" s="95">
        <v>560</v>
      </c>
      <c r="E48" s="95" t="s">
        <v>468</v>
      </c>
      <c r="F48" s="95" t="s">
        <v>464</v>
      </c>
      <c r="G48" s="95" t="s">
        <v>30</v>
      </c>
      <c r="H48" s="95" t="s">
        <v>475</v>
      </c>
      <c r="I48" s="116" t="s">
        <v>31</v>
      </c>
      <c r="J48" s="95">
        <v>7214</v>
      </c>
      <c r="K48" s="97">
        <v>3487.5</v>
      </c>
      <c r="L48" s="98"/>
      <c r="M48" s="97">
        <f t="shared" si="0"/>
        <v>3487.5</v>
      </c>
      <c r="N48" s="110"/>
      <c r="O48" s="98">
        <v>0.18</v>
      </c>
      <c r="P48" s="95" t="str">
        <f t="shared" si="1"/>
        <v>0</v>
      </c>
      <c r="Q48" s="97">
        <f t="shared" si="2"/>
        <v>313.875</v>
      </c>
      <c r="R48" s="97">
        <f t="shared" si="3"/>
        <v>313.875</v>
      </c>
      <c r="S48" s="97">
        <f t="shared" si="4"/>
        <v>4115.25</v>
      </c>
    </row>
    <row r="49" spans="1:19" s="11" customFormat="1" x14ac:dyDescent="0.35">
      <c r="A49" s="93">
        <v>48</v>
      </c>
      <c r="B49" s="93" t="s">
        <v>431</v>
      </c>
      <c r="C49" s="94">
        <v>43472</v>
      </c>
      <c r="D49" s="95" t="s">
        <v>37</v>
      </c>
      <c r="E49" s="95" t="s">
        <v>468</v>
      </c>
      <c r="F49" s="95" t="s">
        <v>464</v>
      </c>
      <c r="G49" s="95" t="s">
        <v>32</v>
      </c>
      <c r="H49" s="95" t="s">
        <v>475</v>
      </c>
      <c r="I49" s="116" t="s">
        <v>25</v>
      </c>
      <c r="J49" s="95">
        <v>9987</v>
      </c>
      <c r="K49" s="97">
        <v>17500</v>
      </c>
      <c r="L49" s="98"/>
      <c r="M49" s="97">
        <f t="shared" si="0"/>
        <v>17500</v>
      </c>
      <c r="N49" s="95"/>
      <c r="O49" s="98">
        <v>0.18</v>
      </c>
      <c r="P49" s="95" t="str">
        <f t="shared" si="1"/>
        <v>0</v>
      </c>
      <c r="Q49" s="97">
        <f t="shared" si="2"/>
        <v>1575</v>
      </c>
      <c r="R49" s="97">
        <f t="shared" si="3"/>
        <v>1575</v>
      </c>
      <c r="S49" s="97">
        <f t="shared" si="4"/>
        <v>20650</v>
      </c>
    </row>
    <row r="50" spans="1:19" s="11" customFormat="1" x14ac:dyDescent="0.35">
      <c r="A50" s="93">
        <v>49</v>
      </c>
      <c r="B50" s="93" t="s">
        <v>431</v>
      </c>
      <c r="C50" s="94">
        <v>43472</v>
      </c>
      <c r="D50" s="95" t="s">
        <v>43</v>
      </c>
      <c r="E50" s="95" t="s">
        <v>468</v>
      </c>
      <c r="F50" s="95" t="s">
        <v>464</v>
      </c>
      <c r="G50" s="95" t="s">
        <v>15</v>
      </c>
      <c r="H50" s="95" t="s">
        <v>475</v>
      </c>
      <c r="I50" s="116" t="s">
        <v>16</v>
      </c>
      <c r="J50" s="95">
        <v>73181600</v>
      </c>
      <c r="K50" s="97">
        <f>406.8+650.88+38.98</f>
        <v>1096.6600000000001</v>
      </c>
      <c r="L50" s="98"/>
      <c r="M50" s="97">
        <f t="shared" si="0"/>
        <v>1096.6600000000001</v>
      </c>
      <c r="N50" s="95"/>
      <c r="O50" s="98">
        <v>0.18</v>
      </c>
      <c r="P50" s="95" t="str">
        <f t="shared" si="1"/>
        <v>0</v>
      </c>
      <c r="Q50" s="97">
        <f t="shared" si="2"/>
        <v>98.699399999999997</v>
      </c>
      <c r="R50" s="97">
        <f t="shared" si="3"/>
        <v>98.699399999999997</v>
      </c>
      <c r="S50" s="97">
        <f t="shared" si="4"/>
        <v>1294.0588</v>
      </c>
    </row>
    <row r="51" spans="1:19" s="11" customFormat="1" x14ac:dyDescent="0.35">
      <c r="A51" s="93">
        <v>50</v>
      </c>
      <c r="B51" s="93" t="s">
        <v>431</v>
      </c>
      <c r="C51" s="94">
        <v>43472</v>
      </c>
      <c r="D51" s="95" t="s">
        <v>43</v>
      </c>
      <c r="E51" s="95" t="s">
        <v>468</v>
      </c>
      <c r="F51" s="95" t="s">
        <v>464</v>
      </c>
      <c r="G51" s="95" t="s">
        <v>15</v>
      </c>
      <c r="H51" s="95" t="s">
        <v>475</v>
      </c>
      <c r="I51" s="116" t="s">
        <v>16</v>
      </c>
      <c r="J51" s="95">
        <v>73181500</v>
      </c>
      <c r="K51" s="97">
        <f>677.95+677.95+50.84+19.49+44.07</f>
        <v>1470.3</v>
      </c>
      <c r="L51" s="98"/>
      <c r="M51" s="97">
        <f t="shared" si="0"/>
        <v>1470.3</v>
      </c>
      <c r="N51" s="95"/>
      <c r="O51" s="98">
        <v>0.18</v>
      </c>
      <c r="P51" s="95" t="str">
        <f t="shared" si="1"/>
        <v>0</v>
      </c>
      <c r="Q51" s="97">
        <f t="shared" si="2"/>
        <v>132.327</v>
      </c>
      <c r="R51" s="97">
        <f t="shared" si="3"/>
        <v>132.327</v>
      </c>
      <c r="S51" s="97">
        <f t="shared" si="4"/>
        <v>1734.954</v>
      </c>
    </row>
    <row r="52" spans="1:19" s="11" customFormat="1" x14ac:dyDescent="0.35">
      <c r="A52" s="93">
        <v>51</v>
      </c>
      <c r="B52" s="93" t="s">
        <v>431</v>
      </c>
      <c r="C52" s="94">
        <v>43472</v>
      </c>
      <c r="D52" s="95" t="s">
        <v>43</v>
      </c>
      <c r="E52" s="95" t="s">
        <v>468</v>
      </c>
      <c r="F52" s="95" t="s">
        <v>464</v>
      </c>
      <c r="G52" s="95" t="s">
        <v>15</v>
      </c>
      <c r="H52" s="95" t="s">
        <v>475</v>
      </c>
      <c r="I52" s="116" t="s">
        <v>16</v>
      </c>
      <c r="J52" s="95">
        <v>87089900</v>
      </c>
      <c r="K52" s="97">
        <f>8.59+189.84+42.19+2437.5+1277.34+34.36+3600.78+3050+232.03+61.14</f>
        <v>10933.77</v>
      </c>
      <c r="L52" s="98"/>
      <c r="M52" s="97">
        <f t="shared" si="0"/>
        <v>10933.77</v>
      </c>
      <c r="N52" s="95"/>
      <c r="O52" s="98">
        <v>0.28000000000000003</v>
      </c>
      <c r="P52" s="95" t="str">
        <f t="shared" si="1"/>
        <v>0</v>
      </c>
      <c r="Q52" s="97">
        <f t="shared" si="2"/>
        <v>1530.7278000000001</v>
      </c>
      <c r="R52" s="97">
        <f t="shared" si="3"/>
        <v>1530.7278000000001</v>
      </c>
      <c r="S52" s="97">
        <f t="shared" si="4"/>
        <v>13995.225600000002</v>
      </c>
    </row>
    <row r="53" spans="1:19" s="11" customFormat="1" x14ac:dyDescent="0.35">
      <c r="A53" s="93">
        <v>52</v>
      </c>
      <c r="B53" s="93" t="s">
        <v>431</v>
      </c>
      <c r="C53" s="94">
        <v>43472</v>
      </c>
      <c r="D53" s="95" t="s">
        <v>43</v>
      </c>
      <c r="E53" s="95" t="s">
        <v>468</v>
      </c>
      <c r="F53" s="95" t="s">
        <v>464</v>
      </c>
      <c r="G53" s="95" t="s">
        <v>15</v>
      </c>
      <c r="H53" s="95" t="s">
        <v>475</v>
      </c>
      <c r="I53" s="116" t="s">
        <v>16</v>
      </c>
      <c r="J53" s="95">
        <v>85122010</v>
      </c>
      <c r="K53" s="97">
        <f>733.9+643.22</f>
        <v>1377.12</v>
      </c>
      <c r="L53" s="98"/>
      <c r="M53" s="97">
        <f t="shared" si="0"/>
        <v>1377.12</v>
      </c>
      <c r="N53" s="95"/>
      <c r="O53" s="98">
        <v>0.18</v>
      </c>
      <c r="P53" s="95" t="str">
        <f t="shared" si="1"/>
        <v>0</v>
      </c>
      <c r="Q53" s="97">
        <f t="shared" si="2"/>
        <v>123.94079999999998</v>
      </c>
      <c r="R53" s="97">
        <f t="shared" si="3"/>
        <v>123.94079999999998</v>
      </c>
      <c r="S53" s="97">
        <f t="shared" si="4"/>
        <v>1625.0016000000001</v>
      </c>
    </row>
    <row r="54" spans="1:19" s="11" customFormat="1" x14ac:dyDescent="0.35">
      <c r="A54" s="93">
        <v>53</v>
      </c>
      <c r="B54" s="93" t="s">
        <v>431</v>
      </c>
      <c r="C54" s="94">
        <v>43472</v>
      </c>
      <c r="D54" s="95" t="s">
        <v>43</v>
      </c>
      <c r="E54" s="95" t="s">
        <v>468</v>
      </c>
      <c r="F54" s="95" t="s">
        <v>464</v>
      </c>
      <c r="G54" s="95" t="s">
        <v>15</v>
      </c>
      <c r="H54" s="95" t="s">
        <v>475</v>
      </c>
      <c r="I54" s="116" t="s">
        <v>16</v>
      </c>
      <c r="J54" s="95">
        <v>85129000</v>
      </c>
      <c r="K54" s="97">
        <v>150.85</v>
      </c>
      <c r="L54" s="98"/>
      <c r="M54" s="97">
        <f t="shared" si="0"/>
        <v>150.85</v>
      </c>
      <c r="N54" s="95"/>
      <c r="O54" s="98">
        <v>0.18</v>
      </c>
      <c r="P54" s="95" t="str">
        <f t="shared" si="1"/>
        <v>0</v>
      </c>
      <c r="Q54" s="97">
        <f t="shared" si="2"/>
        <v>13.576499999999999</v>
      </c>
      <c r="R54" s="97">
        <f t="shared" si="3"/>
        <v>13.576499999999999</v>
      </c>
      <c r="S54" s="97">
        <f t="shared" si="4"/>
        <v>178.00300000000001</v>
      </c>
    </row>
    <row r="55" spans="1:19" s="11" customFormat="1" x14ac:dyDescent="0.35">
      <c r="A55" s="93">
        <v>54</v>
      </c>
      <c r="B55" s="93" t="s">
        <v>431</v>
      </c>
      <c r="C55" s="94">
        <v>43472</v>
      </c>
      <c r="D55" s="95" t="s">
        <v>43</v>
      </c>
      <c r="E55" s="95" t="s">
        <v>468</v>
      </c>
      <c r="F55" s="95" t="s">
        <v>464</v>
      </c>
      <c r="G55" s="95" t="s">
        <v>15</v>
      </c>
      <c r="H55" s="95" t="s">
        <v>475</v>
      </c>
      <c r="I55" s="116" t="s">
        <v>16</v>
      </c>
      <c r="J55" s="95">
        <v>40161000</v>
      </c>
      <c r="K55" s="97">
        <v>172.89</v>
      </c>
      <c r="L55" s="98"/>
      <c r="M55" s="97">
        <f t="shared" si="0"/>
        <v>172.89</v>
      </c>
      <c r="N55" s="95"/>
      <c r="O55" s="98">
        <v>0.18</v>
      </c>
      <c r="P55" s="95" t="str">
        <f t="shared" si="1"/>
        <v>0</v>
      </c>
      <c r="Q55" s="97">
        <f t="shared" si="2"/>
        <v>15.560099999999998</v>
      </c>
      <c r="R55" s="97">
        <f t="shared" si="3"/>
        <v>15.560099999999998</v>
      </c>
      <c r="S55" s="97">
        <f t="shared" si="4"/>
        <v>204.0102</v>
      </c>
    </row>
    <row r="56" spans="1:19" s="11" customFormat="1" x14ac:dyDescent="0.35">
      <c r="A56" s="93">
        <v>55</v>
      </c>
      <c r="B56" s="93" t="s">
        <v>431</v>
      </c>
      <c r="C56" s="94">
        <v>43472</v>
      </c>
      <c r="D56" s="95" t="s">
        <v>43</v>
      </c>
      <c r="E56" s="95" t="s">
        <v>468</v>
      </c>
      <c r="F56" s="95" t="s">
        <v>464</v>
      </c>
      <c r="G56" s="95" t="s">
        <v>15</v>
      </c>
      <c r="H56" s="95" t="s">
        <v>475</v>
      </c>
      <c r="I56" s="116" t="s">
        <v>16</v>
      </c>
      <c r="J56" s="95">
        <v>40169390</v>
      </c>
      <c r="K56" s="97">
        <v>299.14999999999998</v>
      </c>
      <c r="L56" s="98"/>
      <c r="M56" s="97">
        <f t="shared" si="0"/>
        <v>299.14999999999998</v>
      </c>
      <c r="N56" s="95"/>
      <c r="O56" s="98">
        <v>0.18</v>
      </c>
      <c r="P56" s="95" t="str">
        <f t="shared" si="1"/>
        <v>0</v>
      </c>
      <c r="Q56" s="97">
        <f t="shared" si="2"/>
        <v>26.923499999999997</v>
      </c>
      <c r="R56" s="97">
        <f t="shared" si="3"/>
        <v>26.923499999999997</v>
      </c>
      <c r="S56" s="97">
        <f t="shared" si="4"/>
        <v>352.99699999999996</v>
      </c>
    </row>
    <row r="57" spans="1:19" s="11" customFormat="1" x14ac:dyDescent="0.35">
      <c r="A57" s="93">
        <v>56</v>
      </c>
      <c r="B57" s="93" t="s">
        <v>431</v>
      </c>
      <c r="C57" s="94">
        <v>43472</v>
      </c>
      <c r="D57" s="95" t="s">
        <v>43</v>
      </c>
      <c r="E57" s="95" t="s">
        <v>468</v>
      </c>
      <c r="F57" s="95" t="s">
        <v>464</v>
      </c>
      <c r="G57" s="95" t="s">
        <v>15</v>
      </c>
      <c r="H57" s="95" t="s">
        <v>475</v>
      </c>
      <c r="I57" s="116" t="s">
        <v>16</v>
      </c>
      <c r="J57" s="95">
        <v>27101990</v>
      </c>
      <c r="K57" s="97">
        <v>161.02000000000001</v>
      </c>
      <c r="L57" s="98"/>
      <c r="M57" s="97">
        <f t="shared" si="0"/>
        <v>161.02000000000001</v>
      </c>
      <c r="N57" s="95"/>
      <c r="O57" s="98">
        <v>0.18</v>
      </c>
      <c r="P57" s="95" t="str">
        <f t="shared" si="1"/>
        <v>0</v>
      </c>
      <c r="Q57" s="97">
        <f t="shared" si="2"/>
        <v>14.4918</v>
      </c>
      <c r="R57" s="97">
        <f t="shared" si="3"/>
        <v>14.4918</v>
      </c>
      <c r="S57" s="97">
        <f t="shared" si="4"/>
        <v>190.00360000000003</v>
      </c>
    </row>
    <row r="58" spans="1:19" s="11" customFormat="1" x14ac:dyDescent="0.35">
      <c r="A58" s="93">
        <v>57</v>
      </c>
      <c r="B58" s="93" t="s">
        <v>431</v>
      </c>
      <c r="C58" s="94">
        <v>43472</v>
      </c>
      <c r="D58" s="95" t="s">
        <v>43</v>
      </c>
      <c r="E58" s="95" t="s">
        <v>468</v>
      </c>
      <c r="F58" s="95" t="s">
        <v>464</v>
      </c>
      <c r="G58" s="95" t="s">
        <v>15</v>
      </c>
      <c r="H58" s="95" t="s">
        <v>475</v>
      </c>
      <c r="I58" s="116" t="s">
        <v>16</v>
      </c>
      <c r="J58" s="95">
        <v>35069999</v>
      </c>
      <c r="K58" s="97">
        <v>110.16</v>
      </c>
      <c r="L58" s="98"/>
      <c r="M58" s="97">
        <f t="shared" si="0"/>
        <v>110.16</v>
      </c>
      <c r="N58" s="95"/>
      <c r="O58" s="98">
        <v>0.18</v>
      </c>
      <c r="P58" s="95" t="str">
        <f t="shared" si="1"/>
        <v>0</v>
      </c>
      <c r="Q58" s="97">
        <f t="shared" si="2"/>
        <v>9.9143999999999988</v>
      </c>
      <c r="R58" s="97">
        <f t="shared" si="3"/>
        <v>9.9143999999999988</v>
      </c>
      <c r="S58" s="97">
        <f t="shared" si="4"/>
        <v>129.9888</v>
      </c>
    </row>
    <row r="59" spans="1:19" s="11" customFormat="1" x14ac:dyDescent="0.35">
      <c r="A59" s="93">
        <v>58</v>
      </c>
      <c r="B59" s="93" t="s">
        <v>431</v>
      </c>
      <c r="C59" s="94">
        <v>43472</v>
      </c>
      <c r="D59" s="95" t="s">
        <v>43</v>
      </c>
      <c r="E59" s="95" t="s">
        <v>468</v>
      </c>
      <c r="F59" s="95" t="s">
        <v>464</v>
      </c>
      <c r="G59" s="95" t="s">
        <v>15</v>
      </c>
      <c r="H59" s="95" t="s">
        <v>475</v>
      </c>
      <c r="I59" s="116" t="s">
        <v>16</v>
      </c>
      <c r="J59" s="95">
        <v>52021000</v>
      </c>
      <c r="K59" s="97">
        <v>37</v>
      </c>
      <c r="L59" s="98"/>
      <c r="M59" s="97">
        <f t="shared" si="0"/>
        <v>37</v>
      </c>
      <c r="N59" s="95"/>
      <c r="O59" s="98">
        <v>0.05</v>
      </c>
      <c r="P59" s="95" t="str">
        <f t="shared" si="1"/>
        <v>0</v>
      </c>
      <c r="Q59" s="97">
        <f t="shared" si="2"/>
        <v>0.92500000000000004</v>
      </c>
      <c r="R59" s="97">
        <f t="shared" si="3"/>
        <v>0.92500000000000004</v>
      </c>
      <c r="S59" s="97">
        <f t="shared" si="4"/>
        <v>38.849999999999994</v>
      </c>
    </row>
    <row r="60" spans="1:19" s="11" customFormat="1" x14ac:dyDescent="0.35">
      <c r="A60" s="93">
        <v>59</v>
      </c>
      <c r="B60" s="93" t="s">
        <v>431</v>
      </c>
      <c r="C60" s="94">
        <v>43472</v>
      </c>
      <c r="D60" s="95" t="s">
        <v>43</v>
      </c>
      <c r="E60" s="95" t="s">
        <v>468</v>
      </c>
      <c r="F60" s="95" t="s">
        <v>464</v>
      </c>
      <c r="G60" s="95" t="s">
        <v>15</v>
      </c>
      <c r="H60" s="95" t="s">
        <v>475</v>
      </c>
      <c r="I60" s="116" t="s">
        <v>16</v>
      </c>
      <c r="J60" s="95">
        <v>39269099</v>
      </c>
      <c r="K60" s="97">
        <f>54.7+74.2</f>
        <v>128.9</v>
      </c>
      <c r="L60" s="98"/>
      <c r="M60" s="97">
        <f t="shared" si="0"/>
        <v>128.9</v>
      </c>
      <c r="N60" s="95"/>
      <c r="O60" s="98">
        <v>0.18</v>
      </c>
      <c r="P60" s="95" t="str">
        <f t="shared" si="1"/>
        <v>0</v>
      </c>
      <c r="Q60" s="97">
        <f t="shared" si="2"/>
        <v>11.601000000000001</v>
      </c>
      <c r="R60" s="97">
        <f t="shared" si="3"/>
        <v>11.601000000000001</v>
      </c>
      <c r="S60" s="97">
        <f t="shared" si="4"/>
        <v>152.102</v>
      </c>
    </row>
    <row r="61" spans="1:19" s="11" customFormat="1" x14ac:dyDescent="0.35">
      <c r="A61" s="93">
        <v>60</v>
      </c>
      <c r="B61" s="93" t="s">
        <v>431</v>
      </c>
      <c r="C61" s="94">
        <v>43472</v>
      </c>
      <c r="D61" s="95" t="s">
        <v>43</v>
      </c>
      <c r="E61" s="95" t="s">
        <v>468</v>
      </c>
      <c r="F61" s="95" t="s">
        <v>464</v>
      </c>
      <c r="G61" s="95" t="s">
        <v>15</v>
      </c>
      <c r="H61" s="95" t="s">
        <v>475</v>
      </c>
      <c r="I61" s="116" t="s">
        <v>16</v>
      </c>
      <c r="J61" s="95">
        <v>73182200</v>
      </c>
      <c r="K61" s="97">
        <v>100</v>
      </c>
      <c r="L61" s="98"/>
      <c r="M61" s="97">
        <f t="shared" si="0"/>
        <v>100</v>
      </c>
      <c r="N61" s="95"/>
      <c r="O61" s="98">
        <v>0.18</v>
      </c>
      <c r="P61" s="95" t="str">
        <f t="shared" si="1"/>
        <v>0</v>
      </c>
      <c r="Q61" s="97">
        <f t="shared" si="2"/>
        <v>9</v>
      </c>
      <c r="R61" s="97">
        <f t="shared" si="3"/>
        <v>9</v>
      </c>
      <c r="S61" s="97">
        <f t="shared" si="4"/>
        <v>118</v>
      </c>
    </row>
    <row r="62" spans="1:19" s="11" customFormat="1" x14ac:dyDescent="0.35">
      <c r="A62" s="93">
        <v>61</v>
      </c>
      <c r="B62" s="93" t="s">
        <v>431</v>
      </c>
      <c r="C62" s="94">
        <v>43472</v>
      </c>
      <c r="D62" s="95" t="s">
        <v>43</v>
      </c>
      <c r="E62" s="95" t="s">
        <v>468</v>
      </c>
      <c r="F62" s="95" t="s">
        <v>464</v>
      </c>
      <c r="G62" s="95" t="s">
        <v>15</v>
      </c>
      <c r="H62" s="95" t="s">
        <v>475</v>
      </c>
      <c r="I62" s="116" t="s">
        <v>16</v>
      </c>
      <c r="J62" s="95">
        <v>85122020</v>
      </c>
      <c r="K62" s="97">
        <f>191.52+95.76</f>
        <v>287.28000000000003</v>
      </c>
      <c r="L62" s="98"/>
      <c r="M62" s="97">
        <f t="shared" si="0"/>
        <v>287.28000000000003</v>
      </c>
      <c r="N62" s="95"/>
      <c r="O62" s="98">
        <v>0.18</v>
      </c>
      <c r="P62" s="95" t="str">
        <f t="shared" si="1"/>
        <v>0</v>
      </c>
      <c r="Q62" s="97">
        <f t="shared" si="2"/>
        <v>25.8552</v>
      </c>
      <c r="R62" s="97">
        <f t="shared" si="3"/>
        <v>25.8552</v>
      </c>
      <c r="S62" s="97">
        <f t="shared" si="4"/>
        <v>338.99040000000008</v>
      </c>
    </row>
    <row r="63" spans="1:19" s="11" customFormat="1" x14ac:dyDescent="0.35">
      <c r="A63" s="93">
        <v>62</v>
      </c>
      <c r="B63" s="93" t="s">
        <v>431</v>
      </c>
      <c r="C63" s="94">
        <v>43472</v>
      </c>
      <c r="D63" s="95" t="s">
        <v>43</v>
      </c>
      <c r="E63" s="95" t="s">
        <v>468</v>
      </c>
      <c r="F63" s="95" t="s">
        <v>464</v>
      </c>
      <c r="G63" s="95" t="s">
        <v>15</v>
      </c>
      <c r="H63" s="95" t="s">
        <v>475</v>
      </c>
      <c r="I63" s="116" t="s">
        <v>16</v>
      </c>
      <c r="J63" s="95">
        <v>87083000</v>
      </c>
      <c r="K63" s="97">
        <v>528.91</v>
      </c>
      <c r="L63" s="98"/>
      <c r="M63" s="97">
        <f t="shared" si="0"/>
        <v>528.91</v>
      </c>
      <c r="N63" s="95"/>
      <c r="O63" s="98">
        <v>0.28000000000000003</v>
      </c>
      <c r="P63" s="95" t="str">
        <f t="shared" si="1"/>
        <v>0</v>
      </c>
      <c r="Q63" s="97">
        <f t="shared" si="2"/>
        <v>74.047399999999996</v>
      </c>
      <c r="R63" s="97">
        <f t="shared" si="3"/>
        <v>74.047399999999996</v>
      </c>
      <c r="S63" s="97">
        <f t="shared" si="4"/>
        <v>677.00480000000005</v>
      </c>
    </row>
    <row r="64" spans="1:19" s="11" customFormat="1" x14ac:dyDescent="0.35">
      <c r="A64" s="93">
        <v>63</v>
      </c>
      <c r="B64" s="93" t="s">
        <v>431</v>
      </c>
      <c r="C64" s="94">
        <v>43472</v>
      </c>
      <c r="D64" s="95" t="s">
        <v>43</v>
      </c>
      <c r="E64" s="95" t="s">
        <v>468</v>
      </c>
      <c r="F64" s="95" t="s">
        <v>464</v>
      </c>
      <c r="G64" s="95" t="s">
        <v>15</v>
      </c>
      <c r="H64" s="95" t="s">
        <v>475</v>
      </c>
      <c r="I64" s="116" t="s">
        <v>16</v>
      </c>
      <c r="J64" s="95">
        <v>998714</v>
      </c>
      <c r="K64" s="97">
        <f>2340+563+375+750+563+563+750+750</f>
        <v>6654</v>
      </c>
      <c r="L64" s="98"/>
      <c r="M64" s="97">
        <f t="shared" si="0"/>
        <v>6654</v>
      </c>
      <c r="N64" s="95"/>
      <c r="O64" s="98">
        <v>0.18</v>
      </c>
      <c r="P64" s="95" t="str">
        <f t="shared" si="1"/>
        <v>0</v>
      </c>
      <c r="Q64" s="97">
        <f t="shared" si="2"/>
        <v>598.86</v>
      </c>
      <c r="R64" s="97">
        <f t="shared" si="3"/>
        <v>598.86</v>
      </c>
      <c r="S64" s="97">
        <f t="shared" si="4"/>
        <v>7851.7199999999993</v>
      </c>
    </row>
    <row r="65" spans="1:19" s="11" customFormat="1" x14ac:dyDescent="0.35">
      <c r="A65" s="93">
        <v>64</v>
      </c>
      <c r="B65" s="93" t="s">
        <v>431</v>
      </c>
      <c r="C65" s="94">
        <v>43472</v>
      </c>
      <c r="D65" s="95" t="s">
        <v>254</v>
      </c>
      <c r="E65" s="95" t="s">
        <v>468</v>
      </c>
      <c r="F65" s="95" t="s">
        <v>464</v>
      </c>
      <c r="G65" s="95" t="s">
        <v>235</v>
      </c>
      <c r="H65" s="95" t="s">
        <v>475</v>
      </c>
      <c r="I65" s="116" t="s">
        <v>71</v>
      </c>
      <c r="J65" s="95">
        <v>3820</v>
      </c>
      <c r="K65" s="97">
        <v>2711.86</v>
      </c>
      <c r="L65" s="98"/>
      <c r="M65" s="97">
        <f t="shared" si="0"/>
        <v>2711.86</v>
      </c>
      <c r="N65" s="95"/>
      <c r="O65" s="98">
        <v>0.18</v>
      </c>
      <c r="P65" s="95" t="str">
        <f t="shared" si="1"/>
        <v>0</v>
      </c>
      <c r="Q65" s="97">
        <f t="shared" si="2"/>
        <v>244.06739999999999</v>
      </c>
      <c r="R65" s="97">
        <f t="shared" si="3"/>
        <v>244.06739999999999</v>
      </c>
      <c r="S65" s="97">
        <f t="shared" si="4"/>
        <v>3199.9947999999999</v>
      </c>
    </row>
    <row r="66" spans="1:19" s="11" customFormat="1" x14ac:dyDescent="0.35">
      <c r="A66" s="93">
        <v>65</v>
      </c>
      <c r="B66" s="93" t="s">
        <v>431</v>
      </c>
      <c r="C66" s="94">
        <v>43472</v>
      </c>
      <c r="D66" s="95" t="s">
        <v>254</v>
      </c>
      <c r="E66" s="95" t="s">
        <v>468</v>
      </c>
      <c r="F66" s="95" t="s">
        <v>464</v>
      </c>
      <c r="G66" s="95" t="s">
        <v>235</v>
      </c>
      <c r="H66" s="95" t="s">
        <v>475</v>
      </c>
      <c r="I66" s="116" t="s">
        <v>71</v>
      </c>
      <c r="J66" s="95">
        <v>8421</v>
      </c>
      <c r="K66" s="97">
        <v>737.29</v>
      </c>
      <c r="L66" s="98"/>
      <c r="M66" s="97">
        <f t="shared" si="0"/>
        <v>737.29</v>
      </c>
      <c r="N66" s="95"/>
      <c r="O66" s="98">
        <v>0.18</v>
      </c>
      <c r="P66" s="95" t="str">
        <f t="shared" si="1"/>
        <v>0</v>
      </c>
      <c r="Q66" s="97">
        <f t="shared" si="2"/>
        <v>66.356099999999998</v>
      </c>
      <c r="R66" s="97">
        <f t="shared" si="3"/>
        <v>66.356099999999998</v>
      </c>
      <c r="S66" s="97">
        <f t="shared" si="4"/>
        <v>870.0021999999999</v>
      </c>
    </row>
    <row r="67" spans="1:19" s="11" customFormat="1" x14ac:dyDescent="0.35">
      <c r="A67" s="93">
        <v>66</v>
      </c>
      <c r="B67" s="93" t="s">
        <v>431</v>
      </c>
      <c r="C67" s="94">
        <v>43472</v>
      </c>
      <c r="D67" s="95" t="s">
        <v>255</v>
      </c>
      <c r="E67" s="95" t="s">
        <v>468</v>
      </c>
      <c r="F67" s="95" t="s">
        <v>464</v>
      </c>
      <c r="G67" s="95" t="s">
        <v>235</v>
      </c>
      <c r="H67" s="95" t="s">
        <v>475</v>
      </c>
      <c r="I67" s="116" t="s">
        <v>71</v>
      </c>
      <c r="J67" s="95">
        <v>2710</v>
      </c>
      <c r="K67" s="97">
        <v>7754.25</v>
      </c>
      <c r="L67" s="98"/>
      <c r="M67" s="97">
        <f t="shared" ref="M67:M130" si="5">K67-L67</f>
        <v>7754.25</v>
      </c>
      <c r="N67" s="95"/>
      <c r="O67" s="98">
        <v>0.18</v>
      </c>
      <c r="P67" s="95" t="str">
        <f t="shared" ref="P67:P130" si="6">IF(AND(E67="Interstate",F67&lt;&gt;"Composition"),(M67+N67)*O67,"0")</f>
        <v>0</v>
      </c>
      <c r="Q67" s="97">
        <f t="shared" ref="Q67:Q130" si="7">IF(AND(E67="Intrastate",F67&lt;&gt;"Composition"),(M67+N67)*(O67/2),"0")</f>
        <v>697.88249999999994</v>
      </c>
      <c r="R67" s="97">
        <f t="shared" ref="R67:R130" si="8">IF(AND(E67="Intrastate",F67&lt;&gt;"Composition"),(M67+N67)*(O67/2),"0")</f>
        <v>697.88249999999994</v>
      </c>
      <c r="S67" s="97">
        <f t="shared" ref="S67:S130" si="9">SUM(M67:N67,P67:R67)</f>
        <v>9150.0149999999994</v>
      </c>
    </row>
    <row r="68" spans="1:19" s="11" customFormat="1" x14ac:dyDescent="0.35">
      <c r="A68" s="93">
        <v>67</v>
      </c>
      <c r="B68" s="93" t="s">
        <v>431</v>
      </c>
      <c r="C68" s="94">
        <v>43472</v>
      </c>
      <c r="D68" s="95">
        <v>8592</v>
      </c>
      <c r="E68" s="95" t="s">
        <v>468</v>
      </c>
      <c r="F68" s="95" t="s">
        <v>464</v>
      </c>
      <c r="G68" s="95" t="s">
        <v>324</v>
      </c>
      <c r="H68" s="95" t="s">
        <v>475</v>
      </c>
      <c r="I68" s="116" t="s">
        <v>325</v>
      </c>
      <c r="J68" s="95">
        <v>85071000</v>
      </c>
      <c r="K68" s="97">
        <v>4309</v>
      </c>
      <c r="L68" s="98"/>
      <c r="M68" s="97">
        <f t="shared" si="5"/>
        <v>4309</v>
      </c>
      <c r="N68" s="95"/>
      <c r="O68" s="98">
        <v>0.28000000000000003</v>
      </c>
      <c r="P68" s="95" t="str">
        <f t="shared" si="6"/>
        <v>0</v>
      </c>
      <c r="Q68" s="97">
        <f t="shared" si="7"/>
        <v>603.2600000000001</v>
      </c>
      <c r="R68" s="97">
        <f t="shared" si="8"/>
        <v>603.2600000000001</v>
      </c>
      <c r="S68" s="97">
        <f t="shared" si="9"/>
        <v>5515.52</v>
      </c>
    </row>
    <row r="69" spans="1:19" s="11" customFormat="1" x14ac:dyDescent="0.35">
      <c r="A69" s="93">
        <v>68</v>
      </c>
      <c r="B69" s="93" t="s">
        <v>431</v>
      </c>
      <c r="C69" s="94">
        <v>43473</v>
      </c>
      <c r="D69" s="95" t="s">
        <v>256</v>
      </c>
      <c r="E69" s="95" t="s">
        <v>468</v>
      </c>
      <c r="F69" s="95" t="s">
        <v>464</v>
      </c>
      <c r="G69" s="95" t="s">
        <v>262</v>
      </c>
      <c r="H69" s="95" t="s">
        <v>475</v>
      </c>
      <c r="I69" s="116" t="s">
        <v>337</v>
      </c>
      <c r="J69" s="95">
        <v>998729</v>
      </c>
      <c r="K69" s="97">
        <v>1000</v>
      </c>
      <c r="L69" s="98"/>
      <c r="M69" s="97">
        <f t="shared" si="5"/>
        <v>1000</v>
      </c>
      <c r="N69" s="95"/>
      <c r="O69" s="98">
        <v>0.18</v>
      </c>
      <c r="P69" s="95" t="str">
        <f t="shared" si="6"/>
        <v>0</v>
      </c>
      <c r="Q69" s="97">
        <f t="shared" si="7"/>
        <v>90</v>
      </c>
      <c r="R69" s="97">
        <f t="shared" si="8"/>
        <v>90</v>
      </c>
      <c r="S69" s="97">
        <f t="shared" si="9"/>
        <v>1180</v>
      </c>
    </row>
    <row r="70" spans="1:19" s="11" customFormat="1" x14ac:dyDescent="0.35">
      <c r="A70" s="93">
        <v>69</v>
      </c>
      <c r="B70" s="93" t="s">
        <v>431</v>
      </c>
      <c r="C70" s="94">
        <v>43473</v>
      </c>
      <c r="D70" s="95" t="s">
        <v>257</v>
      </c>
      <c r="E70" s="95" t="s">
        <v>468</v>
      </c>
      <c r="F70" s="95" t="s">
        <v>464</v>
      </c>
      <c r="G70" s="95" t="s">
        <v>262</v>
      </c>
      <c r="H70" s="95" t="s">
        <v>475</v>
      </c>
      <c r="I70" s="116" t="s">
        <v>337</v>
      </c>
      <c r="J70" s="95">
        <v>87084000</v>
      </c>
      <c r="K70" s="97">
        <v>275</v>
      </c>
      <c r="L70" s="98"/>
      <c r="M70" s="97">
        <f t="shared" si="5"/>
        <v>275</v>
      </c>
      <c r="N70" s="95"/>
      <c r="O70" s="98">
        <v>0.28000000000000003</v>
      </c>
      <c r="P70" s="95" t="str">
        <f t="shared" si="6"/>
        <v>0</v>
      </c>
      <c r="Q70" s="97">
        <f t="shared" si="7"/>
        <v>38.500000000000007</v>
      </c>
      <c r="R70" s="97">
        <f t="shared" si="8"/>
        <v>38.500000000000007</v>
      </c>
      <c r="S70" s="97">
        <f t="shared" si="9"/>
        <v>352</v>
      </c>
    </row>
    <row r="71" spans="1:19" s="11" customFormat="1" x14ac:dyDescent="0.35">
      <c r="A71" s="93">
        <v>70</v>
      </c>
      <c r="B71" s="93" t="s">
        <v>431</v>
      </c>
      <c r="C71" s="94">
        <v>43473</v>
      </c>
      <c r="D71" s="95" t="s">
        <v>257</v>
      </c>
      <c r="E71" s="95" t="s">
        <v>468</v>
      </c>
      <c r="F71" s="95" t="s">
        <v>464</v>
      </c>
      <c r="G71" s="95" t="s">
        <v>262</v>
      </c>
      <c r="H71" s="95" t="s">
        <v>475</v>
      </c>
      <c r="I71" s="116" t="s">
        <v>337</v>
      </c>
      <c r="J71" s="95">
        <v>85443000</v>
      </c>
      <c r="K71" s="97">
        <v>167.8</v>
      </c>
      <c r="L71" s="98"/>
      <c r="M71" s="97">
        <f t="shared" si="5"/>
        <v>167.8</v>
      </c>
      <c r="N71" s="95"/>
      <c r="O71" s="98">
        <v>0.18</v>
      </c>
      <c r="P71" s="95" t="str">
        <f t="shared" si="6"/>
        <v>0</v>
      </c>
      <c r="Q71" s="97">
        <f t="shared" si="7"/>
        <v>15.102</v>
      </c>
      <c r="R71" s="97">
        <f t="shared" si="8"/>
        <v>15.102</v>
      </c>
      <c r="S71" s="97">
        <f t="shared" si="9"/>
        <v>198.00400000000002</v>
      </c>
    </row>
    <row r="72" spans="1:19" s="11" customFormat="1" x14ac:dyDescent="0.35">
      <c r="A72" s="93">
        <v>71</v>
      </c>
      <c r="B72" s="93" t="s">
        <v>431</v>
      </c>
      <c r="C72" s="94">
        <v>43473</v>
      </c>
      <c r="D72" s="95" t="s">
        <v>323</v>
      </c>
      <c r="E72" s="95" t="s">
        <v>468</v>
      </c>
      <c r="F72" s="95" t="s">
        <v>464</v>
      </c>
      <c r="G72" s="95" t="s">
        <v>15</v>
      </c>
      <c r="H72" s="95" t="s">
        <v>475</v>
      </c>
      <c r="I72" s="116" t="s">
        <v>16</v>
      </c>
      <c r="J72" s="95">
        <v>40169390</v>
      </c>
      <c r="K72" s="97">
        <v>299.14999999999998</v>
      </c>
      <c r="L72" s="98"/>
      <c r="M72" s="97">
        <f t="shared" si="5"/>
        <v>299.14999999999998</v>
      </c>
      <c r="N72" s="95"/>
      <c r="O72" s="98">
        <v>0.18</v>
      </c>
      <c r="P72" s="95" t="str">
        <f t="shared" si="6"/>
        <v>0</v>
      </c>
      <c r="Q72" s="97">
        <f t="shared" si="7"/>
        <v>26.923499999999997</v>
      </c>
      <c r="R72" s="97">
        <f t="shared" si="8"/>
        <v>26.923499999999997</v>
      </c>
      <c r="S72" s="97">
        <f t="shared" si="9"/>
        <v>352.99699999999996</v>
      </c>
    </row>
    <row r="73" spans="1:19" s="11" customFormat="1" x14ac:dyDescent="0.35">
      <c r="A73" s="93">
        <v>72</v>
      </c>
      <c r="B73" s="93" t="s">
        <v>431</v>
      </c>
      <c r="C73" s="94">
        <v>43473</v>
      </c>
      <c r="D73" s="95" t="s">
        <v>323</v>
      </c>
      <c r="E73" s="95" t="s">
        <v>468</v>
      </c>
      <c r="F73" s="95" t="s">
        <v>464</v>
      </c>
      <c r="G73" s="95" t="s">
        <v>15</v>
      </c>
      <c r="H73" s="95" t="s">
        <v>475</v>
      </c>
      <c r="I73" s="116" t="s">
        <v>16</v>
      </c>
      <c r="J73" s="95">
        <v>73182200</v>
      </c>
      <c r="K73" s="97">
        <v>36.44</v>
      </c>
      <c r="L73" s="98"/>
      <c r="M73" s="97">
        <f t="shared" si="5"/>
        <v>36.44</v>
      </c>
      <c r="N73" s="95"/>
      <c r="O73" s="98">
        <v>0.18</v>
      </c>
      <c r="P73" s="95" t="str">
        <f t="shared" si="6"/>
        <v>0</v>
      </c>
      <c r="Q73" s="97">
        <f t="shared" si="7"/>
        <v>3.2795999999999998</v>
      </c>
      <c r="R73" s="97">
        <f t="shared" si="8"/>
        <v>3.2795999999999998</v>
      </c>
      <c r="S73" s="97">
        <f t="shared" si="9"/>
        <v>42.999200000000002</v>
      </c>
    </row>
    <row r="74" spans="1:19" s="11" customFormat="1" x14ac:dyDescent="0.35">
      <c r="A74" s="93">
        <v>73</v>
      </c>
      <c r="B74" s="93" t="s">
        <v>431</v>
      </c>
      <c r="C74" s="94">
        <v>43473</v>
      </c>
      <c r="D74" s="95" t="s">
        <v>323</v>
      </c>
      <c r="E74" s="95" t="s">
        <v>468</v>
      </c>
      <c r="F74" s="95" t="s">
        <v>464</v>
      </c>
      <c r="G74" s="95" t="s">
        <v>15</v>
      </c>
      <c r="H74" s="95" t="s">
        <v>475</v>
      </c>
      <c r="I74" s="116" t="s">
        <v>16</v>
      </c>
      <c r="J74" s="95">
        <v>73181600</v>
      </c>
      <c r="K74" s="97">
        <v>403.39</v>
      </c>
      <c r="L74" s="98"/>
      <c r="M74" s="97">
        <f t="shared" si="5"/>
        <v>403.39</v>
      </c>
      <c r="N74" s="95"/>
      <c r="O74" s="98">
        <v>0.18</v>
      </c>
      <c r="P74" s="95" t="str">
        <f t="shared" si="6"/>
        <v>0</v>
      </c>
      <c r="Q74" s="97">
        <f t="shared" si="7"/>
        <v>36.305099999999996</v>
      </c>
      <c r="R74" s="97">
        <f t="shared" si="8"/>
        <v>36.305099999999996</v>
      </c>
      <c r="S74" s="97">
        <f t="shared" si="9"/>
        <v>476.00019999999995</v>
      </c>
    </row>
    <row r="75" spans="1:19" s="11" customFormat="1" x14ac:dyDescent="0.35">
      <c r="A75" s="93">
        <v>74</v>
      </c>
      <c r="B75" s="93" t="s">
        <v>431</v>
      </c>
      <c r="C75" s="94">
        <v>43473</v>
      </c>
      <c r="D75" s="95" t="s">
        <v>323</v>
      </c>
      <c r="E75" s="95" t="s">
        <v>468</v>
      </c>
      <c r="F75" s="95" t="s">
        <v>464</v>
      </c>
      <c r="G75" s="95" t="s">
        <v>15</v>
      </c>
      <c r="H75" s="95" t="s">
        <v>475</v>
      </c>
      <c r="I75" s="116" t="s">
        <v>16</v>
      </c>
      <c r="J75" s="95">
        <v>27101990</v>
      </c>
      <c r="K75" s="97">
        <v>161.02000000000001</v>
      </c>
      <c r="L75" s="98"/>
      <c r="M75" s="97">
        <f t="shared" si="5"/>
        <v>161.02000000000001</v>
      </c>
      <c r="N75" s="95"/>
      <c r="O75" s="98">
        <v>0.18</v>
      </c>
      <c r="P75" s="95" t="str">
        <f t="shared" si="6"/>
        <v>0</v>
      </c>
      <c r="Q75" s="97">
        <f t="shared" si="7"/>
        <v>14.4918</v>
      </c>
      <c r="R75" s="97">
        <f t="shared" si="8"/>
        <v>14.4918</v>
      </c>
      <c r="S75" s="97">
        <f t="shared" si="9"/>
        <v>190.00360000000003</v>
      </c>
    </row>
    <row r="76" spans="1:19" s="11" customFormat="1" x14ac:dyDescent="0.35">
      <c r="A76" s="93">
        <v>75</v>
      </c>
      <c r="B76" s="93" t="s">
        <v>431</v>
      </c>
      <c r="C76" s="94">
        <v>43473</v>
      </c>
      <c r="D76" s="95" t="s">
        <v>323</v>
      </c>
      <c r="E76" s="95" t="s">
        <v>468</v>
      </c>
      <c r="F76" s="95" t="s">
        <v>464</v>
      </c>
      <c r="G76" s="95" t="s">
        <v>15</v>
      </c>
      <c r="H76" s="95" t="s">
        <v>475</v>
      </c>
      <c r="I76" s="116" t="s">
        <v>16</v>
      </c>
      <c r="J76" s="95">
        <v>52021000</v>
      </c>
      <c r="K76" s="97">
        <v>18.5</v>
      </c>
      <c r="L76" s="98"/>
      <c r="M76" s="97">
        <f t="shared" si="5"/>
        <v>18.5</v>
      </c>
      <c r="N76" s="95"/>
      <c r="O76" s="98">
        <v>0.05</v>
      </c>
      <c r="P76" s="95" t="str">
        <f t="shared" si="6"/>
        <v>0</v>
      </c>
      <c r="Q76" s="97">
        <f t="shared" si="7"/>
        <v>0.46250000000000002</v>
      </c>
      <c r="R76" s="97">
        <f t="shared" si="8"/>
        <v>0.46250000000000002</v>
      </c>
      <c r="S76" s="97">
        <f t="shared" si="9"/>
        <v>19.424999999999997</v>
      </c>
    </row>
    <row r="77" spans="1:19" s="11" customFormat="1" x14ac:dyDescent="0.35">
      <c r="A77" s="93">
        <v>76</v>
      </c>
      <c r="B77" s="93" t="s">
        <v>431</v>
      </c>
      <c r="C77" s="94">
        <v>43473</v>
      </c>
      <c r="D77" s="95" t="s">
        <v>323</v>
      </c>
      <c r="E77" s="95" t="s">
        <v>468</v>
      </c>
      <c r="F77" s="95" t="s">
        <v>464</v>
      </c>
      <c r="G77" s="95" t="s">
        <v>15</v>
      </c>
      <c r="H77" s="95" t="s">
        <v>475</v>
      </c>
      <c r="I77" s="116" t="s">
        <v>16</v>
      </c>
      <c r="J77" s="95">
        <v>35069999</v>
      </c>
      <c r="K77" s="97">
        <v>110.16</v>
      </c>
      <c r="L77" s="98"/>
      <c r="M77" s="97">
        <f t="shared" si="5"/>
        <v>110.16</v>
      </c>
      <c r="N77" s="95"/>
      <c r="O77" s="98">
        <v>0.18</v>
      </c>
      <c r="P77" s="95" t="str">
        <f t="shared" si="6"/>
        <v>0</v>
      </c>
      <c r="Q77" s="97">
        <f t="shared" si="7"/>
        <v>9.9143999999999988</v>
      </c>
      <c r="R77" s="97">
        <f t="shared" si="8"/>
        <v>9.9143999999999988</v>
      </c>
      <c r="S77" s="97">
        <f t="shared" si="9"/>
        <v>129.9888</v>
      </c>
    </row>
    <row r="78" spans="1:19" s="11" customFormat="1" x14ac:dyDescent="0.35">
      <c r="A78" s="93">
        <v>77</v>
      </c>
      <c r="B78" s="93" t="s">
        <v>431</v>
      </c>
      <c r="C78" s="94">
        <v>43473</v>
      </c>
      <c r="D78" s="95" t="s">
        <v>323</v>
      </c>
      <c r="E78" s="95" t="s">
        <v>468</v>
      </c>
      <c r="F78" s="95" t="s">
        <v>464</v>
      </c>
      <c r="G78" s="95" t="s">
        <v>15</v>
      </c>
      <c r="H78" s="95" t="s">
        <v>475</v>
      </c>
      <c r="I78" s="116" t="s">
        <v>16</v>
      </c>
      <c r="J78" s="95">
        <v>998714</v>
      </c>
      <c r="K78" s="97">
        <f>750+100</f>
        <v>850</v>
      </c>
      <c r="L78" s="98"/>
      <c r="M78" s="97">
        <f t="shared" si="5"/>
        <v>850</v>
      </c>
      <c r="N78" s="95"/>
      <c r="O78" s="98">
        <v>0.18</v>
      </c>
      <c r="P78" s="95" t="str">
        <f t="shared" si="6"/>
        <v>0</v>
      </c>
      <c r="Q78" s="97">
        <f t="shared" si="7"/>
        <v>76.5</v>
      </c>
      <c r="R78" s="97">
        <f t="shared" si="8"/>
        <v>76.5</v>
      </c>
      <c r="S78" s="97">
        <f t="shared" si="9"/>
        <v>1003</v>
      </c>
    </row>
    <row r="79" spans="1:19" s="11" customFormat="1" x14ac:dyDescent="0.35">
      <c r="A79" s="93">
        <v>78</v>
      </c>
      <c r="B79" s="93" t="s">
        <v>431</v>
      </c>
      <c r="C79" s="94">
        <v>43474</v>
      </c>
      <c r="D79" s="95" t="s">
        <v>14</v>
      </c>
      <c r="E79" s="95" t="s">
        <v>468</v>
      </c>
      <c r="F79" s="95" t="s">
        <v>464</v>
      </c>
      <c r="G79" s="95" t="s">
        <v>15</v>
      </c>
      <c r="H79" s="95" t="s">
        <v>475</v>
      </c>
      <c r="I79" s="116" t="s">
        <v>16</v>
      </c>
      <c r="J79" s="95">
        <v>27101980</v>
      </c>
      <c r="K79" s="97">
        <f>3655.25+5507.5+788.9+56.43</f>
        <v>10008.08</v>
      </c>
      <c r="L79" s="100"/>
      <c r="M79" s="97">
        <f t="shared" si="5"/>
        <v>10008.08</v>
      </c>
      <c r="N79" s="95"/>
      <c r="O79" s="98">
        <v>0.18</v>
      </c>
      <c r="P79" s="95" t="str">
        <f t="shared" si="6"/>
        <v>0</v>
      </c>
      <c r="Q79" s="97">
        <f t="shared" si="7"/>
        <v>900.72719999999993</v>
      </c>
      <c r="R79" s="97">
        <f t="shared" si="8"/>
        <v>900.72719999999993</v>
      </c>
      <c r="S79" s="97">
        <f t="shared" si="9"/>
        <v>11809.534399999999</v>
      </c>
    </row>
    <row r="80" spans="1:19" s="11" customFormat="1" x14ac:dyDescent="0.35">
      <c r="A80" s="93">
        <v>79</v>
      </c>
      <c r="B80" s="93" t="s">
        <v>431</v>
      </c>
      <c r="C80" s="94">
        <v>43474</v>
      </c>
      <c r="D80" s="95" t="s">
        <v>14</v>
      </c>
      <c r="E80" s="95" t="s">
        <v>468</v>
      </c>
      <c r="F80" s="95" t="s">
        <v>464</v>
      </c>
      <c r="G80" s="95" t="s">
        <v>15</v>
      </c>
      <c r="H80" s="95" t="s">
        <v>475</v>
      </c>
      <c r="I80" s="116" t="s">
        <v>16</v>
      </c>
      <c r="J80" s="95">
        <v>87089900</v>
      </c>
      <c r="K80" s="97">
        <v>2674.22</v>
      </c>
      <c r="L80" s="100"/>
      <c r="M80" s="97">
        <f t="shared" si="5"/>
        <v>2674.22</v>
      </c>
      <c r="N80" s="95"/>
      <c r="O80" s="100">
        <v>0.28000000000000003</v>
      </c>
      <c r="P80" s="95" t="str">
        <f t="shared" si="6"/>
        <v>0</v>
      </c>
      <c r="Q80" s="97">
        <f t="shared" si="7"/>
        <v>374.39080000000001</v>
      </c>
      <c r="R80" s="97">
        <f t="shared" si="8"/>
        <v>374.39080000000001</v>
      </c>
      <c r="S80" s="97">
        <f t="shared" si="9"/>
        <v>3423.0016000000001</v>
      </c>
    </row>
    <row r="81" spans="1:19" s="11" customFormat="1" x14ac:dyDescent="0.35">
      <c r="A81" s="93">
        <v>80</v>
      </c>
      <c r="B81" s="93" t="s">
        <v>431</v>
      </c>
      <c r="C81" s="94">
        <v>43474</v>
      </c>
      <c r="D81" s="95" t="s">
        <v>14</v>
      </c>
      <c r="E81" s="95" t="s">
        <v>468</v>
      </c>
      <c r="F81" s="95" t="s">
        <v>464</v>
      </c>
      <c r="G81" s="95" t="s">
        <v>15</v>
      </c>
      <c r="H81" s="95" t="s">
        <v>475</v>
      </c>
      <c r="I81" s="116" t="s">
        <v>16</v>
      </c>
      <c r="J81" s="95">
        <v>38190010</v>
      </c>
      <c r="K81" s="97">
        <v>111.5</v>
      </c>
      <c r="L81" s="100"/>
      <c r="M81" s="97">
        <f t="shared" si="5"/>
        <v>111.5</v>
      </c>
      <c r="N81" s="95"/>
      <c r="O81" s="98">
        <v>0.18</v>
      </c>
      <c r="P81" s="95" t="str">
        <f t="shared" si="6"/>
        <v>0</v>
      </c>
      <c r="Q81" s="97">
        <f t="shared" si="7"/>
        <v>10.035</v>
      </c>
      <c r="R81" s="97">
        <f t="shared" si="8"/>
        <v>10.035</v>
      </c>
      <c r="S81" s="97">
        <f t="shared" si="9"/>
        <v>131.57</v>
      </c>
    </row>
    <row r="82" spans="1:19" s="11" customFormat="1" x14ac:dyDescent="0.35">
      <c r="A82" s="93">
        <v>81</v>
      </c>
      <c r="B82" s="93" t="s">
        <v>431</v>
      </c>
      <c r="C82" s="94">
        <v>43474</v>
      </c>
      <c r="D82" s="95" t="s">
        <v>14</v>
      </c>
      <c r="E82" s="95" t="s">
        <v>468</v>
      </c>
      <c r="F82" s="95" t="s">
        <v>464</v>
      </c>
      <c r="G82" s="95" t="s">
        <v>15</v>
      </c>
      <c r="H82" s="95" t="s">
        <v>475</v>
      </c>
      <c r="I82" s="116" t="s">
        <v>16</v>
      </c>
      <c r="J82" s="95">
        <v>52021000</v>
      </c>
      <c r="K82" s="97">
        <v>55.5</v>
      </c>
      <c r="L82" s="98"/>
      <c r="M82" s="97">
        <f t="shared" si="5"/>
        <v>55.5</v>
      </c>
      <c r="N82" s="95"/>
      <c r="O82" s="98">
        <v>0.05</v>
      </c>
      <c r="P82" s="95" t="str">
        <f t="shared" si="6"/>
        <v>0</v>
      </c>
      <c r="Q82" s="97">
        <f t="shared" si="7"/>
        <v>1.3875000000000002</v>
      </c>
      <c r="R82" s="97">
        <f t="shared" si="8"/>
        <v>1.3875000000000002</v>
      </c>
      <c r="S82" s="97">
        <f t="shared" si="9"/>
        <v>58.275000000000006</v>
      </c>
    </row>
    <row r="83" spans="1:19" s="11" customFormat="1" x14ac:dyDescent="0.35">
      <c r="A83" s="93">
        <v>82</v>
      </c>
      <c r="B83" s="93" t="s">
        <v>431</v>
      </c>
      <c r="C83" s="94">
        <v>43474</v>
      </c>
      <c r="D83" s="95" t="s">
        <v>14</v>
      </c>
      <c r="E83" s="95" t="s">
        <v>468</v>
      </c>
      <c r="F83" s="95" t="s">
        <v>464</v>
      </c>
      <c r="G83" s="95" t="s">
        <v>15</v>
      </c>
      <c r="H83" s="95" t="s">
        <v>475</v>
      </c>
      <c r="I83" s="116" t="s">
        <v>16</v>
      </c>
      <c r="J83" s="95">
        <v>84099199</v>
      </c>
      <c r="K83" s="97">
        <v>567.17999999999995</v>
      </c>
      <c r="L83" s="98"/>
      <c r="M83" s="97">
        <f t="shared" si="5"/>
        <v>567.17999999999995</v>
      </c>
      <c r="N83" s="95"/>
      <c r="O83" s="98">
        <v>0.28000000000000003</v>
      </c>
      <c r="P83" s="95" t="str">
        <f t="shared" si="6"/>
        <v>0</v>
      </c>
      <c r="Q83" s="97">
        <f t="shared" si="7"/>
        <v>79.405199999999994</v>
      </c>
      <c r="R83" s="97">
        <f t="shared" si="8"/>
        <v>79.405199999999994</v>
      </c>
      <c r="S83" s="97">
        <f t="shared" si="9"/>
        <v>725.99040000000002</v>
      </c>
    </row>
    <row r="84" spans="1:19" s="11" customFormat="1" x14ac:dyDescent="0.35">
      <c r="A84" s="93">
        <v>83</v>
      </c>
      <c r="B84" s="93" t="s">
        <v>431</v>
      </c>
      <c r="C84" s="94">
        <v>43474</v>
      </c>
      <c r="D84" s="95" t="s">
        <v>14</v>
      </c>
      <c r="E84" s="95" t="s">
        <v>468</v>
      </c>
      <c r="F84" s="95" t="s">
        <v>464</v>
      </c>
      <c r="G84" s="95" t="s">
        <v>15</v>
      </c>
      <c r="H84" s="95" t="s">
        <v>475</v>
      </c>
      <c r="I84" s="116" t="s">
        <v>16</v>
      </c>
      <c r="J84" s="95">
        <v>27101990</v>
      </c>
      <c r="K84" s="97">
        <f>2003.39+322.03</f>
        <v>2325.42</v>
      </c>
      <c r="L84" s="98"/>
      <c r="M84" s="97">
        <f t="shared" si="5"/>
        <v>2325.42</v>
      </c>
      <c r="N84" s="95"/>
      <c r="O84" s="98">
        <v>0.18</v>
      </c>
      <c r="P84" s="95" t="str">
        <f t="shared" si="6"/>
        <v>0</v>
      </c>
      <c r="Q84" s="97">
        <f t="shared" si="7"/>
        <v>209.2878</v>
      </c>
      <c r="R84" s="97">
        <f t="shared" si="8"/>
        <v>209.2878</v>
      </c>
      <c r="S84" s="97">
        <f t="shared" si="9"/>
        <v>2743.9956000000002</v>
      </c>
    </row>
    <row r="85" spans="1:19" s="11" customFormat="1" x14ac:dyDescent="0.35">
      <c r="A85" s="93">
        <v>84</v>
      </c>
      <c r="B85" s="93" t="s">
        <v>431</v>
      </c>
      <c r="C85" s="94">
        <v>43474</v>
      </c>
      <c r="D85" s="95" t="s">
        <v>14</v>
      </c>
      <c r="E85" s="95" t="s">
        <v>468</v>
      </c>
      <c r="F85" s="95" t="s">
        <v>464</v>
      </c>
      <c r="G85" s="95" t="s">
        <v>15</v>
      </c>
      <c r="H85" s="95" t="s">
        <v>475</v>
      </c>
      <c r="I85" s="116" t="s">
        <v>16</v>
      </c>
      <c r="J85" s="95">
        <v>84212900</v>
      </c>
      <c r="K85" s="97">
        <v>192.19</v>
      </c>
      <c r="L85" s="98"/>
      <c r="M85" s="97">
        <f t="shared" si="5"/>
        <v>192.19</v>
      </c>
      <c r="N85" s="95"/>
      <c r="O85" s="98">
        <v>0.18</v>
      </c>
      <c r="P85" s="95" t="str">
        <f t="shared" si="6"/>
        <v>0</v>
      </c>
      <c r="Q85" s="97">
        <f t="shared" si="7"/>
        <v>17.2971</v>
      </c>
      <c r="R85" s="97">
        <f t="shared" si="8"/>
        <v>17.2971</v>
      </c>
      <c r="S85" s="97">
        <f t="shared" si="9"/>
        <v>226.7842</v>
      </c>
    </row>
    <row r="86" spans="1:19" s="11" customFormat="1" x14ac:dyDescent="0.35">
      <c r="A86" s="93">
        <v>85</v>
      </c>
      <c r="B86" s="93" t="s">
        <v>431</v>
      </c>
      <c r="C86" s="94">
        <v>43474</v>
      </c>
      <c r="D86" s="95" t="s">
        <v>14</v>
      </c>
      <c r="E86" s="95" t="s">
        <v>468</v>
      </c>
      <c r="F86" s="95" t="s">
        <v>464</v>
      </c>
      <c r="G86" s="95" t="s">
        <v>15</v>
      </c>
      <c r="H86" s="95" t="s">
        <v>475</v>
      </c>
      <c r="I86" s="116" t="s">
        <v>16</v>
      </c>
      <c r="J86" s="95">
        <v>28530010</v>
      </c>
      <c r="K86" s="97">
        <v>87.34</v>
      </c>
      <c r="L86" s="98"/>
      <c r="M86" s="97">
        <f t="shared" si="5"/>
        <v>87.34</v>
      </c>
      <c r="N86" s="95"/>
      <c r="O86" s="98">
        <v>0.18</v>
      </c>
      <c r="P86" s="95" t="str">
        <f t="shared" si="6"/>
        <v>0</v>
      </c>
      <c r="Q86" s="97">
        <f t="shared" si="7"/>
        <v>7.8605999999999998</v>
      </c>
      <c r="R86" s="97">
        <f t="shared" si="8"/>
        <v>7.8605999999999998</v>
      </c>
      <c r="S86" s="97">
        <f t="shared" si="9"/>
        <v>103.06120000000001</v>
      </c>
    </row>
    <row r="87" spans="1:19" s="11" customFormat="1" x14ac:dyDescent="0.35">
      <c r="A87" s="93">
        <v>86</v>
      </c>
      <c r="B87" s="93" t="s">
        <v>431</v>
      </c>
      <c r="C87" s="94">
        <v>43474</v>
      </c>
      <c r="D87" s="95" t="s">
        <v>14</v>
      </c>
      <c r="E87" s="95" t="s">
        <v>468</v>
      </c>
      <c r="F87" s="95" t="s">
        <v>464</v>
      </c>
      <c r="G87" s="95" t="s">
        <v>15</v>
      </c>
      <c r="H87" s="95" t="s">
        <v>475</v>
      </c>
      <c r="I87" s="116" t="s">
        <v>16</v>
      </c>
      <c r="J87" s="95">
        <v>85122010</v>
      </c>
      <c r="K87" s="97">
        <v>2305.9299999999998</v>
      </c>
      <c r="L87" s="98"/>
      <c r="M87" s="97">
        <f t="shared" si="5"/>
        <v>2305.9299999999998</v>
      </c>
      <c r="N87" s="95"/>
      <c r="O87" s="98">
        <v>0.18</v>
      </c>
      <c r="P87" s="95" t="str">
        <f t="shared" si="6"/>
        <v>0</v>
      </c>
      <c r="Q87" s="97">
        <f t="shared" si="7"/>
        <v>207.53369999999998</v>
      </c>
      <c r="R87" s="97">
        <f t="shared" si="8"/>
        <v>207.53369999999998</v>
      </c>
      <c r="S87" s="97">
        <f t="shared" si="9"/>
        <v>2720.9973999999997</v>
      </c>
    </row>
    <row r="88" spans="1:19" s="11" customFormat="1" x14ac:dyDescent="0.35">
      <c r="A88" s="93">
        <v>87</v>
      </c>
      <c r="B88" s="93" t="s">
        <v>431</v>
      </c>
      <c r="C88" s="94">
        <v>43474</v>
      </c>
      <c r="D88" s="95" t="s">
        <v>14</v>
      </c>
      <c r="E88" s="95" t="s">
        <v>468</v>
      </c>
      <c r="F88" s="95" t="s">
        <v>464</v>
      </c>
      <c r="G88" s="95" t="s">
        <v>15</v>
      </c>
      <c r="H88" s="95" t="s">
        <v>475</v>
      </c>
      <c r="I88" s="116" t="s">
        <v>16</v>
      </c>
      <c r="J88" s="95">
        <v>39269099</v>
      </c>
      <c r="K88" s="97">
        <v>54.7</v>
      </c>
      <c r="L88" s="98"/>
      <c r="M88" s="97">
        <f t="shared" si="5"/>
        <v>54.7</v>
      </c>
      <c r="N88" s="95"/>
      <c r="O88" s="98">
        <v>0.18</v>
      </c>
      <c r="P88" s="95" t="str">
        <f t="shared" si="6"/>
        <v>0</v>
      </c>
      <c r="Q88" s="97">
        <f t="shared" si="7"/>
        <v>4.923</v>
      </c>
      <c r="R88" s="97">
        <f t="shared" si="8"/>
        <v>4.923</v>
      </c>
      <c r="S88" s="97">
        <f t="shared" si="9"/>
        <v>64.546000000000006</v>
      </c>
    </row>
    <row r="89" spans="1:19" s="11" customFormat="1" x14ac:dyDescent="0.35">
      <c r="A89" s="93">
        <v>88</v>
      </c>
      <c r="B89" s="93" t="s">
        <v>431</v>
      </c>
      <c r="C89" s="94">
        <v>43474</v>
      </c>
      <c r="D89" s="95" t="s">
        <v>14</v>
      </c>
      <c r="E89" s="95" t="s">
        <v>468</v>
      </c>
      <c r="F89" s="95" t="s">
        <v>464</v>
      </c>
      <c r="G89" s="95" t="s">
        <v>15</v>
      </c>
      <c r="H89" s="95" t="s">
        <v>475</v>
      </c>
      <c r="I89" s="116" t="s">
        <v>16</v>
      </c>
      <c r="J89" s="95">
        <v>998714</v>
      </c>
      <c r="K89" s="97">
        <v>7538</v>
      </c>
      <c r="L89" s="98"/>
      <c r="M89" s="97">
        <f t="shared" si="5"/>
        <v>7538</v>
      </c>
      <c r="N89" s="95"/>
      <c r="O89" s="98">
        <v>0.18</v>
      </c>
      <c r="P89" s="95" t="str">
        <f t="shared" si="6"/>
        <v>0</v>
      </c>
      <c r="Q89" s="97">
        <f t="shared" si="7"/>
        <v>678.42</v>
      </c>
      <c r="R89" s="97">
        <f t="shared" si="8"/>
        <v>678.42</v>
      </c>
      <c r="S89" s="97">
        <f t="shared" si="9"/>
        <v>8894.84</v>
      </c>
    </row>
    <row r="90" spans="1:19" s="11" customFormat="1" x14ac:dyDescent="0.35">
      <c r="A90" s="93">
        <v>89</v>
      </c>
      <c r="B90" s="93" t="s">
        <v>431</v>
      </c>
      <c r="C90" s="94">
        <v>43474</v>
      </c>
      <c r="D90" s="95" t="s">
        <v>17</v>
      </c>
      <c r="E90" s="95" t="s">
        <v>468</v>
      </c>
      <c r="F90" s="95" t="s">
        <v>464</v>
      </c>
      <c r="G90" s="95" t="s">
        <v>15</v>
      </c>
      <c r="H90" s="95" t="s">
        <v>475</v>
      </c>
      <c r="I90" s="116" t="s">
        <v>16</v>
      </c>
      <c r="J90" s="95">
        <v>87088000</v>
      </c>
      <c r="K90" s="97">
        <f>182.82+664.06</f>
        <v>846.87999999999988</v>
      </c>
      <c r="L90" s="98"/>
      <c r="M90" s="97">
        <f t="shared" si="5"/>
        <v>846.87999999999988</v>
      </c>
      <c r="N90" s="95"/>
      <c r="O90" s="98">
        <v>0.28000000000000003</v>
      </c>
      <c r="P90" s="95" t="str">
        <f t="shared" si="6"/>
        <v>0</v>
      </c>
      <c r="Q90" s="97">
        <f t="shared" si="7"/>
        <v>118.56319999999999</v>
      </c>
      <c r="R90" s="97">
        <f t="shared" si="8"/>
        <v>118.56319999999999</v>
      </c>
      <c r="S90" s="97">
        <f t="shared" si="9"/>
        <v>1084.0064</v>
      </c>
    </row>
    <row r="91" spans="1:19" s="11" customFormat="1" x14ac:dyDescent="0.35">
      <c r="A91" s="93">
        <v>90</v>
      </c>
      <c r="B91" s="93" t="s">
        <v>431</v>
      </c>
      <c r="C91" s="94">
        <v>43474</v>
      </c>
      <c r="D91" s="95" t="s">
        <v>17</v>
      </c>
      <c r="E91" s="95" t="s">
        <v>468</v>
      </c>
      <c r="F91" s="95" t="s">
        <v>464</v>
      </c>
      <c r="G91" s="95" t="s">
        <v>15</v>
      </c>
      <c r="H91" s="95" t="s">
        <v>475</v>
      </c>
      <c r="I91" s="116" t="s">
        <v>16</v>
      </c>
      <c r="J91" s="95">
        <v>40161000</v>
      </c>
      <c r="K91" s="97">
        <f>2211.86+461.04</f>
        <v>2672.9</v>
      </c>
      <c r="L91" s="98"/>
      <c r="M91" s="97">
        <f t="shared" si="5"/>
        <v>2672.9</v>
      </c>
      <c r="N91" s="95"/>
      <c r="O91" s="98">
        <v>0.18</v>
      </c>
      <c r="P91" s="95" t="str">
        <f t="shared" si="6"/>
        <v>0</v>
      </c>
      <c r="Q91" s="97">
        <f t="shared" si="7"/>
        <v>240.56100000000001</v>
      </c>
      <c r="R91" s="97">
        <f t="shared" si="8"/>
        <v>240.56100000000001</v>
      </c>
      <c r="S91" s="97">
        <f t="shared" si="9"/>
        <v>3154.0220000000004</v>
      </c>
    </row>
    <row r="92" spans="1:19" s="11" customFormat="1" x14ac:dyDescent="0.35">
      <c r="A92" s="93">
        <v>91</v>
      </c>
      <c r="B92" s="93" t="s">
        <v>431</v>
      </c>
      <c r="C92" s="94">
        <v>43474</v>
      </c>
      <c r="D92" s="95" t="s">
        <v>17</v>
      </c>
      <c r="E92" s="95" t="s">
        <v>468</v>
      </c>
      <c r="F92" s="95" t="s">
        <v>464</v>
      </c>
      <c r="G92" s="95" t="s">
        <v>15</v>
      </c>
      <c r="H92" s="95" t="s">
        <v>475</v>
      </c>
      <c r="I92" s="116" t="s">
        <v>16</v>
      </c>
      <c r="J92" s="95">
        <v>87089900</v>
      </c>
      <c r="K92" s="97">
        <f>1679.68+903.12+8.59+779.69+809.38+17.18</f>
        <v>4197.6400000000003</v>
      </c>
      <c r="L92" s="98"/>
      <c r="M92" s="97">
        <f t="shared" si="5"/>
        <v>4197.6400000000003</v>
      </c>
      <c r="N92" s="95"/>
      <c r="O92" s="98">
        <v>0.28000000000000003</v>
      </c>
      <c r="P92" s="95" t="str">
        <f t="shared" si="6"/>
        <v>0</v>
      </c>
      <c r="Q92" s="97">
        <f t="shared" si="7"/>
        <v>587.66960000000006</v>
      </c>
      <c r="R92" s="97">
        <f t="shared" si="8"/>
        <v>587.66960000000006</v>
      </c>
      <c r="S92" s="97">
        <f t="shared" si="9"/>
        <v>5372.9792000000007</v>
      </c>
    </row>
    <row r="93" spans="1:19" s="11" customFormat="1" x14ac:dyDescent="0.35">
      <c r="A93" s="93">
        <v>92</v>
      </c>
      <c r="B93" s="93" t="s">
        <v>431</v>
      </c>
      <c r="C93" s="94">
        <v>43474</v>
      </c>
      <c r="D93" s="95" t="s">
        <v>17</v>
      </c>
      <c r="E93" s="95" t="s">
        <v>468</v>
      </c>
      <c r="F93" s="95" t="s">
        <v>464</v>
      </c>
      <c r="G93" s="95" t="s">
        <v>15</v>
      </c>
      <c r="H93" s="95" t="s">
        <v>475</v>
      </c>
      <c r="I93" s="116" t="s">
        <v>16</v>
      </c>
      <c r="J93" s="95">
        <v>52021000</v>
      </c>
      <c r="K93" s="97">
        <f>37+37</f>
        <v>74</v>
      </c>
      <c r="L93" s="98"/>
      <c r="M93" s="97">
        <f t="shared" si="5"/>
        <v>74</v>
      </c>
      <c r="N93" s="95"/>
      <c r="O93" s="98">
        <v>0.05</v>
      </c>
      <c r="P93" s="95" t="str">
        <f t="shared" si="6"/>
        <v>0</v>
      </c>
      <c r="Q93" s="97">
        <f t="shared" si="7"/>
        <v>1.85</v>
      </c>
      <c r="R93" s="97">
        <f t="shared" si="8"/>
        <v>1.85</v>
      </c>
      <c r="S93" s="97">
        <f t="shared" si="9"/>
        <v>77.699999999999989</v>
      </c>
    </row>
    <row r="94" spans="1:19" s="11" customFormat="1" x14ac:dyDescent="0.35">
      <c r="A94" s="93">
        <v>93</v>
      </c>
      <c r="B94" s="93" t="s">
        <v>431</v>
      </c>
      <c r="C94" s="94">
        <v>43474</v>
      </c>
      <c r="D94" s="95" t="s">
        <v>17</v>
      </c>
      <c r="E94" s="95" t="s">
        <v>468</v>
      </c>
      <c r="F94" s="95" t="s">
        <v>464</v>
      </c>
      <c r="G94" s="95" t="s">
        <v>15</v>
      </c>
      <c r="H94" s="95" t="s">
        <v>475</v>
      </c>
      <c r="I94" s="116" t="s">
        <v>16</v>
      </c>
      <c r="J94" s="95">
        <v>40169330</v>
      </c>
      <c r="K94" s="97">
        <v>542.38</v>
      </c>
      <c r="L94" s="98"/>
      <c r="M94" s="97">
        <f t="shared" si="5"/>
        <v>542.38</v>
      </c>
      <c r="N94" s="95"/>
      <c r="O94" s="98">
        <v>0.18</v>
      </c>
      <c r="P94" s="95" t="str">
        <f t="shared" si="6"/>
        <v>0</v>
      </c>
      <c r="Q94" s="97">
        <f t="shared" si="7"/>
        <v>48.8142</v>
      </c>
      <c r="R94" s="97">
        <f t="shared" si="8"/>
        <v>48.8142</v>
      </c>
      <c r="S94" s="97">
        <f t="shared" si="9"/>
        <v>640.00840000000005</v>
      </c>
    </row>
    <row r="95" spans="1:19" s="11" customFormat="1" x14ac:dyDescent="0.35">
      <c r="A95" s="93">
        <v>94</v>
      </c>
      <c r="B95" s="93" t="s">
        <v>431</v>
      </c>
      <c r="C95" s="94">
        <v>43474</v>
      </c>
      <c r="D95" s="95" t="s">
        <v>17</v>
      </c>
      <c r="E95" s="95" t="s">
        <v>468</v>
      </c>
      <c r="F95" s="95" t="s">
        <v>464</v>
      </c>
      <c r="G95" s="95" t="s">
        <v>15</v>
      </c>
      <c r="H95" s="95" t="s">
        <v>475</v>
      </c>
      <c r="I95" s="116" t="s">
        <v>16</v>
      </c>
      <c r="J95" s="95">
        <v>73181600</v>
      </c>
      <c r="K95" s="97">
        <f>1770.34+81.36</f>
        <v>1851.6999999999998</v>
      </c>
      <c r="L95" s="98"/>
      <c r="M95" s="97">
        <f t="shared" si="5"/>
        <v>1851.6999999999998</v>
      </c>
      <c r="N95" s="95"/>
      <c r="O95" s="98">
        <v>0.18</v>
      </c>
      <c r="P95" s="95" t="str">
        <f t="shared" si="6"/>
        <v>0</v>
      </c>
      <c r="Q95" s="97">
        <f t="shared" si="7"/>
        <v>166.65299999999999</v>
      </c>
      <c r="R95" s="97">
        <f t="shared" si="8"/>
        <v>166.65299999999999</v>
      </c>
      <c r="S95" s="97">
        <f t="shared" si="9"/>
        <v>2185.0059999999999</v>
      </c>
    </row>
    <row r="96" spans="1:19" s="11" customFormat="1" x14ac:dyDescent="0.35">
      <c r="A96" s="93">
        <v>95</v>
      </c>
      <c r="B96" s="93" t="s">
        <v>431</v>
      </c>
      <c r="C96" s="94">
        <v>43474</v>
      </c>
      <c r="D96" s="95" t="s">
        <v>17</v>
      </c>
      <c r="E96" s="95" t="s">
        <v>468</v>
      </c>
      <c r="F96" s="95" t="s">
        <v>464</v>
      </c>
      <c r="G96" s="95" t="s">
        <v>15</v>
      </c>
      <c r="H96" s="95" t="s">
        <v>475</v>
      </c>
      <c r="I96" s="116" t="s">
        <v>16</v>
      </c>
      <c r="J96" s="95">
        <v>84822011</v>
      </c>
      <c r="K96" s="97">
        <v>639.83000000000004</v>
      </c>
      <c r="L96" s="98"/>
      <c r="M96" s="97">
        <f t="shared" si="5"/>
        <v>639.83000000000004</v>
      </c>
      <c r="N96" s="95"/>
      <c r="O96" s="98">
        <v>0.18</v>
      </c>
      <c r="P96" s="95" t="str">
        <f t="shared" si="6"/>
        <v>0</v>
      </c>
      <c r="Q96" s="97">
        <f t="shared" si="7"/>
        <v>57.584699999999998</v>
      </c>
      <c r="R96" s="97">
        <f t="shared" si="8"/>
        <v>57.584699999999998</v>
      </c>
      <c r="S96" s="97">
        <f t="shared" si="9"/>
        <v>754.99940000000004</v>
      </c>
    </row>
    <row r="97" spans="1:19" s="11" customFormat="1" x14ac:dyDescent="0.35">
      <c r="A97" s="93">
        <v>96</v>
      </c>
      <c r="B97" s="93" t="s">
        <v>431</v>
      </c>
      <c r="C97" s="94">
        <v>43474</v>
      </c>
      <c r="D97" s="95" t="s">
        <v>17</v>
      </c>
      <c r="E97" s="95" t="s">
        <v>468</v>
      </c>
      <c r="F97" s="95" t="s">
        <v>464</v>
      </c>
      <c r="G97" s="95" t="s">
        <v>15</v>
      </c>
      <c r="H97" s="95" t="s">
        <v>475</v>
      </c>
      <c r="I97" s="116" t="s">
        <v>16</v>
      </c>
      <c r="J97" s="95">
        <v>27101990</v>
      </c>
      <c r="K97" s="97">
        <v>322.02999999999997</v>
      </c>
      <c r="L97" s="98"/>
      <c r="M97" s="97">
        <f t="shared" si="5"/>
        <v>322.02999999999997</v>
      </c>
      <c r="N97" s="95"/>
      <c r="O97" s="98">
        <v>0.18</v>
      </c>
      <c r="P97" s="95" t="str">
        <f t="shared" si="6"/>
        <v>0</v>
      </c>
      <c r="Q97" s="97">
        <f t="shared" si="7"/>
        <v>28.982699999999998</v>
      </c>
      <c r="R97" s="97">
        <f t="shared" si="8"/>
        <v>28.982699999999998</v>
      </c>
      <c r="S97" s="97">
        <f t="shared" si="9"/>
        <v>379.99540000000002</v>
      </c>
    </row>
    <row r="98" spans="1:19" s="11" customFormat="1" x14ac:dyDescent="0.35">
      <c r="A98" s="93">
        <v>97</v>
      </c>
      <c r="B98" s="93" t="s">
        <v>431</v>
      </c>
      <c r="C98" s="94">
        <v>43474</v>
      </c>
      <c r="D98" s="95" t="s">
        <v>17</v>
      </c>
      <c r="E98" s="95" t="s">
        <v>468</v>
      </c>
      <c r="F98" s="95" t="s">
        <v>464</v>
      </c>
      <c r="G98" s="95" t="s">
        <v>15</v>
      </c>
      <c r="H98" s="95" t="s">
        <v>475</v>
      </c>
      <c r="I98" s="116" t="s">
        <v>16</v>
      </c>
      <c r="J98" s="95">
        <v>73201011</v>
      </c>
      <c r="K98" s="97">
        <v>1179.6600000000001</v>
      </c>
      <c r="L98" s="98"/>
      <c r="M98" s="97">
        <f t="shared" si="5"/>
        <v>1179.6600000000001</v>
      </c>
      <c r="N98" s="95"/>
      <c r="O98" s="98">
        <v>0.18</v>
      </c>
      <c r="P98" s="95" t="str">
        <f t="shared" si="6"/>
        <v>0</v>
      </c>
      <c r="Q98" s="97">
        <f t="shared" si="7"/>
        <v>106.16940000000001</v>
      </c>
      <c r="R98" s="97">
        <f t="shared" si="8"/>
        <v>106.16940000000001</v>
      </c>
      <c r="S98" s="97">
        <f t="shared" si="9"/>
        <v>1391.9988000000001</v>
      </c>
    </row>
    <row r="99" spans="1:19" s="11" customFormat="1" x14ac:dyDescent="0.35">
      <c r="A99" s="93">
        <v>98</v>
      </c>
      <c r="B99" s="93" t="s">
        <v>431</v>
      </c>
      <c r="C99" s="94">
        <v>43474</v>
      </c>
      <c r="D99" s="95" t="s">
        <v>17</v>
      </c>
      <c r="E99" s="95" t="s">
        <v>468</v>
      </c>
      <c r="F99" s="95" t="s">
        <v>464</v>
      </c>
      <c r="G99" s="95" t="s">
        <v>15</v>
      </c>
      <c r="H99" s="95" t="s">
        <v>475</v>
      </c>
      <c r="I99" s="116" t="s">
        <v>16</v>
      </c>
      <c r="J99" s="95">
        <v>68138100</v>
      </c>
      <c r="K99" s="97">
        <v>7620.34</v>
      </c>
      <c r="L99" s="98"/>
      <c r="M99" s="97">
        <f t="shared" si="5"/>
        <v>7620.34</v>
      </c>
      <c r="N99" s="95"/>
      <c r="O99" s="98">
        <v>0.18</v>
      </c>
      <c r="P99" s="95" t="str">
        <f t="shared" si="6"/>
        <v>0</v>
      </c>
      <c r="Q99" s="97">
        <f t="shared" si="7"/>
        <v>685.8306</v>
      </c>
      <c r="R99" s="97">
        <f t="shared" si="8"/>
        <v>685.8306</v>
      </c>
      <c r="S99" s="97">
        <f t="shared" si="9"/>
        <v>8992.0011999999988</v>
      </c>
    </row>
    <row r="100" spans="1:19" s="11" customFormat="1" x14ac:dyDescent="0.35">
      <c r="A100" s="93">
        <v>99</v>
      </c>
      <c r="B100" s="93" t="s">
        <v>431</v>
      </c>
      <c r="C100" s="94">
        <v>43474</v>
      </c>
      <c r="D100" s="95" t="s">
        <v>17</v>
      </c>
      <c r="E100" s="95" t="s">
        <v>468</v>
      </c>
      <c r="F100" s="95" t="s">
        <v>464</v>
      </c>
      <c r="G100" s="95" t="s">
        <v>15</v>
      </c>
      <c r="H100" s="95" t="s">
        <v>475</v>
      </c>
      <c r="I100" s="116" t="s">
        <v>16</v>
      </c>
      <c r="J100" s="95">
        <v>73181500</v>
      </c>
      <c r="K100" s="97">
        <f>135.59+19.49</f>
        <v>155.08000000000001</v>
      </c>
      <c r="L100" s="98"/>
      <c r="M100" s="97">
        <f t="shared" si="5"/>
        <v>155.08000000000001</v>
      </c>
      <c r="N100" s="95"/>
      <c r="O100" s="98">
        <v>0.18</v>
      </c>
      <c r="P100" s="95" t="str">
        <f t="shared" si="6"/>
        <v>0</v>
      </c>
      <c r="Q100" s="97">
        <f t="shared" si="7"/>
        <v>13.9572</v>
      </c>
      <c r="R100" s="97">
        <f t="shared" si="8"/>
        <v>13.9572</v>
      </c>
      <c r="S100" s="97">
        <f t="shared" si="9"/>
        <v>182.99440000000001</v>
      </c>
    </row>
    <row r="101" spans="1:19" s="11" customFormat="1" x14ac:dyDescent="0.35">
      <c r="A101" s="93">
        <v>100</v>
      </c>
      <c r="B101" s="93" t="s">
        <v>431</v>
      </c>
      <c r="C101" s="94">
        <v>43474</v>
      </c>
      <c r="D101" s="95" t="s">
        <v>17</v>
      </c>
      <c r="E101" s="95" t="s">
        <v>468</v>
      </c>
      <c r="F101" s="95" t="s">
        <v>464</v>
      </c>
      <c r="G101" s="95" t="s">
        <v>15</v>
      </c>
      <c r="H101" s="95" t="s">
        <v>475</v>
      </c>
      <c r="I101" s="116" t="s">
        <v>16</v>
      </c>
      <c r="J101" s="95">
        <v>998714</v>
      </c>
      <c r="K101" s="97">
        <f>500+1500+563+1650+2063+563+375+375+563</f>
        <v>8152</v>
      </c>
      <c r="L101" s="98"/>
      <c r="M101" s="97">
        <f t="shared" si="5"/>
        <v>8152</v>
      </c>
      <c r="N101" s="95"/>
      <c r="O101" s="98">
        <v>0.18</v>
      </c>
      <c r="P101" s="95" t="str">
        <f t="shared" si="6"/>
        <v>0</v>
      </c>
      <c r="Q101" s="97">
        <f t="shared" si="7"/>
        <v>733.68</v>
      </c>
      <c r="R101" s="97">
        <f t="shared" si="8"/>
        <v>733.68</v>
      </c>
      <c r="S101" s="97">
        <f t="shared" si="9"/>
        <v>9619.36</v>
      </c>
    </row>
    <row r="102" spans="1:19" s="11" customFormat="1" x14ac:dyDescent="0.35">
      <c r="A102" s="93">
        <v>101</v>
      </c>
      <c r="B102" s="93" t="s">
        <v>431</v>
      </c>
      <c r="C102" s="94">
        <v>43474</v>
      </c>
      <c r="D102" s="101">
        <v>451</v>
      </c>
      <c r="E102" s="95" t="s">
        <v>468</v>
      </c>
      <c r="F102" s="95" t="s">
        <v>464</v>
      </c>
      <c r="G102" s="95" t="s">
        <v>319</v>
      </c>
      <c r="H102" s="95" t="s">
        <v>475</v>
      </c>
      <c r="I102" s="116" t="s">
        <v>24</v>
      </c>
      <c r="J102" s="95">
        <v>8431</v>
      </c>
      <c r="K102" s="97">
        <f>9500+1500</f>
        <v>11000</v>
      </c>
      <c r="L102" s="98"/>
      <c r="M102" s="97">
        <f t="shared" si="5"/>
        <v>11000</v>
      </c>
      <c r="N102" s="95"/>
      <c r="O102" s="98">
        <v>0.18</v>
      </c>
      <c r="P102" s="95" t="str">
        <f t="shared" si="6"/>
        <v>0</v>
      </c>
      <c r="Q102" s="97">
        <f t="shared" si="7"/>
        <v>990</v>
      </c>
      <c r="R102" s="97">
        <f t="shared" si="8"/>
        <v>990</v>
      </c>
      <c r="S102" s="97">
        <f t="shared" si="9"/>
        <v>12980</v>
      </c>
    </row>
    <row r="103" spans="1:19" s="11" customFormat="1" x14ac:dyDescent="0.35">
      <c r="A103" s="93">
        <v>102</v>
      </c>
      <c r="B103" s="93" t="s">
        <v>431</v>
      </c>
      <c r="C103" s="94">
        <v>43474</v>
      </c>
      <c r="D103" s="95">
        <v>1000</v>
      </c>
      <c r="E103" s="95" t="s">
        <v>468</v>
      </c>
      <c r="F103" s="95" t="s">
        <v>464</v>
      </c>
      <c r="G103" s="95" t="s">
        <v>12</v>
      </c>
      <c r="H103" s="95" t="s">
        <v>475</v>
      </c>
      <c r="I103" s="116" t="s">
        <v>13</v>
      </c>
      <c r="J103" s="95">
        <v>8311</v>
      </c>
      <c r="K103" s="97">
        <v>2500</v>
      </c>
      <c r="L103" s="98"/>
      <c r="M103" s="97">
        <f t="shared" si="5"/>
        <v>2500</v>
      </c>
      <c r="N103" s="95"/>
      <c r="O103" s="98">
        <v>0.18</v>
      </c>
      <c r="P103" s="95" t="str">
        <f t="shared" si="6"/>
        <v>0</v>
      </c>
      <c r="Q103" s="97">
        <f t="shared" si="7"/>
        <v>225</v>
      </c>
      <c r="R103" s="97">
        <f t="shared" si="8"/>
        <v>225</v>
      </c>
      <c r="S103" s="97">
        <f t="shared" si="9"/>
        <v>2950</v>
      </c>
    </row>
    <row r="104" spans="1:19" s="11" customFormat="1" x14ac:dyDescent="0.35">
      <c r="A104" s="93">
        <v>103</v>
      </c>
      <c r="B104" s="93" t="s">
        <v>431</v>
      </c>
      <c r="C104" s="94">
        <v>43474</v>
      </c>
      <c r="D104" s="95">
        <v>1000</v>
      </c>
      <c r="E104" s="95" t="s">
        <v>468</v>
      </c>
      <c r="F104" s="95" t="s">
        <v>464</v>
      </c>
      <c r="G104" s="95" t="s">
        <v>12</v>
      </c>
      <c r="H104" s="95" t="s">
        <v>475</v>
      </c>
      <c r="I104" s="116" t="s">
        <v>13</v>
      </c>
      <c r="J104" s="95" t="s">
        <v>63</v>
      </c>
      <c r="K104" s="97">
        <v>240</v>
      </c>
      <c r="L104" s="98"/>
      <c r="M104" s="97">
        <f t="shared" si="5"/>
        <v>240</v>
      </c>
      <c r="N104" s="95"/>
      <c r="O104" s="98">
        <v>0.18</v>
      </c>
      <c r="P104" s="95" t="str">
        <f t="shared" si="6"/>
        <v>0</v>
      </c>
      <c r="Q104" s="97">
        <f t="shared" si="7"/>
        <v>21.599999999999998</v>
      </c>
      <c r="R104" s="97">
        <f t="shared" si="8"/>
        <v>21.599999999999998</v>
      </c>
      <c r="S104" s="97">
        <f t="shared" si="9"/>
        <v>283.20000000000005</v>
      </c>
    </row>
    <row r="105" spans="1:19" s="11" customFormat="1" x14ac:dyDescent="0.35">
      <c r="A105" s="93">
        <v>104</v>
      </c>
      <c r="B105" s="93" t="s">
        <v>431</v>
      </c>
      <c r="C105" s="94">
        <v>43474</v>
      </c>
      <c r="D105" s="95" t="s">
        <v>44</v>
      </c>
      <c r="E105" s="95" t="s">
        <v>468</v>
      </c>
      <c r="F105" s="95" t="s">
        <v>464</v>
      </c>
      <c r="G105" s="95" t="s">
        <v>45</v>
      </c>
      <c r="H105" s="95" t="s">
        <v>475</v>
      </c>
      <c r="I105" s="116" t="s">
        <v>46</v>
      </c>
      <c r="J105" s="95">
        <v>40094200</v>
      </c>
      <c r="K105" s="97">
        <v>2985</v>
      </c>
      <c r="L105" s="98"/>
      <c r="M105" s="97">
        <f t="shared" si="5"/>
        <v>2985</v>
      </c>
      <c r="N105" s="95"/>
      <c r="O105" s="98">
        <v>0.18</v>
      </c>
      <c r="P105" s="95" t="str">
        <f t="shared" si="6"/>
        <v>0</v>
      </c>
      <c r="Q105" s="97">
        <f t="shared" si="7"/>
        <v>268.64999999999998</v>
      </c>
      <c r="R105" s="97">
        <f t="shared" si="8"/>
        <v>268.64999999999998</v>
      </c>
      <c r="S105" s="97">
        <f t="shared" si="9"/>
        <v>3522.3</v>
      </c>
    </row>
    <row r="106" spans="1:19" s="11" customFormat="1" x14ac:dyDescent="0.35">
      <c r="A106" s="93">
        <v>105</v>
      </c>
      <c r="B106" s="93" t="s">
        <v>431</v>
      </c>
      <c r="C106" s="94">
        <v>43474</v>
      </c>
      <c r="D106" s="95" t="s">
        <v>47</v>
      </c>
      <c r="E106" s="95" t="s">
        <v>468</v>
      </c>
      <c r="F106" s="95" t="s">
        <v>464</v>
      </c>
      <c r="G106" s="95" t="s">
        <v>45</v>
      </c>
      <c r="H106" s="95" t="s">
        <v>475</v>
      </c>
      <c r="I106" s="116" t="s">
        <v>46</v>
      </c>
      <c r="J106" s="95">
        <v>84824000</v>
      </c>
      <c r="K106" s="97">
        <v>6036</v>
      </c>
      <c r="L106" s="98"/>
      <c r="M106" s="97">
        <f t="shared" si="5"/>
        <v>6036</v>
      </c>
      <c r="N106" s="95"/>
      <c r="O106" s="98">
        <v>0.18</v>
      </c>
      <c r="P106" s="95" t="str">
        <f t="shared" si="6"/>
        <v>0</v>
      </c>
      <c r="Q106" s="97">
        <f t="shared" si="7"/>
        <v>543.24</v>
      </c>
      <c r="R106" s="97">
        <f t="shared" si="8"/>
        <v>543.24</v>
      </c>
      <c r="S106" s="97">
        <f t="shared" si="9"/>
        <v>7122.48</v>
      </c>
    </row>
    <row r="107" spans="1:19" s="11" customFormat="1" x14ac:dyDescent="0.35">
      <c r="A107" s="93">
        <v>106</v>
      </c>
      <c r="B107" s="93" t="s">
        <v>431</v>
      </c>
      <c r="C107" s="94">
        <v>43474</v>
      </c>
      <c r="D107" s="95" t="s">
        <v>47</v>
      </c>
      <c r="E107" s="95" t="s">
        <v>468</v>
      </c>
      <c r="F107" s="95" t="s">
        <v>464</v>
      </c>
      <c r="G107" s="95" t="s">
        <v>45</v>
      </c>
      <c r="H107" s="95" t="s">
        <v>475</v>
      </c>
      <c r="I107" s="116" t="s">
        <v>46</v>
      </c>
      <c r="J107" s="95">
        <v>40169340</v>
      </c>
      <c r="K107" s="97">
        <v>418</v>
      </c>
      <c r="L107" s="98"/>
      <c r="M107" s="97">
        <f t="shared" si="5"/>
        <v>418</v>
      </c>
      <c r="N107" s="95"/>
      <c r="O107" s="98">
        <v>0.18</v>
      </c>
      <c r="P107" s="95" t="str">
        <f t="shared" si="6"/>
        <v>0</v>
      </c>
      <c r="Q107" s="97">
        <f t="shared" si="7"/>
        <v>37.619999999999997</v>
      </c>
      <c r="R107" s="97">
        <f t="shared" si="8"/>
        <v>37.619999999999997</v>
      </c>
      <c r="S107" s="97">
        <f t="shared" si="9"/>
        <v>493.24</v>
      </c>
    </row>
    <row r="108" spans="1:19" s="11" customFormat="1" x14ac:dyDescent="0.35">
      <c r="A108" s="93">
        <v>107</v>
      </c>
      <c r="B108" s="93" t="s">
        <v>431</v>
      </c>
      <c r="C108" s="94">
        <v>43474</v>
      </c>
      <c r="D108" s="95" t="s">
        <v>48</v>
      </c>
      <c r="E108" s="95" t="s">
        <v>468</v>
      </c>
      <c r="F108" s="95" t="s">
        <v>464</v>
      </c>
      <c r="G108" s="95" t="s">
        <v>45</v>
      </c>
      <c r="H108" s="95" t="s">
        <v>475</v>
      </c>
      <c r="I108" s="116" t="s">
        <v>46</v>
      </c>
      <c r="J108" s="95">
        <v>84212300</v>
      </c>
      <c r="K108" s="97">
        <f>5344+2660</f>
        <v>8004</v>
      </c>
      <c r="L108" s="98"/>
      <c r="M108" s="97">
        <f t="shared" si="5"/>
        <v>8004</v>
      </c>
      <c r="N108" s="95"/>
      <c r="O108" s="98">
        <v>0.18</v>
      </c>
      <c r="P108" s="95" t="str">
        <f t="shared" si="6"/>
        <v>0</v>
      </c>
      <c r="Q108" s="97">
        <f t="shared" si="7"/>
        <v>720.36</v>
      </c>
      <c r="R108" s="97">
        <f t="shared" si="8"/>
        <v>720.36</v>
      </c>
      <c r="S108" s="97">
        <f t="shared" si="9"/>
        <v>9444.7200000000012</v>
      </c>
    </row>
    <row r="109" spans="1:19" s="11" customFormat="1" x14ac:dyDescent="0.35">
      <c r="A109" s="93">
        <v>108</v>
      </c>
      <c r="B109" s="93" t="s">
        <v>431</v>
      </c>
      <c r="C109" s="94">
        <v>43474</v>
      </c>
      <c r="D109" s="95" t="s">
        <v>48</v>
      </c>
      <c r="E109" s="95" t="s">
        <v>468</v>
      </c>
      <c r="F109" s="95" t="s">
        <v>464</v>
      </c>
      <c r="G109" s="95" t="s">
        <v>45</v>
      </c>
      <c r="H109" s="95" t="s">
        <v>475</v>
      </c>
      <c r="I109" s="116" t="s">
        <v>46</v>
      </c>
      <c r="J109" s="95">
        <v>84212900</v>
      </c>
      <c r="K109" s="97">
        <f>3164+10954</f>
        <v>14118</v>
      </c>
      <c r="L109" s="98"/>
      <c r="M109" s="97">
        <f t="shared" si="5"/>
        <v>14118</v>
      </c>
      <c r="N109" s="95"/>
      <c r="O109" s="98">
        <v>0.18</v>
      </c>
      <c r="P109" s="95" t="str">
        <f t="shared" si="6"/>
        <v>0</v>
      </c>
      <c r="Q109" s="97">
        <f t="shared" si="7"/>
        <v>1270.6199999999999</v>
      </c>
      <c r="R109" s="97">
        <f t="shared" si="8"/>
        <v>1270.6199999999999</v>
      </c>
      <c r="S109" s="97">
        <f t="shared" si="9"/>
        <v>16659.239999999998</v>
      </c>
    </row>
    <row r="110" spans="1:19" s="11" customFormat="1" x14ac:dyDescent="0.35">
      <c r="A110" s="93">
        <v>109</v>
      </c>
      <c r="B110" s="93" t="s">
        <v>431</v>
      </c>
      <c r="C110" s="94">
        <v>43474</v>
      </c>
      <c r="D110" s="95" t="s">
        <v>48</v>
      </c>
      <c r="E110" s="95" t="s">
        <v>468</v>
      </c>
      <c r="F110" s="95" t="s">
        <v>464</v>
      </c>
      <c r="G110" s="95" t="s">
        <v>45</v>
      </c>
      <c r="H110" s="95" t="s">
        <v>475</v>
      </c>
      <c r="I110" s="116" t="s">
        <v>46</v>
      </c>
      <c r="J110" s="95">
        <v>84213990</v>
      </c>
      <c r="K110" s="97">
        <f>3648+2243+3466+5923</f>
        <v>15280</v>
      </c>
      <c r="L110" s="98"/>
      <c r="M110" s="97">
        <f t="shared" si="5"/>
        <v>15280</v>
      </c>
      <c r="N110" s="95"/>
      <c r="O110" s="98">
        <v>0.18</v>
      </c>
      <c r="P110" s="95" t="str">
        <f t="shared" si="6"/>
        <v>0</v>
      </c>
      <c r="Q110" s="97">
        <f t="shared" si="7"/>
        <v>1375.2</v>
      </c>
      <c r="R110" s="97">
        <f t="shared" si="8"/>
        <v>1375.2</v>
      </c>
      <c r="S110" s="97">
        <f t="shared" si="9"/>
        <v>18030.400000000001</v>
      </c>
    </row>
    <row r="111" spans="1:19" s="11" customFormat="1" x14ac:dyDescent="0.35">
      <c r="A111" s="93">
        <v>110</v>
      </c>
      <c r="B111" s="93" t="s">
        <v>431</v>
      </c>
      <c r="C111" s="94">
        <v>43474</v>
      </c>
      <c r="D111" s="95" t="s">
        <v>48</v>
      </c>
      <c r="E111" s="95" t="s">
        <v>468</v>
      </c>
      <c r="F111" s="95" t="s">
        <v>464</v>
      </c>
      <c r="G111" s="95" t="s">
        <v>45</v>
      </c>
      <c r="H111" s="95" t="s">
        <v>475</v>
      </c>
      <c r="I111" s="116" t="s">
        <v>46</v>
      </c>
      <c r="J111" s="95">
        <v>73269099</v>
      </c>
      <c r="K111" s="97">
        <v>16234</v>
      </c>
      <c r="L111" s="98"/>
      <c r="M111" s="97">
        <f t="shared" si="5"/>
        <v>16234</v>
      </c>
      <c r="N111" s="95"/>
      <c r="O111" s="98">
        <v>0.18</v>
      </c>
      <c r="P111" s="95" t="str">
        <f t="shared" si="6"/>
        <v>0</v>
      </c>
      <c r="Q111" s="97">
        <f t="shared" si="7"/>
        <v>1461.06</v>
      </c>
      <c r="R111" s="97">
        <f t="shared" si="8"/>
        <v>1461.06</v>
      </c>
      <c r="S111" s="97">
        <f t="shared" si="9"/>
        <v>19156.120000000003</v>
      </c>
    </row>
    <row r="112" spans="1:19" s="11" customFormat="1" x14ac:dyDescent="0.35">
      <c r="A112" s="93">
        <v>111</v>
      </c>
      <c r="B112" s="93" t="s">
        <v>431</v>
      </c>
      <c r="C112" s="94">
        <v>43474</v>
      </c>
      <c r="D112" s="95" t="s">
        <v>48</v>
      </c>
      <c r="E112" s="95" t="s">
        <v>468</v>
      </c>
      <c r="F112" s="95" t="s">
        <v>464</v>
      </c>
      <c r="G112" s="95" t="s">
        <v>45</v>
      </c>
      <c r="H112" s="95" t="s">
        <v>475</v>
      </c>
      <c r="I112" s="116" t="s">
        <v>46</v>
      </c>
      <c r="J112" s="95">
        <v>48232000</v>
      </c>
      <c r="K112" s="97">
        <v>2081</v>
      </c>
      <c r="L112" s="98"/>
      <c r="M112" s="97">
        <f t="shared" si="5"/>
        <v>2081</v>
      </c>
      <c r="N112" s="95"/>
      <c r="O112" s="98">
        <v>0.18</v>
      </c>
      <c r="P112" s="95" t="str">
        <f t="shared" si="6"/>
        <v>0</v>
      </c>
      <c r="Q112" s="97">
        <f t="shared" si="7"/>
        <v>187.29</v>
      </c>
      <c r="R112" s="97">
        <f t="shared" si="8"/>
        <v>187.29</v>
      </c>
      <c r="S112" s="97">
        <f t="shared" si="9"/>
        <v>2455.58</v>
      </c>
    </row>
    <row r="113" spans="1:19" s="11" customFormat="1" x14ac:dyDescent="0.35">
      <c r="A113" s="93">
        <v>112</v>
      </c>
      <c r="B113" s="93" t="s">
        <v>431</v>
      </c>
      <c r="C113" s="94">
        <v>43474</v>
      </c>
      <c r="D113" s="95" t="s">
        <v>48</v>
      </c>
      <c r="E113" s="95" t="s">
        <v>468</v>
      </c>
      <c r="F113" s="95" t="s">
        <v>464</v>
      </c>
      <c r="G113" s="95" t="s">
        <v>45</v>
      </c>
      <c r="H113" s="95" t="s">
        <v>475</v>
      </c>
      <c r="I113" s="116" t="s">
        <v>46</v>
      </c>
      <c r="J113" s="95">
        <v>48120000</v>
      </c>
      <c r="K113" s="97">
        <v>4557</v>
      </c>
      <c r="L113" s="98"/>
      <c r="M113" s="97">
        <f t="shared" si="5"/>
        <v>4557</v>
      </c>
      <c r="N113" s="95"/>
      <c r="O113" s="98">
        <v>0.18</v>
      </c>
      <c r="P113" s="95" t="str">
        <f t="shared" si="6"/>
        <v>0</v>
      </c>
      <c r="Q113" s="97">
        <f t="shared" si="7"/>
        <v>410.13</v>
      </c>
      <c r="R113" s="97">
        <f t="shared" si="8"/>
        <v>410.13</v>
      </c>
      <c r="S113" s="97">
        <f t="shared" si="9"/>
        <v>5377.26</v>
      </c>
    </row>
    <row r="114" spans="1:19" s="11" customFormat="1" x14ac:dyDescent="0.35">
      <c r="A114" s="93">
        <v>113</v>
      </c>
      <c r="B114" s="93" t="s">
        <v>431</v>
      </c>
      <c r="C114" s="94">
        <v>43474</v>
      </c>
      <c r="D114" s="95" t="s">
        <v>49</v>
      </c>
      <c r="E114" s="95" t="s">
        <v>468</v>
      </c>
      <c r="F114" s="95" t="s">
        <v>464</v>
      </c>
      <c r="G114" s="95" t="s">
        <v>45</v>
      </c>
      <c r="H114" s="95" t="s">
        <v>475</v>
      </c>
      <c r="I114" s="116" t="s">
        <v>46</v>
      </c>
      <c r="J114" s="95">
        <v>84213990</v>
      </c>
      <c r="K114" s="97">
        <f>6264+2243+2888+6389</f>
        <v>17784</v>
      </c>
      <c r="L114" s="98"/>
      <c r="M114" s="97">
        <f t="shared" si="5"/>
        <v>17784</v>
      </c>
      <c r="N114" s="95"/>
      <c r="O114" s="98">
        <v>0.18</v>
      </c>
      <c r="P114" s="95" t="str">
        <f t="shared" si="6"/>
        <v>0</v>
      </c>
      <c r="Q114" s="97">
        <f t="shared" si="7"/>
        <v>1600.56</v>
      </c>
      <c r="R114" s="97">
        <f t="shared" si="8"/>
        <v>1600.56</v>
      </c>
      <c r="S114" s="97">
        <f t="shared" si="9"/>
        <v>20985.120000000003</v>
      </c>
    </row>
    <row r="115" spans="1:19" s="11" customFormat="1" x14ac:dyDescent="0.35">
      <c r="A115" s="93">
        <v>114</v>
      </c>
      <c r="B115" s="93" t="s">
        <v>431</v>
      </c>
      <c r="C115" s="94">
        <v>43474</v>
      </c>
      <c r="D115" s="95" t="s">
        <v>50</v>
      </c>
      <c r="E115" s="95" t="s">
        <v>468</v>
      </c>
      <c r="F115" s="95" t="s">
        <v>464</v>
      </c>
      <c r="G115" s="95" t="s">
        <v>45</v>
      </c>
      <c r="H115" s="95" t="s">
        <v>475</v>
      </c>
      <c r="I115" s="116" t="s">
        <v>46</v>
      </c>
      <c r="J115" s="95">
        <v>84831099</v>
      </c>
      <c r="K115" s="97">
        <v>7696</v>
      </c>
      <c r="L115" s="98"/>
      <c r="M115" s="97">
        <f t="shared" si="5"/>
        <v>7696</v>
      </c>
      <c r="N115" s="95"/>
      <c r="O115" s="98">
        <v>0.18</v>
      </c>
      <c r="P115" s="95" t="str">
        <f t="shared" si="6"/>
        <v>0</v>
      </c>
      <c r="Q115" s="97">
        <f t="shared" si="7"/>
        <v>692.64</v>
      </c>
      <c r="R115" s="97">
        <f t="shared" si="8"/>
        <v>692.64</v>
      </c>
      <c r="S115" s="97">
        <f t="shared" si="9"/>
        <v>9081.2799999999988</v>
      </c>
    </row>
    <row r="116" spans="1:19" s="11" customFormat="1" x14ac:dyDescent="0.35">
      <c r="A116" s="93">
        <v>115</v>
      </c>
      <c r="B116" s="93" t="s">
        <v>431</v>
      </c>
      <c r="C116" s="94">
        <v>43474</v>
      </c>
      <c r="D116" s="95" t="s">
        <v>51</v>
      </c>
      <c r="E116" s="95" t="s">
        <v>468</v>
      </c>
      <c r="F116" s="95" t="s">
        <v>464</v>
      </c>
      <c r="G116" s="95" t="s">
        <v>45</v>
      </c>
      <c r="H116" s="95" t="s">
        <v>475</v>
      </c>
      <c r="I116" s="116" t="s">
        <v>46</v>
      </c>
      <c r="J116" s="95">
        <v>27101980</v>
      </c>
      <c r="K116" s="97">
        <f>6616+8781+61492</f>
        <v>76889</v>
      </c>
      <c r="L116" s="98"/>
      <c r="M116" s="97">
        <f t="shared" si="5"/>
        <v>76889</v>
      </c>
      <c r="N116" s="95"/>
      <c r="O116" s="98">
        <v>0.18</v>
      </c>
      <c r="P116" s="95" t="str">
        <f t="shared" si="6"/>
        <v>0</v>
      </c>
      <c r="Q116" s="97">
        <f t="shared" si="7"/>
        <v>6920.0099999999993</v>
      </c>
      <c r="R116" s="97">
        <f t="shared" si="8"/>
        <v>6920.0099999999993</v>
      </c>
      <c r="S116" s="97">
        <f t="shared" si="9"/>
        <v>90729.01999999999</v>
      </c>
    </row>
    <row r="117" spans="1:19" s="11" customFormat="1" x14ac:dyDescent="0.35">
      <c r="A117" s="93">
        <v>116</v>
      </c>
      <c r="B117" s="93" t="s">
        <v>431</v>
      </c>
      <c r="C117" s="94">
        <v>43474</v>
      </c>
      <c r="D117" s="95" t="s">
        <v>67</v>
      </c>
      <c r="E117" s="95" t="s">
        <v>468</v>
      </c>
      <c r="F117" s="95" t="s">
        <v>464</v>
      </c>
      <c r="G117" s="95" t="s">
        <v>68</v>
      </c>
      <c r="H117" s="95" t="s">
        <v>475</v>
      </c>
      <c r="I117" s="116" t="s">
        <v>69</v>
      </c>
      <c r="J117" s="95">
        <v>84828000</v>
      </c>
      <c r="K117" s="97">
        <v>87642</v>
      </c>
      <c r="L117" s="98"/>
      <c r="M117" s="97">
        <f t="shared" si="5"/>
        <v>87642</v>
      </c>
      <c r="N117" s="95"/>
      <c r="O117" s="98">
        <v>0.18</v>
      </c>
      <c r="P117" s="95" t="str">
        <f t="shared" si="6"/>
        <v>0</v>
      </c>
      <c r="Q117" s="97">
        <f t="shared" si="7"/>
        <v>7887.78</v>
      </c>
      <c r="R117" s="97">
        <f t="shared" si="8"/>
        <v>7887.78</v>
      </c>
      <c r="S117" s="97">
        <f t="shared" si="9"/>
        <v>103417.56</v>
      </c>
    </row>
    <row r="118" spans="1:19" s="11" customFormat="1" x14ac:dyDescent="0.35">
      <c r="A118" s="93">
        <v>117</v>
      </c>
      <c r="B118" s="93" t="s">
        <v>431</v>
      </c>
      <c r="C118" s="94">
        <v>43474</v>
      </c>
      <c r="D118" s="95" t="s">
        <v>67</v>
      </c>
      <c r="E118" s="95" t="s">
        <v>468</v>
      </c>
      <c r="F118" s="95" t="s">
        <v>464</v>
      </c>
      <c r="G118" s="95" t="s">
        <v>68</v>
      </c>
      <c r="H118" s="95" t="s">
        <v>475</v>
      </c>
      <c r="I118" s="116" t="s">
        <v>69</v>
      </c>
      <c r="J118" s="95">
        <v>73079990</v>
      </c>
      <c r="K118" s="97">
        <v>4300</v>
      </c>
      <c r="L118" s="98"/>
      <c r="M118" s="97">
        <f t="shared" si="5"/>
        <v>4300</v>
      </c>
      <c r="N118" s="95"/>
      <c r="O118" s="98">
        <v>0.18</v>
      </c>
      <c r="P118" s="95" t="str">
        <f t="shared" si="6"/>
        <v>0</v>
      </c>
      <c r="Q118" s="97">
        <f t="shared" si="7"/>
        <v>387</v>
      </c>
      <c r="R118" s="97">
        <f t="shared" si="8"/>
        <v>387</v>
      </c>
      <c r="S118" s="97">
        <f t="shared" si="9"/>
        <v>5074</v>
      </c>
    </row>
    <row r="119" spans="1:19" s="11" customFormat="1" x14ac:dyDescent="0.35">
      <c r="A119" s="93">
        <v>118</v>
      </c>
      <c r="B119" s="93" t="s">
        <v>431</v>
      </c>
      <c r="C119" s="94">
        <v>43474</v>
      </c>
      <c r="D119" s="95" t="s">
        <v>67</v>
      </c>
      <c r="E119" s="95" t="s">
        <v>468</v>
      </c>
      <c r="F119" s="95" t="s">
        <v>464</v>
      </c>
      <c r="G119" s="95" t="s">
        <v>68</v>
      </c>
      <c r="H119" s="95" t="s">
        <v>475</v>
      </c>
      <c r="I119" s="116" t="s">
        <v>69</v>
      </c>
      <c r="J119" s="95">
        <v>84749000</v>
      </c>
      <c r="K119" s="97">
        <v>5350</v>
      </c>
      <c r="L119" s="98"/>
      <c r="M119" s="97">
        <f t="shared" si="5"/>
        <v>5350</v>
      </c>
      <c r="N119" s="95"/>
      <c r="O119" s="98">
        <v>0.18</v>
      </c>
      <c r="P119" s="95" t="str">
        <f t="shared" si="6"/>
        <v>0</v>
      </c>
      <c r="Q119" s="97">
        <f t="shared" si="7"/>
        <v>481.5</v>
      </c>
      <c r="R119" s="97">
        <f t="shared" si="8"/>
        <v>481.5</v>
      </c>
      <c r="S119" s="97">
        <f t="shared" si="9"/>
        <v>6313</v>
      </c>
    </row>
    <row r="120" spans="1:19" s="11" customFormat="1" x14ac:dyDescent="0.35">
      <c r="A120" s="93">
        <v>119</v>
      </c>
      <c r="B120" s="93" t="s">
        <v>431</v>
      </c>
      <c r="C120" s="94">
        <v>43474</v>
      </c>
      <c r="D120" s="95" t="s">
        <v>67</v>
      </c>
      <c r="E120" s="95" t="s">
        <v>468</v>
      </c>
      <c r="F120" s="95" t="s">
        <v>464</v>
      </c>
      <c r="G120" s="95" t="s">
        <v>68</v>
      </c>
      <c r="H120" s="95" t="s">
        <v>475</v>
      </c>
      <c r="I120" s="116" t="s">
        <v>69</v>
      </c>
      <c r="J120" s="95">
        <v>40169320</v>
      </c>
      <c r="K120" s="97">
        <f>600+740</f>
        <v>1340</v>
      </c>
      <c r="L120" s="98"/>
      <c r="M120" s="97">
        <f t="shared" si="5"/>
        <v>1340</v>
      </c>
      <c r="N120" s="95"/>
      <c r="O120" s="98">
        <v>0.18</v>
      </c>
      <c r="P120" s="95" t="str">
        <f t="shared" si="6"/>
        <v>0</v>
      </c>
      <c r="Q120" s="97">
        <f t="shared" si="7"/>
        <v>120.6</v>
      </c>
      <c r="R120" s="97">
        <f t="shared" si="8"/>
        <v>120.6</v>
      </c>
      <c r="S120" s="97">
        <f t="shared" si="9"/>
        <v>1581.1999999999998</v>
      </c>
    </row>
    <row r="121" spans="1:19" s="11" customFormat="1" x14ac:dyDescent="0.35">
      <c r="A121" s="93">
        <v>120</v>
      </c>
      <c r="B121" s="93" t="s">
        <v>431</v>
      </c>
      <c r="C121" s="94">
        <v>43474</v>
      </c>
      <c r="D121" s="95" t="s">
        <v>67</v>
      </c>
      <c r="E121" s="95" t="s">
        <v>468</v>
      </c>
      <c r="F121" s="95" t="s">
        <v>464</v>
      </c>
      <c r="G121" s="95" t="s">
        <v>68</v>
      </c>
      <c r="H121" s="95" t="s">
        <v>475</v>
      </c>
      <c r="I121" s="116" t="s">
        <v>69</v>
      </c>
      <c r="J121" s="95">
        <v>40169390</v>
      </c>
      <c r="K121" s="97">
        <v>21000</v>
      </c>
      <c r="L121" s="98"/>
      <c r="M121" s="97">
        <f t="shared" si="5"/>
        <v>21000</v>
      </c>
      <c r="N121" s="95"/>
      <c r="O121" s="98">
        <v>0.18</v>
      </c>
      <c r="P121" s="95" t="str">
        <f t="shared" si="6"/>
        <v>0</v>
      </c>
      <c r="Q121" s="97">
        <f t="shared" si="7"/>
        <v>1890</v>
      </c>
      <c r="R121" s="97">
        <f t="shared" si="8"/>
        <v>1890</v>
      </c>
      <c r="S121" s="97">
        <f t="shared" si="9"/>
        <v>24780</v>
      </c>
    </row>
    <row r="122" spans="1:19" s="11" customFormat="1" x14ac:dyDescent="0.35">
      <c r="A122" s="93">
        <v>121</v>
      </c>
      <c r="B122" s="93" t="s">
        <v>431</v>
      </c>
      <c r="C122" s="94">
        <v>43474</v>
      </c>
      <c r="D122" s="95" t="s">
        <v>70</v>
      </c>
      <c r="E122" s="95" t="s">
        <v>468</v>
      </c>
      <c r="F122" s="95" t="s">
        <v>464</v>
      </c>
      <c r="G122" s="95" t="s">
        <v>235</v>
      </c>
      <c r="H122" s="95" t="s">
        <v>475</v>
      </c>
      <c r="I122" s="116" t="s">
        <v>71</v>
      </c>
      <c r="J122" s="95">
        <v>2710</v>
      </c>
      <c r="K122" s="97">
        <f>34745.76+32627.12+20847.46</f>
        <v>88220.34</v>
      </c>
      <c r="L122" s="98"/>
      <c r="M122" s="97">
        <f t="shared" si="5"/>
        <v>88220.34</v>
      </c>
      <c r="N122" s="95"/>
      <c r="O122" s="98">
        <v>0.18</v>
      </c>
      <c r="P122" s="95" t="str">
        <f t="shared" si="6"/>
        <v>0</v>
      </c>
      <c r="Q122" s="97">
        <f t="shared" si="7"/>
        <v>7939.8305999999993</v>
      </c>
      <c r="R122" s="97">
        <f t="shared" si="8"/>
        <v>7939.8305999999993</v>
      </c>
      <c r="S122" s="97">
        <f t="shared" si="9"/>
        <v>104100.0012</v>
      </c>
    </row>
    <row r="123" spans="1:19" s="11" customFormat="1" x14ac:dyDescent="0.35">
      <c r="A123" s="93">
        <v>122</v>
      </c>
      <c r="B123" s="93" t="s">
        <v>431</v>
      </c>
      <c r="C123" s="94">
        <v>43474</v>
      </c>
      <c r="D123" s="95" t="s">
        <v>70</v>
      </c>
      <c r="E123" s="95" t="s">
        <v>468</v>
      </c>
      <c r="F123" s="95" t="s">
        <v>464</v>
      </c>
      <c r="G123" s="95" t="s">
        <v>235</v>
      </c>
      <c r="H123" s="95" t="s">
        <v>475</v>
      </c>
      <c r="I123" s="116" t="s">
        <v>71</v>
      </c>
      <c r="J123" s="95">
        <v>27101990</v>
      </c>
      <c r="K123" s="97">
        <v>23305.08</v>
      </c>
      <c r="L123" s="98"/>
      <c r="M123" s="97">
        <f t="shared" si="5"/>
        <v>23305.08</v>
      </c>
      <c r="N123" s="95"/>
      <c r="O123" s="98">
        <v>0.18</v>
      </c>
      <c r="P123" s="95" t="str">
        <f t="shared" si="6"/>
        <v>0</v>
      </c>
      <c r="Q123" s="97">
        <f t="shared" si="7"/>
        <v>2097.4572000000003</v>
      </c>
      <c r="R123" s="97">
        <f t="shared" si="8"/>
        <v>2097.4572000000003</v>
      </c>
      <c r="S123" s="97">
        <f t="shared" si="9"/>
        <v>27499.994400000003</v>
      </c>
    </row>
    <row r="124" spans="1:19" s="11" customFormat="1" x14ac:dyDescent="0.35">
      <c r="A124" s="93">
        <v>123</v>
      </c>
      <c r="B124" s="93" t="s">
        <v>431</v>
      </c>
      <c r="C124" s="94">
        <v>43474</v>
      </c>
      <c r="D124" s="95" t="s">
        <v>70</v>
      </c>
      <c r="E124" s="95" t="s">
        <v>468</v>
      </c>
      <c r="F124" s="95" t="s">
        <v>464</v>
      </c>
      <c r="G124" s="95" t="s">
        <v>235</v>
      </c>
      <c r="H124" s="95" t="s">
        <v>475</v>
      </c>
      <c r="I124" s="116" t="s">
        <v>71</v>
      </c>
      <c r="J124" s="95">
        <v>8421</v>
      </c>
      <c r="K124" s="97">
        <v>2627.12</v>
      </c>
      <c r="L124" s="98"/>
      <c r="M124" s="97">
        <f t="shared" si="5"/>
        <v>2627.12</v>
      </c>
      <c r="N124" s="95"/>
      <c r="O124" s="98">
        <v>0.18</v>
      </c>
      <c r="P124" s="95" t="str">
        <f t="shared" si="6"/>
        <v>0</v>
      </c>
      <c r="Q124" s="97">
        <f t="shared" si="7"/>
        <v>236.44079999999997</v>
      </c>
      <c r="R124" s="97">
        <f t="shared" si="8"/>
        <v>236.44079999999997</v>
      </c>
      <c r="S124" s="97">
        <f t="shared" si="9"/>
        <v>3100.0015999999996</v>
      </c>
    </row>
    <row r="125" spans="1:19" s="11" customFormat="1" x14ac:dyDescent="0.35">
      <c r="A125" s="93">
        <v>124</v>
      </c>
      <c r="B125" s="93" t="s">
        <v>431</v>
      </c>
      <c r="C125" s="94">
        <v>43474</v>
      </c>
      <c r="D125" s="95" t="s">
        <v>72</v>
      </c>
      <c r="E125" s="95" t="s">
        <v>468</v>
      </c>
      <c r="F125" s="95" t="s">
        <v>464</v>
      </c>
      <c r="G125" s="95" t="s">
        <v>235</v>
      </c>
      <c r="H125" s="95" t="s">
        <v>475</v>
      </c>
      <c r="I125" s="116" t="s">
        <v>71</v>
      </c>
      <c r="J125" s="95">
        <v>2710</v>
      </c>
      <c r="K125" s="97">
        <v>69491.520000000004</v>
      </c>
      <c r="L125" s="98"/>
      <c r="M125" s="97">
        <f t="shared" si="5"/>
        <v>69491.520000000004</v>
      </c>
      <c r="N125" s="95"/>
      <c r="O125" s="98">
        <v>0.18</v>
      </c>
      <c r="P125" s="95" t="str">
        <f t="shared" si="6"/>
        <v>0</v>
      </c>
      <c r="Q125" s="97">
        <f t="shared" si="7"/>
        <v>6254.2368000000006</v>
      </c>
      <c r="R125" s="97">
        <f t="shared" si="8"/>
        <v>6254.2368000000006</v>
      </c>
      <c r="S125" s="97">
        <f t="shared" si="9"/>
        <v>81999.993600000002</v>
      </c>
    </row>
    <row r="126" spans="1:19" s="11" customFormat="1" x14ac:dyDescent="0.35">
      <c r="A126" s="93">
        <v>125</v>
      </c>
      <c r="B126" s="93" t="s">
        <v>431</v>
      </c>
      <c r="C126" s="94">
        <v>43474</v>
      </c>
      <c r="D126" s="95" t="s">
        <v>258</v>
      </c>
      <c r="E126" s="95" t="s">
        <v>468</v>
      </c>
      <c r="F126" s="95" t="s">
        <v>464</v>
      </c>
      <c r="G126" s="95" t="s">
        <v>262</v>
      </c>
      <c r="H126" s="95" t="s">
        <v>475</v>
      </c>
      <c r="I126" s="116" t="s">
        <v>337</v>
      </c>
      <c r="J126" s="95">
        <v>998729</v>
      </c>
      <c r="K126" s="97">
        <f>400+400+150</f>
        <v>950</v>
      </c>
      <c r="L126" s="98"/>
      <c r="M126" s="97">
        <f t="shared" si="5"/>
        <v>950</v>
      </c>
      <c r="N126" s="95"/>
      <c r="O126" s="98">
        <v>0.18</v>
      </c>
      <c r="P126" s="95" t="str">
        <f t="shared" si="6"/>
        <v>0</v>
      </c>
      <c r="Q126" s="97">
        <f t="shared" si="7"/>
        <v>85.5</v>
      </c>
      <c r="R126" s="97">
        <f t="shared" si="8"/>
        <v>85.5</v>
      </c>
      <c r="S126" s="97">
        <f t="shared" si="9"/>
        <v>1121</v>
      </c>
    </row>
    <row r="127" spans="1:19" s="11" customFormat="1" x14ac:dyDescent="0.35">
      <c r="A127" s="93">
        <v>126</v>
      </c>
      <c r="B127" s="93" t="s">
        <v>431</v>
      </c>
      <c r="C127" s="94">
        <v>43474</v>
      </c>
      <c r="D127" s="95" t="s">
        <v>259</v>
      </c>
      <c r="E127" s="95" t="s">
        <v>468</v>
      </c>
      <c r="F127" s="95" t="s">
        <v>464</v>
      </c>
      <c r="G127" s="95" t="s">
        <v>262</v>
      </c>
      <c r="H127" s="95" t="s">
        <v>475</v>
      </c>
      <c r="I127" s="116" t="s">
        <v>337</v>
      </c>
      <c r="J127" s="95">
        <v>87089900</v>
      </c>
      <c r="K127" s="97">
        <v>3516.41</v>
      </c>
      <c r="L127" s="98"/>
      <c r="M127" s="97">
        <f t="shared" si="5"/>
        <v>3516.41</v>
      </c>
      <c r="N127" s="95"/>
      <c r="O127" s="98">
        <v>0.28000000000000003</v>
      </c>
      <c r="P127" s="95" t="str">
        <f t="shared" si="6"/>
        <v>0</v>
      </c>
      <c r="Q127" s="97">
        <f t="shared" si="7"/>
        <v>492.29740000000004</v>
      </c>
      <c r="R127" s="97">
        <f t="shared" si="8"/>
        <v>492.29740000000004</v>
      </c>
      <c r="S127" s="97">
        <f t="shared" si="9"/>
        <v>4501.0047999999997</v>
      </c>
    </row>
    <row r="128" spans="1:19" s="11" customFormat="1" x14ac:dyDescent="0.35">
      <c r="A128" s="93">
        <v>127</v>
      </c>
      <c r="B128" s="93" t="s">
        <v>431</v>
      </c>
      <c r="C128" s="94">
        <v>43474</v>
      </c>
      <c r="D128" s="95" t="s">
        <v>259</v>
      </c>
      <c r="E128" s="95" t="s">
        <v>468</v>
      </c>
      <c r="F128" s="95" t="s">
        <v>464</v>
      </c>
      <c r="G128" s="95" t="s">
        <v>262</v>
      </c>
      <c r="H128" s="95" t="s">
        <v>475</v>
      </c>
      <c r="I128" s="116" t="s">
        <v>337</v>
      </c>
      <c r="J128" s="95">
        <v>85443000</v>
      </c>
      <c r="K128" s="97">
        <v>1177.97</v>
      </c>
      <c r="L128" s="98"/>
      <c r="M128" s="97">
        <f t="shared" si="5"/>
        <v>1177.97</v>
      </c>
      <c r="N128" s="95"/>
      <c r="O128" s="98">
        <v>0.18</v>
      </c>
      <c r="P128" s="95" t="str">
        <f t="shared" si="6"/>
        <v>0</v>
      </c>
      <c r="Q128" s="97">
        <f t="shared" si="7"/>
        <v>106.01729999999999</v>
      </c>
      <c r="R128" s="97">
        <f t="shared" si="8"/>
        <v>106.01729999999999</v>
      </c>
      <c r="S128" s="97">
        <f t="shared" si="9"/>
        <v>1390.0046</v>
      </c>
    </row>
    <row r="129" spans="1:19" s="11" customFormat="1" x14ac:dyDescent="0.35">
      <c r="A129" s="93">
        <v>128</v>
      </c>
      <c r="B129" s="93" t="s">
        <v>431</v>
      </c>
      <c r="C129" s="94">
        <v>43475</v>
      </c>
      <c r="D129" s="95" t="s">
        <v>56</v>
      </c>
      <c r="E129" s="95" t="s">
        <v>468</v>
      </c>
      <c r="F129" s="95" t="s">
        <v>464</v>
      </c>
      <c r="G129" s="95" t="s">
        <v>15</v>
      </c>
      <c r="H129" s="95" t="s">
        <v>475</v>
      </c>
      <c r="I129" s="116" t="s">
        <v>16</v>
      </c>
      <c r="J129" s="95">
        <v>68138100</v>
      </c>
      <c r="K129" s="97">
        <v>3553.39</v>
      </c>
      <c r="L129" s="98"/>
      <c r="M129" s="97">
        <f t="shared" si="5"/>
        <v>3553.39</v>
      </c>
      <c r="N129" s="95"/>
      <c r="O129" s="98">
        <v>0.18</v>
      </c>
      <c r="P129" s="95" t="str">
        <f t="shared" si="6"/>
        <v>0</v>
      </c>
      <c r="Q129" s="97">
        <f t="shared" si="7"/>
        <v>319.80509999999998</v>
      </c>
      <c r="R129" s="97">
        <f t="shared" si="8"/>
        <v>319.80509999999998</v>
      </c>
      <c r="S129" s="97">
        <f t="shared" si="9"/>
        <v>4193.0001999999995</v>
      </c>
    </row>
    <row r="130" spans="1:19" s="11" customFormat="1" x14ac:dyDescent="0.35">
      <c r="A130" s="93">
        <v>129</v>
      </c>
      <c r="B130" s="93" t="s">
        <v>431</v>
      </c>
      <c r="C130" s="94">
        <v>43475</v>
      </c>
      <c r="D130" s="95" t="s">
        <v>56</v>
      </c>
      <c r="E130" s="95" t="s">
        <v>468</v>
      </c>
      <c r="F130" s="95" t="s">
        <v>464</v>
      </c>
      <c r="G130" s="95" t="s">
        <v>15</v>
      </c>
      <c r="H130" s="95" t="s">
        <v>475</v>
      </c>
      <c r="I130" s="116" t="s">
        <v>16</v>
      </c>
      <c r="J130" s="95">
        <v>998714</v>
      </c>
      <c r="K130" s="97">
        <v>2063</v>
      </c>
      <c r="L130" s="98"/>
      <c r="M130" s="97">
        <f t="shared" si="5"/>
        <v>2063</v>
      </c>
      <c r="N130" s="95"/>
      <c r="O130" s="98">
        <v>0.18</v>
      </c>
      <c r="P130" s="95" t="str">
        <f t="shared" si="6"/>
        <v>0</v>
      </c>
      <c r="Q130" s="97">
        <f t="shared" si="7"/>
        <v>185.67</v>
      </c>
      <c r="R130" s="97">
        <f t="shared" si="8"/>
        <v>185.67</v>
      </c>
      <c r="S130" s="97">
        <f t="shared" si="9"/>
        <v>2434.34</v>
      </c>
    </row>
    <row r="131" spans="1:19" s="11" customFormat="1" x14ac:dyDescent="0.35">
      <c r="A131" s="93">
        <v>130</v>
      </c>
      <c r="B131" s="93" t="s">
        <v>431</v>
      </c>
      <c r="C131" s="99">
        <v>43476</v>
      </c>
      <c r="D131" s="93" t="s">
        <v>42</v>
      </c>
      <c r="E131" s="95" t="s">
        <v>468</v>
      </c>
      <c r="F131" s="95" t="s">
        <v>464</v>
      </c>
      <c r="G131" s="102" t="s">
        <v>40</v>
      </c>
      <c r="H131" s="95" t="s">
        <v>475</v>
      </c>
      <c r="I131" s="117" t="s">
        <v>41</v>
      </c>
      <c r="J131" s="93">
        <v>84099900</v>
      </c>
      <c r="K131" s="97">
        <f>15370.32+895.32</f>
        <v>16265.64</v>
      </c>
      <c r="L131" s="100"/>
      <c r="M131" s="97">
        <f t="shared" ref="M131:M194" si="10">K131-L131</f>
        <v>16265.64</v>
      </c>
      <c r="N131" s="95"/>
      <c r="O131" s="100">
        <v>0.28000000000000003</v>
      </c>
      <c r="P131" s="95" t="str">
        <f t="shared" ref="P131:P194" si="11">IF(AND(E131="Interstate",F131&lt;&gt;"Composition"),(M131+N131)*O131,"0")</f>
        <v>0</v>
      </c>
      <c r="Q131" s="97">
        <f t="shared" ref="Q131:Q194" si="12">IF(AND(E131="Intrastate",F131&lt;&gt;"Composition"),(M131+N131)*(O131/2),"0")</f>
        <v>2277.1896000000002</v>
      </c>
      <c r="R131" s="97">
        <f t="shared" ref="R131:R194" si="13">IF(AND(E131="Intrastate",F131&lt;&gt;"Composition"),(M131+N131)*(O131/2),"0")</f>
        <v>2277.1896000000002</v>
      </c>
      <c r="S131" s="97">
        <f t="shared" ref="S131:S194" si="14">SUM(M131:N131,P131:R131)</f>
        <v>20820.019200000002</v>
      </c>
    </row>
    <row r="132" spans="1:19" s="11" customFormat="1" x14ac:dyDescent="0.35">
      <c r="A132" s="93">
        <v>131</v>
      </c>
      <c r="B132" s="93" t="s">
        <v>431</v>
      </c>
      <c r="C132" s="99">
        <v>43476</v>
      </c>
      <c r="D132" s="93" t="s">
        <v>42</v>
      </c>
      <c r="E132" s="95" t="s">
        <v>468</v>
      </c>
      <c r="F132" s="95" t="s">
        <v>464</v>
      </c>
      <c r="G132" s="102" t="s">
        <v>40</v>
      </c>
      <c r="H132" s="95" t="s">
        <v>475</v>
      </c>
      <c r="I132" s="117" t="s">
        <v>41</v>
      </c>
      <c r="J132" s="93">
        <v>84099900</v>
      </c>
      <c r="K132" s="97">
        <v>422.04</v>
      </c>
      <c r="L132" s="100"/>
      <c r="M132" s="97">
        <f t="shared" si="10"/>
        <v>422.04</v>
      </c>
      <c r="N132" s="95"/>
      <c r="O132" s="98">
        <v>0.18</v>
      </c>
      <c r="P132" s="95" t="str">
        <f t="shared" si="11"/>
        <v>0</v>
      </c>
      <c r="Q132" s="97">
        <f t="shared" si="12"/>
        <v>37.983600000000003</v>
      </c>
      <c r="R132" s="97">
        <f t="shared" si="13"/>
        <v>37.983600000000003</v>
      </c>
      <c r="S132" s="97">
        <f t="shared" si="14"/>
        <v>498.00720000000007</v>
      </c>
    </row>
    <row r="133" spans="1:19" s="11" customFormat="1" x14ac:dyDescent="0.35">
      <c r="A133" s="93">
        <v>132</v>
      </c>
      <c r="B133" s="93" t="s">
        <v>431</v>
      </c>
      <c r="C133" s="99">
        <v>43476</v>
      </c>
      <c r="D133" s="93" t="s">
        <v>42</v>
      </c>
      <c r="E133" s="95" t="s">
        <v>468</v>
      </c>
      <c r="F133" s="95" t="s">
        <v>464</v>
      </c>
      <c r="G133" s="102" t="s">
        <v>40</v>
      </c>
      <c r="H133" s="95" t="s">
        <v>475</v>
      </c>
      <c r="I133" s="117" t="s">
        <v>41</v>
      </c>
      <c r="J133" s="93">
        <v>84139190</v>
      </c>
      <c r="K133" s="97">
        <v>21473.46</v>
      </c>
      <c r="L133" s="100"/>
      <c r="M133" s="97">
        <f t="shared" si="10"/>
        <v>21473.46</v>
      </c>
      <c r="N133" s="95"/>
      <c r="O133" s="100">
        <v>0.28000000000000003</v>
      </c>
      <c r="P133" s="95" t="str">
        <f t="shared" si="11"/>
        <v>0</v>
      </c>
      <c r="Q133" s="97">
        <f t="shared" si="12"/>
        <v>3006.2844</v>
      </c>
      <c r="R133" s="97">
        <f t="shared" si="13"/>
        <v>3006.2844</v>
      </c>
      <c r="S133" s="97">
        <f t="shared" si="14"/>
        <v>27486.0288</v>
      </c>
    </row>
    <row r="134" spans="1:19" s="11" customFormat="1" x14ac:dyDescent="0.35">
      <c r="A134" s="93">
        <v>133</v>
      </c>
      <c r="B134" s="93" t="s">
        <v>431</v>
      </c>
      <c r="C134" s="99">
        <v>43476</v>
      </c>
      <c r="D134" s="93" t="s">
        <v>42</v>
      </c>
      <c r="E134" s="95" t="s">
        <v>468</v>
      </c>
      <c r="F134" s="95" t="s">
        <v>464</v>
      </c>
      <c r="G134" s="102" t="s">
        <v>40</v>
      </c>
      <c r="H134" s="95" t="s">
        <v>475</v>
      </c>
      <c r="I134" s="117" t="s">
        <v>41</v>
      </c>
      <c r="J134" s="93">
        <v>40169320</v>
      </c>
      <c r="K134" s="97">
        <v>269.52</v>
      </c>
      <c r="L134" s="100"/>
      <c r="M134" s="97">
        <f t="shared" si="10"/>
        <v>269.52</v>
      </c>
      <c r="N134" s="95"/>
      <c r="O134" s="98">
        <v>0.18</v>
      </c>
      <c r="P134" s="95" t="str">
        <f t="shared" si="11"/>
        <v>0</v>
      </c>
      <c r="Q134" s="97">
        <f t="shared" si="12"/>
        <v>24.256799999999998</v>
      </c>
      <c r="R134" s="97">
        <f t="shared" si="13"/>
        <v>24.256799999999998</v>
      </c>
      <c r="S134" s="97">
        <f t="shared" si="14"/>
        <v>318.03359999999998</v>
      </c>
    </row>
    <row r="135" spans="1:19" s="11" customFormat="1" x14ac:dyDescent="0.35">
      <c r="A135" s="93">
        <v>134</v>
      </c>
      <c r="B135" s="93" t="s">
        <v>431</v>
      </c>
      <c r="C135" s="99">
        <v>43476</v>
      </c>
      <c r="D135" s="93" t="s">
        <v>42</v>
      </c>
      <c r="E135" s="95" t="s">
        <v>468</v>
      </c>
      <c r="F135" s="95" t="s">
        <v>464</v>
      </c>
      <c r="G135" s="102" t="s">
        <v>40</v>
      </c>
      <c r="H135" s="95" t="s">
        <v>475</v>
      </c>
      <c r="I135" s="117" t="s">
        <v>41</v>
      </c>
      <c r="J135" s="93">
        <v>73209090</v>
      </c>
      <c r="K135" s="97">
        <f>233.88+345.78</f>
        <v>579.66</v>
      </c>
      <c r="L135" s="100"/>
      <c r="M135" s="97">
        <f t="shared" si="10"/>
        <v>579.66</v>
      </c>
      <c r="N135" s="95"/>
      <c r="O135" s="98">
        <v>0.18</v>
      </c>
      <c r="P135" s="95" t="str">
        <f t="shared" si="11"/>
        <v>0</v>
      </c>
      <c r="Q135" s="97">
        <f t="shared" si="12"/>
        <v>52.169399999999996</v>
      </c>
      <c r="R135" s="97">
        <f t="shared" si="13"/>
        <v>52.169399999999996</v>
      </c>
      <c r="S135" s="97">
        <f t="shared" si="14"/>
        <v>683.99879999999996</v>
      </c>
    </row>
    <row r="136" spans="1:19" s="11" customFormat="1" x14ac:dyDescent="0.35">
      <c r="A136" s="93">
        <v>135</v>
      </c>
      <c r="B136" s="93" t="s">
        <v>431</v>
      </c>
      <c r="C136" s="99">
        <v>43476</v>
      </c>
      <c r="D136" s="93" t="s">
        <v>42</v>
      </c>
      <c r="E136" s="95" t="s">
        <v>468</v>
      </c>
      <c r="F136" s="95" t="s">
        <v>464</v>
      </c>
      <c r="G136" s="102" t="s">
        <v>40</v>
      </c>
      <c r="H136" s="95" t="s">
        <v>475</v>
      </c>
      <c r="I136" s="117" t="s">
        <v>41</v>
      </c>
      <c r="J136" s="93">
        <v>73269098</v>
      </c>
      <c r="K136" s="97">
        <v>117.18</v>
      </c>
      <c r="L136" s="100"/>
      <c r="M136" s="97">
        <f t="shared" si="10"/>
        <v>117.18</v>
      </c>
      <c r="N136" s="95"/>
      <c r="O136" s="100">
        <v>0.28000000000000003</v>
      </c>
      <c r="P136" s="95" t="str">
        <f t="shared" si="11"/>
        <v>0</v>
      </c>
      <c r="Q136" s="97">
        <f t="shared" si="12"/>
        <v>16.405200000000004</v>
      </c>
      <c r="R136" s="97">
        <f t="shared" si="13"/>
        <v>16.405200000000004</v>
      </c>
      <c r="S136" s="97">
        <f t="shared" si="14"/>
        <v>149.99040000000002</v>
      </c>
    </row>
    <row r="137" spans="1:19" s="11" customFormat="1" x14ac:dyDescent="0.35">
      <c r="A137" s="93">
        <v>137</v>
      </c>
      <c r="B137" s="93" t="s">
        <v>431</v>
      </c>
      <c r="C137" s="99">
        <v>43476</v>
      </c>
      <c r="D137" s="93" t="s">
        <v>42</v>
      </c>
      <c r="E137" s="95" t="s">
        <v>468</v>
      </c>
      <c r="F137" s="95" t="s">
        <v>464</v>
      </c>
      <c r="G137" s="102" t="s">
        <v>40</v>
      </c>
      <c r="H137" s="95" t="s">
        <v>475</v>
      </c>
      <c r="I137" s="117" t="s">
        <v>41</v>
      </c>
      <c r="J137" s="93" t="s">
        <v>63</v>
      </c>
      <c r="K137" s="97">
        <v>324.2</v>
      </c>
      <c r="L137" s="100"/>
      <c r="M137" s="97">
        <f t="shared" si="10"/>
        <v>324.2</v>
      </c>
      <c r="N137" s="95"/>
      <c r="O137" s="100">
        <v>0.28000000000000003</v>
      </c>
      <c r="P137" s="95" t="str">
        <f t="shared" si="11"/>
        <v>0</v>
      </c>
      <c r="Q137" s="97">
        <f t="shared" si="12"/>
        <v>45.388000000000005</v>
      </c>
      <c r="R137" s="97">
        <f t="shared" si="13"/>
        <v>45.388000000000005</v>
      </c>
      <c r="S137" s="97">
        <f t="shared" si="14"/>
        <v>414.976</v>
      </c>
    </row>
    <row r="138" spans="1:19" s="11" customFormat="1" x14ac:dyDescent="0.35">
      <c r="A138" s="93">
        <v>138</v>
      </c>
      <c r="B138" s="93" t="s">
        <v>431</v>
      </c>
      <c r="C138" s="94">
        <v>43476</v>
      </c>
      <c r="D138" s="95">
        <v>2588</v>
      </c>
      <c r="E138" s="95" t="s">
        <v>468</v>
      </c>
      <c r="F138" s="95" t="s">
        <v>464</v>
      </c>
      <c r="G138" s="95" t="s">
        <v>316</v>
      </c>
      <c r="H138" s="95" t="s">
        <v>475</v>
      </c>
      <c r="I138" s="116" t="s">
        <v>338</v>
      </c>
      <c r="J138" s="95">
        <v>8536</v>
      </c>
      <c r="K138" s="97">
        <v>2340</v>
      </c>
      <c r="L138" s="98"/>
      <c r="M138" s="97">
        <f t="shared" si="10"/>
        <v>2340</v>
      </c>
      <c r="N138" s="95"/>
      <c r="O138" s="98">
        <v>0.18</v>
      </c>
      <c r="P138" s="95" t="str">
        <f t="shared" si="11"/>
        <v>0</v>
      </c>
      <c r="Q138" s="97">
        <f t="shared" si="12"/>
        <v>210.6</v>
      </c>
      <c r="R138" s="97">
        <f t="shared" si="13"/>
        <v>210.6</v>
      </c>
      <c r="S138" s="97">
        <f t="shared" si="14"/>
        <v>2761.2</v>
      </c>
    </row>
    <row r="139" spans="1:19" s="11" customFormat="1" x14ac:dyDescent="0.35">
      <c r="A139" s="93">
        <v>139</v>
      </c>
      <c r="B139" s="93" t="s">
        <v>431</v>
      </c>
      <c r="C139" s="94">
        <v>43476</v>
      </c>
      <c r="D139" s="95" t="s">
        <v>57</v>
      </c>
      <c r="E139" s="95" t="s">
        <v>468</v>
      </c>
      <c r="F139" s="95" t="s">
        <v>464</v>
      </c>
      <c r="G139" s="95" t="s">
        <v>15</v>
      </c>
      <c r="H139" s="95" t="s">
        <v>475</v>
      </c>
      <c r="I139" s="116" t="s">
        <v>16</v>
      </c>
      <c r="J139" s="95">
        <v>84835090</v>
      </c>
      <c r="K139" s="97">
        <f>9822.66</f>
        <v>9822.66</v>
      </c>
      <c r="L139" s="98"/>
      <c r="M139" s="97">
        <f t="shared" si="10"/>
        <v>9822.66</v>
      </c>
      <c r="N139" s="95"/>
      <c r="O139" s="98">
        <v>0.18</v>
      </c>
      <c r="P139" s="95" t="str">
        <f t="shared" si="11"/>
        <v>0</v>
      </c>
      <c r="Q139" s="97">
        <f t="shared" si="12"/>
        <v>884.0394</v>
      </c>
      <c r="R139" s="97">
        <f t="shared" si="13"/>
        <v>884.0394</v>
      </c>
      <c r="S139" s="97">
        <f t="shared" si="14"/>
        <v>11590.738799999999</v>
      </c>
    </row>
    <row r="140" spans="1:19" s="11" customFormat="1" x14ac:dyDescent="0.35">
      <c r="A140" s="93">
        <v>140</v>
      </c>
      <c r="B140" s="93" t="s">
        <v>431</v>
      </c>
      <c r="C140" s="94">
        <v>43476</v>
      </c>
      <c r="D140" s="95" t="s">
        <v>57</v>
      </c>
      <c r="E140" s="95" t="s">
        <v>468</v>
      </c>
      <c r="F140" s="95" t="s">
        <v>464</v>
      </c>
      <c r="G140" s="95" t="s">
        <v>15</v>
      </c>
      <c r="H140" s="95" t="s">
        <v>475</v>
      </c>
      <c r="I140" s="116" t="s">
        <v>16</v>
      </c>
      <c r="J140" s="95">
        <v>84821011</v>
      </c>
      <c r="K140" s="97">
        <v>144.91999999999999</v>
      </c>
      <c r="L140" s="98"/>
      <c r="M140" s="97">
        <f t="shared" si="10"/>
        <v>144.91999999999999</v>
      </c>
      <c r="N140" s="95"/>
      <c r="O140" s="98">
        <v>0.18</v>
      </c>
      <c r="P140" s="95" t="str">
        <f t="shared" si="11"/>
        <v>0</v>
      </c>
      <c r="Q140" s="97">
        <f t="shared" si="12"/>
        <v>13.042799999999998</v>
      </c>
      <c r="R140" s="97">
        <f t="shared" si="13"/>
        <v>13.042799999999998</v>
      </c>
      <c r="S140" s="97">
        <f t="shared" si="14"/>
        <v>171.00559999999999</v>
      </c>
    </row>
    <row r="141" spans="1:19" s="11" customFormat="1" x14ac:dyDescent="0.35">
      <c r="A141" s="93">
        <v>141</v>
      </c>
      <c r="B141" s="93" t="s">
        <v>431</v>
      </c>
      <c r="C141" s="94">
        <v>43476</v>
      </c>
      <c r="D141" s="95" t="s">
        <v>57</v>
      </c>
      <c r="E141" s="95" t="s">
        <v>468</v>
      </c>
      <c r="F141" s="95" t="s">
        <v>464</v>
      </c>
      <c r="G141" s="95" t="s">
        <v>15</v>
      </c>
      <c r="H141" s="95" t="s">
        <v>475</v>
      </c>
      <c r="I141" s="116" t="s">
        <v>16</v>
      </c>
      <c r="J141" s="95">
        <v>87089900</v>
      </c>
      <c r="K141" s="97">
        <f>15292.19+323.44+1100.78+2088.28</f>
        <v>18804.689999999999</v>
      </c>
      <c r="L141" s="98"/>
      <c r="M141" s="97">
        <f t="shared" si="10"/>
        <v>18804.689999999999</v>
      </c>
      <c r="N141" s="95"/>
      <c r="O141" s="98">
        <v>0.28000000000000003</v>
      </c>
      <c r="P141" s="95" t="str">
        <f t="shared" si="11"/>
        <v>0</v>
      </c>
      <c r="Q141" s="97">
        <f t="shared" si="12"/>
        <v>2632.6566000000003</v>
      </c>
      <c r="R141" s="97">
        <f t="shared" si="13"/>
        <v>2632.6566000000003</v>
      </c>
      <c r="S141" s="97">
        <f t="shared" si="14"/>
        <v>24070.003199999999</v>
      </c>
    </row>
    <row r="142" spans="1:19" s="11" customFormat="1" x14ac:dyDescent="0.35">
      <c r="A142" s="93">
        <v>142</v>
      </c>
      <c r="B142" s="93" t="s">
        <v>431</v>
      </c>
      <c r="C142" s="94">
        <v>43476</v>
      </c>
      <c r="D142" s="95" t="s">
        <v>57</v>
      </c>
      <c r="E142" s="95" t="s">
        <v>468</v>
      </c>
      <c r="F142" s="95" t="s">
        <v>464</v>
      </c>
      <c r="G142" s="95" t="s">
        <v>15</v>
      </c>
      <c r="H142" s="95" t="s">
        <v>475</v>
      </c>
      <c r="I142" s="116" t="s">
        <v>16</v>
      </c>
      <c r="J142" s="95">
        <v>73182910</v>
      </c>
      <c r="K142" s="97">
        <v>119.49</v>
      </c>
      <c r="L142" s="98"/>
      <c r="M142" s="97">
        <f t="shared" si="10"/>
        <v>119.49</v>
      </c>
      <c r="N142" s="95"/>
      <c r="O142" s="98">
        <v>0.18</v>
      </c>
      <c r="P142" s="95" t="str">
        <f t="shared" si="11"/>
        <v>0</v>
      </c>
      <c r="Q142" s="97">
        <f t="shared" si="12"/>
        <v>10.754099999999999</v>
      </c>
      <c r="R142" s="97">
        <f t="shared" si="13"/>
        <v>10.754099999999999</v>
      </c>
      <c r="S142" s="97">
        <f t="shared" si="14"/>
        <v>140.9982</v>
      </c>
    </row>
    <row r="143" spans="1:19" s="11" customFormat="1" x14ac:dyDescent="0.35">
      <c r="A143" s="93">
        <v>143</v>
      </c>
      <c r="B143" s="93" t="s">
        <v>431</v>
      </c>
      <c r="C143" s="94">
        <v>43476</v>
      </c>
      <c r="D143" s="95" t="s">
        <v>57</v>
      </c>
      <c r="E143" s="95" t="s">
        <v>468</v>
      </c>
      <c r="F143" s="95" t="s">
        <v>464</v>
      </c>
      <c r="G143" s="95" t="s">
        <v>15</v>
      </c>
      <c r="H143" s="95" t="s">
        <v>475</v>
      </c>
      <c r="I143" s="116" t="s">
        <v>16</v>
      </c>
      <c r="J143" s="95">
        <v>87083000</v>
      </c>
      <c r="K143" s="97">
        <v>4638.28</v>
      </c>
      <c r="L143" s="98"/>
      <c r="M143" s="97">
        <f t="shared" si="10"/>
        <v>4638.28</v>
      </c>
      <c r="N143" s="95"/>
      <c r="O143" s="98">
        <v>0.28000000000000003</v>
      </c>
      <c r="P143" s="95" t="str">
        <f t="shared" si="11"/>
        <v>0</v>
      </c>
      <c r="Q143" s="97">
        <f t="shared" si="12"/>
        <v>649.35919999999999</v>
      </c>
      <c r="R143" s="97">
        <f t="shared" si="13"/>
        <v>649.35919999999999</v>
      </c>
      <c r="S143" s="97">
        <f t="shared" si="14"/>
        <v>5936.9983999999995</v>
      </c>
    </row>
    <row r="144" spans="1:19" s="11" customFormat="1" x14ac:dyDescent="0.35">
      <c r="A144" s="93">
        <v>144</v>
      </c>
      <c r="B144" s="93" t="s">
        <v>431</v>
      </c>
      <c r="C144" s="94">
        <v>43476</v>
      </c>
      <c r="D144" s="95" t="s">
        <v>57</v>
      </c>
      <c r="E144" s="95" t="s">
        <v>468</v>
      </c>
      <c r="F144" s="95" t="s">
        <v>464</v>
      </c>
      <c r="G144" s="95" t="s">
        <v>15</v>
      </c>
      <c r="H144" s="95" t="s">
        <v>475</v>
      </c>
      <c r="I144" s="116" t="s">
        <v>16</v>
      </c>
      <c r="J144" s="95">
        <v>73181500</v>
      </c>
      <c r="K144" s="97">
        <v>23.72</v>
      </c>
      <c r="L144" s="98"/>
      <c r="M144" s="97">
        <f t="shared" si="10"/>
        <v>23.72</v>
      </c>
      <c r="N144" s="95"/>
      <c r="O144" s="98">
        <v>0.18</v>
      </c>
      <c r="P144" s="95" t="str">
        <f t="shared" si="11"/>
        <v>0</v>
      </c>
      <c r="Q144" s="97">
        <f t="shared" si="12"/>
        <v>2.1347999999999998</v>
      </c>
      <c r="R144" s="97">
        <f t="shared" si="13"/>
        <v>2.1347999999999998</v>
      </c>
      <c r="S144" s="97">
        <f t="shared" si="14"/>
        <v>27.989599999999996</v>
      </c>
    </row>
    <row r="145" spans="1:19" s="11" customFormat="1" x14ac:dyDescent="0.35">
      <c r="A145" s="93">
        <v>145</v>
      </c>
      <c r="B145" s="93" t="s">
        <v>431</v>
      </c>
      <c r="C145" s="94">
        <v>43476</v>
      </c>
      <c r="D145" s="95" t="s">
        <v>57</v>
      </c>
      <c r="E145" s="95" t="s">
        <v>468</v>
      </c>
      <c r="F145" s="95" t="s">
        <v>464</v>
      </c>
      <c r="G145" s="95" t="s">
        <v>15</v>
      </c>
      <c r="H145" s="95" t="s">
        <v>475</v>
      </c>
      <c r="I145" s="116" t="s">
        <v>16</v>
      </c>
      <c r="J145" s="95">
        <v>84219900</v>
      </c>
      <c r="K145" s="97">
        <v>603.39</v>
      </c>
      <c r="L145" s="98"/>
      <c r="M145" s="97">
        <f t="shared" si="10"/>
        <v>603.39</v>
      </c>
      <c r="N145" s="95"/>
      <c r="O145" s="98">
        <v>0.18</v>
      </c>
      <c r="P145" s="95" t="str">
        <f t="shared" si="11"/>
        <v>0</v>
      </c>
      <c r="Q145" s="97">
        <f t="shared" si="12"/>
        <v>54.305099999999996</v>
      </c>
      <c r="R145" s="97">
        <f t="shared" si="13"/>
        <v>54.305099999999996</v>
      </c>
      <c r="S145" s="97">
        <f t="shared" si="14"/>
        <v>712.00020000000006</v>
      </c>
    </row>
    <row r="146" spans="1:19" s="11" customFormat="1" x14ac:dyDescent="0.35">
      <c r="A146" s="93">
        <v>146</v>
      </c>
      <c r="B146" s="93" t="s">
        <v>431</v>
      </c>
      <c r="C146" s="94">
        <v>43476</v>
      </c>
      <c r="D146" s="95" t="s">
        <v>57</v>
      </c>
      <c r="E146" s="95" t="s">
        <v>468</v>
      </c>
      <c r="F146" s="95" t="s">
        <v>464</v>
      </c>
      <c r="G146" s="95" t="s">
        <v>15</v>
      </c>
      <c r="H146" s="95" t="s">
        <v>475</v>
      </c>
      <c r="I146" s="116" t="s">
        <v>16</v>
      </c>
      <c r="J146" s="95">
        <v>38190010</v>
      </c>
      <c r="K146" s="97">
        <v>111.5</v>
      </c>
      <c r="L146" s="98"/>
      <c r="M146" s="97">
        <f t="shared" si="10"/>
        <v>111.5</v>
      </c>
      <c r="N146" s="95"/>
      <c r="O146" s="98">
        <v>0.18</v>
      </c>
      <c r="P146" s="95" t="str">
        <f t="shared" si="11"/>
        <v>0</v>
      </c>
      <c r="Q146" s="97">
        <f t="shared" si="12"/>
        <v>10.035</v>
      </c>
      <c r="R146" s="97">
        <f t="shared" si="13"/>
        <v>10.035</v>
      </c>
      <c r="S146" s="97">
        <f t="shared" si="14"/>
        <v>131.57</v>
      </c>
    </row>
    <row r="147" spans="1:19" s="11" customFormat="1" x14ac:dyDescent="0.35">
      <c r="A147" s="93">
        <v>147</v>
      </c>
      <c r="B147" s="93" t="s">
        <v>431</v>
      </c>
      <c r="C147" s="94">
        <v>43476</v>
      </c>
      <c r="D147" s="95" t="s">
        <v>57</v>
      </c>
      <c r="E147" s="95" t="s">
        <v>468</v>
      </c>
      <c r="F147" s="95" t="s">
        <v>464</v>
      </c>
      <c r="G147" s="95" t="s">
        <v>15</v>
      </c>
      <c r="H147" s="95" t="s">
        <v>475</v>
      </c>
      <c r="I147" s="116" t="s">
        <v>16</v>
      </c>
      <c r="J147" s="95">
        <v>52021000</v>
      </c>
      <c r="K147" s="97">
        <v>18.5</v>
      </c>
      <c r="L147" s="98"/>
      <c r="M147" s="97">
        <f t="shared" si="10"/>
        <v>18.5</v>
      </c>
      <c r="N147" s="95"/>
      <c r="O147" s="98">
        <v>0.05</v>
      </c>
      <c r="P147" s="95" t="str">
        <f t="shared" si="11"/>
        <v>0</v>
      </c>
      <c r="Q147" s="97">
        <f t="shared" si="12"/>
        <v>0.46250000000000002</v>
      </c>
      <c r="R147" s="97">
        <f t="shared" si="13"/>
        <v>0.46250000000000002</v>
      </c>
      <c r="S147" s="97">
        <f t="shared" si="14"/>
        <v>19.424999999999997</v>
      </c>
    </row>
    <row r="148" spans="1:19" s="11" customFormat="1" x14ac:dyDescent="0.35">
      <c r="A148" s="93">
        <v>149</v>
      </c>
      <c r="B148" s="93" t="s">
        <v>431</v>
      </c>
      <c r="C148" s="94">
        <v>43476</v>
      </c>
      <c r="D148" s="95" t="s">
        <v>57</v>
      </c>
      <c r="E148" s="95" t="s">
        <v>468</v>
      </c>
      <c r="F148" s="95" t="s">
        <v>464</v>
      </c>
      <c r="G148" s="95" t="s">
        <v>15</v>
      </c>
      <c r="H148" s="95" t="s">
        <v>475</v>
      </c>
      <c r="I148" s="116" t="s">
        <v>16</v>
      </c>
      <c r="J148" s="95">
        <v>39269099</v>
      </c>
      <c r="K148" s="97">
        <v>164.1</v>
      </c>
      <c r="L148" s="98"/>
      <c r="M148" s="97">
        <f t="shared" si="10"/>
        <v>164.1</v>
      </c>
      <c r="N148" s="95"/>
      <c r="O148" s="98">
        <v>0.18</v>
      </c>
      <c r="P148" s="95" t="str">
        <f t="shared" si="11"/>
        <v>0</v>
      </c>
      <c r="Q148" s="97">
        <f t="shared" si="12"/>
        <v>14.768999999999998</v>
      </c>
      <c r="R148" s="97">
        <f t="shared" si="13"/>
        <v>14.768999999999998</v>
      </c>
      <c r="S148" s="97">
        <f t="shared" si="14"/>
        <v>193.63800000000001</v>
      </c>
    </row>
    <row r="149" spans="1:19" s="11" customFormat="1" x14ac:dyDescent="0.35">
      <c r="A149" s="93">
        <v>148</v>
      </c>
      <c r="B149" s="93" t="s">
        <v>431</v>
      </c>
      <c r="C149" s="94">
        <v>43476</v>
      </c>
      <c r="D149" s="95" t="s">
        <v>57</v>
      </c>
      <c r="E149" s="95" t="s">
        <v>468</v>
      </c>
      <c r="F149" s="95" t="s">
        <v>464</v>
      </c>
      <c r="G149" s="95" t="s">
        <v>15</v>
      </c>
      <c r="H149" s="95" t="s">
        <v>475</v>
      </c>
      <c r="I149" s="116" t="s">
        <v>16</v>
      </c>
      <c r="J149" s="95">
        <v>998714</v>
      </c>
      <c r="K149" s="97">
        <f>2625+375+150+413</f>
        <v>3563</v>
      </c>
      <c r="L149" s="98"/>
      <c r="M149" s="97">
        <f t="shared" si="10"/>
        <v>3563</v>
      </c>
      <c r="N149" s="95"/>
      <c r="O149" s="98">
        <v>0.18</v>
      </c>
      <c r="P149" s="95" t="str">
        <f t="shared" si="11"/>
        <v>0</v>
      </c>
      <c r="Q149" s="97">
        <f t="shared" si="12"/>
        <v>320.67</v>
      </c>
      <c r="R149" s="97">
        <f t="shared" si="13"/>
        <v>320.67</v>
      </c>
      <c r="S149" s="97">
        <f t="shared" si="14"/>
        <v>4204.34</v>
      </c>
    </row>
    <row r="150" spans="1:19" s="11" customFormat="1" x14ac:dyDescent="0.35">
      <c r="A150" s="93">
        <v>150</v>
      </c>
      <c r="B150" s="93" t="s">
        <v>431</v>
      </c>
      <c r="C150" s="94">
        <v>43476</v>
      </c>
      <c r="D150" s="95">
        <v>5477</v>
      </c>
      <c r="E150" s="95" t="s">
        <v>468</v>
      </c>
      <c r="F150" s="95" t="s">
        <v>464</v>
      </c>
      <c r="G150" s="95" t="s">
        <v>312</v>
      </c>
      <c r="H150" s="95" t="s">
        <v>475</v>
      </c>
      <c r="I150" s="116" t="s">
        <v>339</v>
      </c>
      <c r="J150" s="95">
        <v>82071300</v>
      </c>
      <c r="K150" s="97">
        <v>50760</v>
      </c>
      <c r="L150" s="98"/>
      <c r="M150" s="97">
        <f t="shared" si="10"/>
        <v>50760</v>
      </c>
      <c r="N150" s="95"/>
      <c r="O150" s="98">
        <v>0.18</v>
      </c>
      <c r="P150" s="95" t="str">
        <f t="shared" si="11"/>
        <v>0</v>
      </c>
      <c r="Q150" s="97">
        <f t="shared" si="12"/>
        <v>4568.3999999999996</v>
      </c>
      <c r="R150" s="97">
        <f t="shared" si="13"/>
        <v>4568.3999999999996</v>
      </c>
      <c r="S150" s="97">
        <f t="shared" si="14"/>
        <v>59896.800000000003</v>
      </c>
    </row>
    <row r="151" spans="1:19" s="11" customFormat="1" x14ac:dyDescent="0.35">
      <c r="A151" s="93">
        <v>151</v>
      </c>
      <c r="B151" s="93" t="s">
        <v>431</v>
      </c>
      <c r="C151" s="94">
        <v>43477</v>
      </c>
      <c r="D151" s="95" t="s">
        <v>54</v>
      </c>
      <c r="E151" s="95" t="s">
        <v>468</v>
      </c>
      <c r="F151" s="95" t="s">
        <v>464</v>
      </c>
      <c r="G151" s="95" t="s">
        <v>314</v>
      </c>
      <c r="H151" s="95" t="s">
        <v>475</v>
      </c>
      <c r="I151" s="116" t="s">
        <v>55</v>
      </c>
      <c r="J151" s="95">
        <v>8413</v>
      </c>
      <c r="K151" s="97">
        <v>4550</v>
      </c>
      <c r="L151" s="98"/>
      <c r="M151" s="97">
        <f t="shared" si="10"/>
        <v>4550</v>
      </c>
      <c r="N151" s="95"/>
      <c r="O151" s="98">
        <v>0.18</v>
      </c>
      <c r="P151" s="95" t="str">
        <f t="shared" si="11"/>
        <v>0</v>
      </c>
      <c r="Q151" s="97">
        <f t="shared" si="12"/>
        <v>409.5</v>
      </c>
      <c r="R151" s="97">
        <f t="shared" si="13"/>
        <v>409.5</v>
      </c>
      <c r="S151" s="97">
        <f t="shared" si="14"/>
        <v>5369</v>
      </c>
    </row>
    <row r="152" spans="1:19" s="11" customFormat="1" x14ac:dyDescent="0.35">
      <c r="A152" s="93">
        <v>152</v>
      </c>
      <c r="B152" s="93" t="s">
        <v>431</v>
      </c>
      <c r="C152" s="94">
        <v>43477</v>
      </c>
      <c r="D152" s="95" t="s">
        <v>54</v>
      </c>
      <c r="E152" s="95" t="s">
        <v>468</v>
      </c>
      <c r="F152" s="95" t="s">
        <v>464</v>
      </c>
      <c r="G152" s="95" t="s">
        <v>314</v>
      </c>
      <c r="H152" s="95" t="s">
        <v>475</v>
      </c>
      <c r="I152" s="116" t="s">
        <v>55</v>
      </c>
      <c r="J152" s="95">
        <v>84812000</v>
      </c>
      <c r="K152" s="97">
        <f>8106+7350+8674</f>
        <v>24130</v>
      </c>
      <c r="L152" s="98"/>
      <c r="M152" s="97">
        <f t="shared" si="10"/>
        <v>24130</v>
      </c>
      <c r="N152" s="95"/>
      <c r="O152" s="98">
        <v>0.18</v>
      </c>
      <c r="P152" s="95" t="str">
        <f t="shared" si="11"/>
        <v>0</v>
      </c>
      <c r="Q152" s="97">
        <f t="shared" si="12"/>
        <v>2171.6999999999998</v>
      </c>
      <c r="R152" s="97">
        <f t="shared" si="13"/>
        <v>2171.6999999999998</v>
      </c>
      <c r="S152" s="97">
        <f t="shared" si="14"/>
        <v>28473.4</v>
      </c>
    </row>
    <row r="153" spans="1:19" s="11" customFormat="1" x14ac:dyDescent="0.35">
      <c r="A153" s="93">
        <v>153</v>
      </c>
      <c r="B153" s="93" t="s">
        <v>431</v>
      </c>
      <c r="C153" s="94">
        <v>43477</v>
      </c>
      <c r="D153" s="95" t="s">
        <v>54</v>
      </c>
      <c r="E153" s="95" t="s">
        <v>468</v>
      </c>
      <c r="F153" s="95" t="s">
        <v>464</v>
      </c>
      <c r="G153" s="95" t="s">
        <v>314</v>
      </c>
      <c r="H153" s="95" t="s">
        <v>475</v>
      </c>
      <c r="I153" s="116" t="s">
        <v>55</v>
      </c>
      <c r="J153" s="95">
        <v>84818030</v>
      </c>
      <c r="K153" s="97">
        <v>3120</v>
      </c>
      <c r="L153" s="98"/>
      <c r="M153" s="97">
        <f t="shared" si="10"/>
        <v>3120</v>
      </c>
      <c r="N153" s="95"/>
      <c r="O153" s="98">
        <v>0.18</v>
      </c>
      <c r="P153" s="95" t="str">
        <f t="shared" si="11"/>
        <v>0</v>
      </c>
      <c r="Q153" s="97">
        <f t="shared" si="12"/>
        <v>280.8</v>
      </c>
      <c r="R153" s="97">
        <f t="shared" si="13"/>
        <v>280.8</v>
      </c>
      <c r="S153" s="97">
        <f t="shared" si="14"/>
        <v>3681.6000000000004</v>
      </c>
    </row>
    <row r="154" spans="1:19" s="11" customFormat="1" x14ac:dyDescent="0.35">
      <c r="A154" s="93">
        <v>154</v>
      </c>
      <c r="B154" s="93" t="s">
        <v>431</v>
      </c>
      <c r="C154" s="94">
        <v>43477</v>
      </c>
      <c r="D154" s="95">
        <v>599</v>
      </c>
      <c r="E154" s="95" t="s">
        <v>468</v>
      </c>
      <c r="F154" s="95" t="s">
        <v>464</v>
      </c>
      <c r="G154" s="95" t="s">
        <v>22</v>
      </c>
      <c r="H154" s="95" t="s">
        <v>475</v>
      </c>
      <c r="I154" s="116" t="s">
        <v>23</v>
      </c>
      <c r="J154" s="95">
        <v>4011</v>
      </c>
      <c r="K154" s="97">
        <f>77765.64+23362.52</f>
        <v>101128.16</v>
      </c>
      <c r="L154" s="98"/>
      <c r="M154" s="97">
        <f t="shared" si="10"/>
        <v>101128.16</v>
      </c>
      <c r="N154" s="95"/>
      <c r="O154" s="98">
        <v>0.28000000000000003</v>
      </c>
      <c r="P154" s="95" t="str">
        <f t="shared" si="11"/>
        <v>0</v>
      </c>
      <c r="Q154" s="97">
        <f t="shared" si="12"/>
        <v>14157.942400000002</v>
      </c>
      <c r="R154" s="97">
        <f t="shared" si="13"/>
        <v>14157.942400000002</v>
      </c>
      <c r="S154" s="97">
        <f t="shared" si="14"/>
        <v>129444.0448</v>
      </c>
    </row>
    <row r="155" spans="1:19" s="11" customFormat="1" x14ac:dyDescent="0.35">
      <c r="A155" s="93">
        <v>155</v>
      </c>
      <c r="B155" s="93" t="s">
        <v>431</v>
      </c>
      <c r="C155" s="94">
        <v>43477</v>
      </c>
      <c r="D155" s="95">
        <v>599</v>
      </c>
      <c r="E155" s="95" t="s">
        <v>468</v>
      </c>
      <c r="F155" s="95" t="s">
        <v>464</v>
      </c>
      <c r="G155" s="95" t="s">
        <v>22</v>
      </c>
      <c r="H155" s="95" t="s">
        <v>475</v>
      </c>
      <c r="I155" s="116" t="s">
        <v>23</v>
      </c>
      <c r="J155" s="95">
        <v>4012</v>
      </c>
      <c r="K155" s="97">
        <f>2689.86+1023.72</f>
        <v>3713.58</v>
      </c>
      <c r="L155" s="98"/>
      <c r="M155" s="97">
        <f t="shared" si="10"/>
        <v>3713.58</v>
      </c>
      <c r="N155" s="95"/>
      <c r="O155" s="98">
        <v>0.18</v>
      </c>
      <c r="P155" s="95" t="str">
        <f t="shared" si="11"/>
        <v>0</v>
      </c>
      <c r="Q155" s="97">
        <f t="shared" si="12"/>
        <v>334.22219999999999</v>
      </c>
      <c r="R155" s="97">
        <f t="shared" si="13"/>
        <v>334.22219999999999</v>
      </c>
      <c r="S155" s="97">
        <f t="shared" si="14"/>
        <v>4382.0244000000002</v>
      </c>
    </row>
    <row r="156" spans="1:19" s="11" customFormat="1" x14ac:dyDescent="0.35">
      <c r="A156" s="93">
        <v>156</v>
      </c>
      <c r="B156" s="93" t="s">
        <v>431</v>
      </c>
      <c r="C156" s="94">
        <v>43477</v>
      </c>
      <c r="D156" s="95">
        <v>599</v>
      </c>
      <c r="E156" s="95" t="s">
        <v>468</v>
      </c>
      <c r="F156" s="95" t="s">
        <v>464</v>
      </c>
      <c r="G156" s="95" t="s">
        <v>22</v>
      </c>
      <c r="H156" s="95" t="s">
        <v>475</v>
      </c>
      <c r="I156" s="116" t="s">
        <v>23</v>
      </c>
      <c r="J156" s="95">
        <v>4013</v>
      </c>
      <c r="K156" s="97">
        <f>7962.72+2277.96</f>
        <v>10240.68</v>
      </c>
      <c r="L156" s="98"/>
      <c r="M156" s="97">
        <f t="shared" si="10"/>
        <v>10240.68</v>
      </c>
      <c r="N156" s="95"/>
      <c r="O156" s="98">
        <v>0.18</v>
      </c>
      <c r="P156" s="95" t="str">
        <f t="shared" si="11"/>
        <v>0</v>
      </c>
      <c r="Q156" s="97">
        <f t="shared" si="12"/>
        <v>921.66120000000001</v>
      </c>
      <c r="R156" s="97">
        <f t="shared" si="13"/>
        <v>921.66120000000001</v>
      </c>
      <c r="S156" s="97">
        <f t="shared" si="14"/>
        <v>12084.002400000001</v>
      </c>
    </row>
    <row r="157" spans="1:19" s="11" customFormat="1" x14ac:dyDescent="0.35">
      <c r="A157" s="93">
        <v>157</v>
      </c>
      <c r="B157" s="93" t="s">
        <v>431</v>
      </c>
      <c r="C157" s="94">
        <v>43477</v>
      </c>
      <c r="D157" s="95" t="s">
        <v>64</v>
      </c>
      <c r="E157" s="95" t="s">
        <v>468</v>
      </c>
      <c r="F157" s="95" t="s">
        <v>464</v>
      </c>
      <c r="G157" s="95" t="s">
        <v>15</v>
      </c>
      <c r="H157" s="95" t="s">
        <v>475</v>
      </c>
      <c r="I157" s="116" t="s">
        <v>16</v>
      </c>
      <c r="J157" s="95">
        <v>87089900</v>
      </c>
      <c r="K157" s="97">
        <f>15292.19+2088.28+2674.22+323.44+1100.78+3250+1703.12</f>
        <v>26432.03</v>
      </c>
      <c r="L157" s="98"/>
      <c r="M157" s="97">
        <f t="shared" si="10"/>
        <v>26432.03</v>
      </c>
      <c r="N157" s="95"/>
      <c r="O157" s="98">
        <v>0.28000000000000003</v>
      </c>
      <c r="P157" s="95" t="str">
        <f t="shared" si="11"/>
        <v>0</v>
      </c>
      <c r="Q157" s="97">
        <f t="shared" si="12"/>
        <v>3700.4842000000003</v>
      </c>
      <c r="R157" s="97">
        <f t="shared" si="13"/>
        <v>3700.4842000000003</v>
      </c>
      <c r="S157" s="97">
        <f t="shared" si="14"/>
        <v>33832.998399999997</v>
      </c>
    </row>
    <row r="158" spans="1:19" s="11" customFormat="1" x14ac:dyDescent="0.35">
      <c r="A158" s="93">
        <v>158</v>
      </c>
      <c r="B158" s="93" t="s">
        <v>431</v>
      </c>
      <c r="C158" s="94">
        <v>43477</v>
      </c>
      <c r="D158" s="95" t="s">
        <v>64</v>
      </c>
      <c r="E158" s="95" t="s">
        <v>468</v>
      </c>
      <c r="F158" s="95" t="s">
        <v>464</v>
      </c>
      <c r="G158" s="95" t="s">
        <v>15</v>
      </c>
      <c r="H158" s="95" t="s">
        <v>475</v>
      </c>
      <c r="I158" s="116" t="s">
        <v>16</v>
      </c>
      <c r="J158" s="95">
        <v>84835090</v>
      </c>
      <c r="K158" s="97">
        <v>9822.66</v>
      </c>
      <c r="L158" s="98"/>
      <c r="M158" s="97">
        <f t="shared" si="10"/>
        <v>9822.66</v>
      </c>
      <c r="N158" s="95"/>
      <c r="O158" s="98">
        <v>0.18</v>
      </c>
      <c r="P158" s="95" t="str">
        <f t="shared" si="11"/>
        <v>0</v>
      </c>
      <c r="Q158" s="97">
        <f t="shared" si="12"/>
        <v>884.0394</v>
      </c>
      <c r="R158" s="97">
        <f t="shared" si="13"/>
        <v>884.0394</v>
      </c>
      <c r="S158" s="97">
        <f t="shared" si="14"/>
        <v>11590.738799999999</v>
      </c>
    </row>
    <row r="159" spans="1:19" s="11" customFormat="1" x14ac:dyDescent="0.35">
      <c r="A159" s="93">
        <v>159</v>
      </c>
      <c r="B159" s="93" t="s">
        <v>431</v>
      </c>
      <c r="C159" s="94">
        <v>43477</v>
      </c>
      <c r="D159" s="95" t="s">
        <v>64</v>
      </c>
      <c r="E159" s="95" t="s">
        <v>468</v>
      </c>
      <c r="F159" s="95" t="s">
        <v>464</v>
      </c>
      <c r="G159" s="95" t="s">
        <v>15</v>
      </c>
      <c r="H159" s="95" t="s">
        <v>475</v>
      </c>
      <c r="I159" s="116" t="s">
        <v>16</v>
      </c>
      <c r="J159" s="95">
        <v>39269099</v>
      </c>
      <c r="K159" s="97">
        <f>177.9+35.58</f>
        <v>213.48000000000002</v>
      </c>
      <c r="L159" s="98"/>
      <c r="M159" s="97">
        <f t="shared" si="10"/>
        <v>213.48000000000002</v>
      </c>
      <c r="N159" s="95"/>
      <c r="O159" s="98">
        <v>0.18</v>
      </c>
      <c r="P159" s="95" t="str">
        <f t="shared" si="11"/>
        <v>0</v>
      </c>
      <c r="Q159" s="97">
        <f t="shared" si="12"/>
        <v>19.213200000000001</v>
      </c>
      <c r="R159" s="97">
        <f t="shared" si="13"/>
        <v>19.213200000000001</v>
      </c>
      <c r="S159" s="97">
        <f t="shared" si="14"/>
        <v>251.90640000000002</v>
      </c>
    </row>
    <row r="160" spans="1:19" s="11" customFormat="1" x14ac:dyDescent="0.35">
      <c r="A160" s="93">
        <v>160</v>
      </c>
      <c r="B160" s="93" t="s">
        <v>431</v>
      </c>
      <c r="C160" s="94">
        <v>43477</v>
      </c>
      <c r="D160" s="95" t="s">
        <v>64</v>
      </c>
      <c r="E160" s="95" t="s">
        <v>468</v>
      </c>
      <c r="F160" s="95" t="s">
        <v>464</v>
      </c>
      <c r="G160" s="95" t="s">
        <v>15</v>
      </c>
      <c r="H160" s="95" t="s">
        <v>475</v>
      </c>
      <c r="I160" s="116" t="s">
        <v>16</v>
      </c>
      <c r="J160" s="95">
        <v>84821011</v>
      </c>
      <c r="K160" s="97">
        <v>144.91999999999999</v>
      </c>
      <c r="L160" s="98"/>
      <c r="M160" s="97">
        <f t="shared" si="10"/>
        <v>144.91999999999999</v>
      </c>
      <c r="N160" s="95"/>
      <c r="O160" s="98">
        <v>0.18</v>
      </c>
      <c r="P160" s="95" t="str">
        <f t="shared" si="11"/>
        <v>0</v>
      </c>
      <c r="Q160" s="97">
        <f t="shared" si="12"/>
        <v>13.042799999999998</v>
      </c>
      <c r="R160" s="97">
        <f t="shared" si="13"/>
        <v>13.042799999999998</v>
      </c>
      <c r="S160" s="97">
        <f t="shared" si="14"/>
        <v>171.00559999999999</v>
      </c>
    </row>
    <row r="161" spans="1:19" s="11" customFormat="1" x14ac:dyDescent="0.35">
      <c r="A161" s="93">
        <v>161</v>
      </c>
      <c r="B161" s="93" t="s">
        <v>431</v>
      </c>
      <c r="C161" s="94">
        <v>43477</v>
      </c>
      <c r="D161" s="95" t="s">
        <v>64</v>
      </c>
      <c r="E161" s="95" t="s">
        <v>468</v>
      </c>
      <c r="F161" s="95" t="s">
        <v>464</v>
      </c>
      <c r="G161" s="95" t="s">
        <v>15</v>
      </c>
      <c r="H161" s="95" t="s">
        <v>475</v>
      </c>
      <c r="I161" s="116" t="s">
        <v>16</v>
      </c>
      <c r="J161" s="95">
        <v>87083000</v>
      </c>
      <c r="K161" s="97">
        <v>4638.28</v>
      </c>
      <c r="L161" s="98"/>
      <c r="M161" s="97">
        <f t="shared" si="10"/>
        <v>4638.28</v>
      </c>
      <c r="N161" s="95"/>
      <c r="O161" s="98">
        <v>0.28000000000000003</v>
      </c>
      <c r="P161" s="95" t="str">
        <f t="shared" si="11"/>
        <v>0</v>
      </c>
      <c r="Q161" s="97">
        <f t="shared" si="12"/>
        <v>649.35919999999999</v>
      </c>
      <c r="R161" s="97">
        <f t="shared" si="13"/>
        <v>649.35919999999999</v>
      </c>
      <c r="S161" s="97">
        <f t="shared" si="14"/>
        <v>5936.9983999999995</v>
      </c>
    </row>
    <row r="162" spans="1:19" s="11" customFormat="1" x14ac:dyDescent="0.35">
      <c r="A162" s="93">
        <v>162</v>
      </c>
      <c r="B162" s="93" t="s">
        <v>431</v>
      </c>
      <c r="C162" s="94">
        <v>43477</v>
      </c>
      <c r="D162" s="95" t="s">
        <v>64</v>
      </c>
      <c r="E162" s="95" t="s">
        <v>468</v>
      </c>
      <c r="F162" s="95" t="s">
        <v>464</v>
      </c>
      <c r="G162" s="95" t="s">
        <v>15</v>
      </c>
      <c r="H162" s="95" t="s">
        <v>475</v>
      </c>
      <c r="I162" s="116" t="s">
        <v>16</v>
      </c>
      <c r="J162" s="95">
        <v>38190010</v>
      </c>
      <c r="K162" s="97">
        <f>111.5+111.5</f>
        <v>223</v>
      </c>
      <c r="L162" s="98"/>
      <c r="M162" s="97">
        <f t="shared" si="10"/>
        <v>223</v>
      </c>
      <c r="N162" s="95"/>
      <c r="O162" s="98">
        <v>0.18</v>
      </c>
      <c r="P162" s="95" t="str">
        <f t="shared" si="11"/>
        <v>0</v>
      </c>
      <c r="Q162" s="97">
        <f t="shared" si="12"/>
        <v>20.07</v>
      </c>
      <c r="R162" s="97">
        <f t="shared" si="13"/>
        <v>20.07</v>
      </c>
      <c r="S162" s="97">
        <f t="shared" si="14"/>
        <v>263.14</v>
      </c>
    </row>
    <row r="163" spans="1:19" s="11" customFormat="1" x14ac:dyDescent="0.35">
      <c r="A163" s="93">
        <v>163</v>
      </c>
      <c r="B163" s="93" t="s">
        <v>431</v>
      </c>
      <c r="C163" s="94">
        <v>43477</v>
      </c>
      <c r="D163" s="95" t="s">
        <v>64</v>
      </c>
      <c r="E163" s="95" t="s">
        <v>468</v>
      </c>
      <c r="F163" s="95" t="s">
        <v>464</v>
      </c>
      <c r="G163" s="95" t="s">
        <v>15</v>
      </c>
      <c r="H163" s="95" t="s">
        <v>475</v>
      </c>
      <c r="I163" s="116" t="s">
        <v>16</v>
      </c>
      <c r="J163" s="95">
        <v>73181600</v>
      </c>
      <c r="K163" s="97">
        <f>81.36+21.19</f>
        <v>102.55</v>
      </c>
      <c r="L163" s="98"/>
      <c r="M163" s="97">
        <f t="shared" si="10"/>
        <v>102.55</v>
      </c>
      <c r="N163" s="95"/>
      <c r="O163" s="98">
        <v>0.18</v>
      </c>
      <c r="P163" s="95" t="str">
        <f t="shared" si="11"/>
        <v>0</v>
      </c>
      <c r="Q163" s="97">
        <f t="shared" si="12"/>
        <v>9.2294999999999998</v>
      </c>
      <c r="R163" s="97">
        <f t="shared" si="13"/>
        <v>9.2294999999999998</v>
      </c>
      <c r="S163" s="97">
        <f t="shared" si="14"/>
        <v>121.009</v>
      </c>
    </row>
    <row r="164" spans="1:19" s="11" customFormat="1" x14ac:dyDescent="0.35">
      <c r="A164" s="93">
        <v>164</v>
      </c>
      <c r="B164" s="93" t="s">
        <v>431</v>
      </c>
      <c r="C164" s="94">
        <v>43477</v>
      </c>
      <c r="D164" s="95" t="s">
        <v>64</v>
      </c>
      <c r="E164" s="95" t="s">
        <v>468</v>
      </c>
      <c r="F164" s="95" t="s">
        <v>464</v>
      </c>
      <c r="G164" s="95" t="s">
        <v>15</v>
      </c>
      <c r="H164" s="95" t="s">
        <v>475</v>
      </c>
      <c r="I164" s="116" t="s">
        <v>16</v>
      </c>
      <c r="J164" s="95">
        <v>27101980</v>
      </c>
      <c r="K164" s="97">
        <v>3655.25</v>
      </c>
      <c r="L164" s="98"/>
      <c r="M164" s="97">
        <f t="shared" si="10"/>
        <v>3655.25</v>
      </c>
      <c r="N164" s="95"/>
      <c r="O164" s="98">
        <v>0.18</v>
      </c>
      <c r="P164" s="95" t="str">
        <f t="shared" si="11"/>
        <v>0</v>
      </c>
      <c r="Q164" s="97">
        <f t="shared" si="12"/>
        <v>328.97249999999997</v>
      </c>
      <c r="R164" s="97">
        <f t="shared" si="13"/>
        <v>328.97249999999997</v>
      </c>
      <c r="S164" s="97">
        <f t="shared" si="14"/>
        <v>4313.1949999999997</v>
      </c>
    </row>
    <row r="165" spans="1:19" s="11" customFormat="1" x14ac:dyDescent="0.35">
      <c r="A165" s="93">
        <v>165</v>
      </c>
      <c r="B165" s="93" t="s">
        <v>431</v>
      </c>
      <c r="C165" s="94">
        <v>43477</v>
      </c>
      <c r="D165" s="95" t="s">
        <v>64</v>
      </c>
      <c r="E165" s="95" t="s">
        <v>468</v>
      </c>
      <c r="F165" s="95" t="s">
        <v>464</v>
      </c>
      <c r="G165" s="95" t="s">
        <v>15</v>
      </c>
      <c r="H165" s="95" t="s">
        <v>475</v>
      </c>
      <c r="I165" s="116" t="s">
        <v>16</v>
      </c>
      <c r="J165" s="95">
        <v>52021000</v>
      </c>
      <c r="K165" s="97">
        <v>129.5</v>
      </c>
      <c r="L165" s="98"/>
      <c r="M165" s="97">
        <f t="shared" si="10"/>
        <v>129.5</v>
      </c>
      <c r="N165" s="95"/>
      <c r="O165" s="98">
        <v>0.05</v>
      </c>
      <c r="P165" s="95" t="str">
        <f t="shared" si="11"/>
        <v>0</v>
      </c>
      <c r="Q165" s="97">
        <f t="shared" si="12"/>
        <v>3.2375000000000003</v>
      </c>
      <c r="R165" s="97">
        <f t="shared" si="13"/>
        <v>3.2375000000000003</v>
      </c>
      <c r="S165" s="97">
        <f t="shared" si="14"/>
        <v>135.97500000000002</v>
      </c>
    </row>
    <row r="166" spans="1:19" s="11" customFormat="1" x14ac:dyDescent="0.35">
      <c r="A166" s="93">
        <v>166</v>
      </c>
      <c r="B166" s="93" t="s">
        <v>431</v>
      </c>
      <c r="C166" s="94">
        <v>43477</v>
      </c>
      <c r="D166" s="95" t="s">
        <v>64</v>
      </c>
      <c r="E166" s="95" t="s">
        <v>468</v>
      </c>
      <c r="F166" s="95" t="s">
        <v>464</v>
      </c>
      <c r="G166" s="95" t="s">
        <v>15</v>
      </c>
      <c r="H166" s="95" t="s">
        <v>475</v>
      </c>
      <c r="I166" s="116" t="s">
        <v>16</v>
      </c>
      <c r="J166" s="95">
        <v>84219900</v>
      </c>
      <c r="K166" s="97">
        <v>1795.76</v>
      </c>
      <c r="L166" s="98"/>
      <c r="M166" s="97">
        <f t="shared" si="10"/>
        <v>1795.76</v>
      </c>
      <c r="N166" s="95"/>
      <c r="O166" s="98">
        <v>0.18</v>
      </c>
      <c r="P166" s="95" t="str">
        <f t="shared" si="11"/>
        <v>0</v>
      </c>
      <c r="Q166" s="97">
        <f t="shared" si="12"/>
        <v>161.61839999999998</v>
      </c>
      <c r="R166" s="97">
        <f t="shared" si="13"/>
        <v>161.61839999999998</v>
      </c>
      <c r="S166" s="97">
        <f t="shared" si="14"/>
        <v>2118.9967999999999</v>
      </c>
    </row>
    <row r="167" spans="1:19" s="11" customFormat="1" x14ac:dyDescent="0.35">
      <c r="A167" s="93">
        <v>167</v>
      </c>
      <c r="B167" s="93" t="s">
        <v>431</v>
      </c>
      <c r="C167" s="94">
        <v>43477</v>
      </c>
      <c r="D167" s="95" t="s">
        <v>64</v>
      </c>
      <c r="E167" s="95" t="s">
        <v>468</v>
      </c>
      <c r="F167" s="95" t="s">
        <v>464</v>
      </c>
      <c r="G167" s="95" t="s">
        <v>15</v>
      </c>
      <c r="H167" s="95" t="s">
        <v>475</v>
      </c>
      <c r="I167" s="116" t="s">
        <v>16</v>
      </c>
      <c r="J167" s="95">
        <v>73181500</v>
      </c>
      <c r="K167" s="97">
        <f>144.07+99.15</f>
        <v>243.22</v>
      </c>
      <c r="L167" s="98"/>
      <c r="M167" s="97">
        <f t="shared" si="10"/>
        <v>243.22</v>
      </c>
      <c r="N167" s="95"/>
      <c r="O167" s="98">
        <v>0.18</v>
      </c>
      <c r="P167" s="95" t="str">
        <f t="shared" si="11"/>
        <v>0</v>
      </c>
      <c r="Q167" s="97">
        <f t="shared" si="12"/>
        <v>21.889799999999997</v>
      </c>
      <c r="R167" s="97">
        <f t="shared" si="13"/>
        <v>21.889799999999997</v>
      </c>
      <c r="S167" s="97">
        <f t="shared" si="14"/>
        <v>286.99959999999999</v>
      </c>
    </row>
    <row r="168" spans="1:19" s="11" customFormat="1" x14ac:dyDescent="0.35">
      <c r="A168" s="93">
        <v>168</v>
      </c>
      <c r="B168" s="93" t="s">
        <v>431</v>
      </c>
      <c r="C168" s="94">
        <v>43477</v>
      </c>
      <c r="D168" s="95" t="s">
        <v>64</v>
      </c>
      <c r="E168" s="95" t="s">
        <v>468</v>
      </c>
      <c r="F168" s="95" t="s">
        <v>464</v>
      </c>
      <c r="G168" s="95" t="s">
        <v>15</v>
      </c>
      <c r="H168" s="95" t="s">
        <v>475</v>
      </c>
      <c r="I168" s="116" t="s">
        <v>16</v>
      </c>
      <c r="J168" s="95">
        <v>40169330</v>
      </c>
      <c r="K168" s="97">
        <f>542.38</f>
        <v>542.38</v>
      </c>
      <c r="L168" s="98"/>
      <c r="M168" s="97">
        <f t="shared" si="10"/>
        <v>542.38</v>
      </c>
      <c r="N168" s="95"/>
      <c r="O168" s="98">
        <v>0.18</v>
      </c>
      <c r="P168" s="95" t="str">
        <f t="shared" si="11"/>
        <v>0</v>
      </c>
      <c r="Q168" s="97">
        <f t="shared" si="12"/>
        <v>48.8142</v>
      </c>
      <c r="R168" s="97">
        <f t="shared" si="13"/>
        <v>48.8142</v>
      </c>
      <c r="S168" s="97">
        <f t="shared" si="14"/>
        <v>640.00840000000005</v>
      </c>
    </row>
    <row r="169" spans="1:19" s="11" customFormat="1" x14ac:dyDescent="0.35">
      <c r="A169" s="93">
        <v>169</v>
      </c>
      <c r="B169" s="93" t="s">
        <v>431</v>
      </c>
      <c r="C169" s="94">
        <v>43477</v>
      </c>
      <c r="D169" s="95" t="s">
        <v>64</v>
      </c>
      <c r="E169" s="95" t="s">
        <v>468</v>
      </c>
      <c r="F169" s="95" t="s">
        <v>464</v>
      </c>
      <c r="G169" s="95" t="s">
        <v>15</v>
      </c>
      <c r="H169" s="95" t="s">
        <v>475</v>
      </c>
      <c r="I169" s="116" t="s">
        <v>16</v>
      </c>
      <c r="J169" s="95">
        <v>48239030</v>
      </c>
      <c r="K169" s="97">
        <v>35.58</v>
      </c>
      <c r="L169" s="98"/>
      <c r="M169" s="97">
        <f t="shared" si="10"/>
        <v>35.58</v>
      </c>
      <c r="N169" s="95"/>
      <c r="O169" s="98">
        <v>0.18</v>
      </c>
      <c r="P169" s="95" t="str">
        <f t="shared" si="11"/>
        <v>0</v>
      </c>
      <c r="Q169" s="97">
        <f t="shared" si="12"/>
        <v>3.2021999999999999</v>
      </c>
      <c r="R169" s="97">
        <f t="shared" si="13"/>
        <v>3.2021999999999999</v>
      </c>
      <c r="S169" s="97">
        <f t="shared" si="14"/>
        <v>41.984399999999994</v>
      </c>
    </row>
    <row r="170" spans="1:19" s="11" customFormat="1" x14ac:dyDescent="0.35">
      <c r="A170" s="93">
        <v>170</v>
      </c>
      <c r="B170" s="93" t="s">
        <v>431</v>
      </c>
      <c r="C170" s="94">
        <v>43477</v>
      </c>
      <c r="D170" s="95" t="s">
        <v>64</v>
      </c>
      <c r="E170" s="95" t="s">
        <v>468</v>
      </c>
      <c r="F170" s="95" t="s">
        <v>464</v>
      </c>
      <c r="G170" s="95" t="s">
        <v>15</v>
      </c>
      <c r="H170" s="95" t="s">
        <v>475</v>
      </c>
      <c r="I170" s="116" t="s">
        <v>16</v>
      </c>
      <c r="J170" s="95">
        <v>40169390</v>
      </c>
      <c r="K170" s="97">
        <v>1196.5999999999999</v>
      </c>
      <c r="L170" s="98"/>
      <c r="M170" s="97">
        <f t="shared" si="10"/>
        <v>1196.5999999999999</v>
      </c>
      <c r="N170" s="95"/>
      <c r="O170" s="98">
        <v>0.18</v>
      </c>
      <c r="P170" s="95" t="str">
        <f t="shared" si="11"/>
        <v>0</v>
      </c>
      <c r="Q170" s="97">
        <f t="shared" si="12"/>
        <v>107.69399999999999</v>
      </c>
      <c r="R170" s="97">
        <f t="shared" si="13"/>
        <v>107.69399999999999</v>
      </c>
      <c r="S170" s="97">
        <f t="shared" si="14"/>
        <v>1411.9879999999998</v>
      </c>
    </row>
    <row r="171" spans="1:19" s="11" customFormat="1" x14ac:dyDescent="0.35">
      <c r="A171" s="93">
        <v>171</v>
      </c>
      <c r="B171" s="93" t="s">
        <v>431</v>
      </c>
      <c r="C171" s="94">
        <v>43477</v>
      </c>
      <c r="D171" s="95" t="s">
        <v>64</v>
      </c>
      <c r="E171" s="95" t="s">
        <v>468</v>
      </c>
      <c r="F171" s="95" t="s">
        <v>464</v>
      </c>
      <c r="G171" s="95" t="s">
        <v>15</v>
      </c>
      <c r="H171" s="95" t="s">
        <v>475</v>
      </c>
      <c r="I171" s="116" t="s">
        <v>16</v>
      </c>
      <c r="J171" s="95">
        <v>40161000</v>
      </c>
      <c r="K171" s="97">
        <v>1152.5999999999999</v>
      </c>
      <c r="L171" s="98"/>
      <c r="M171" s="97">
        <f t="shared" si="10"/>
        <v>1152.5999999999999</v>
      </c>
      <c r="N171" s="95"/>
      <c r="O171" s="98">
        <v>0.18</v>
      </c>
      <c r="P171" s="95" t="str">
        <f t="shared" si="11"/>
        <v>0</v>
      </c>
      <c r="Q171" s="97">
        <f t="shared" si="12"/>
        <v>103.73399999999999</v>
      </c>
      <c r="R171" s="97">
        <f t="shared" si="13"/>
        <v>103.73399999999999</v>
      </c>
      <c r="S171" s="97">
        <f t="shared" si="14"/>
        <v>1360.0679999999998</v>
      </c>
    </row>
    <row r="172" spans="1:19" s="11" customFormat="1" x14ac:dyDescent="0.35">
      <c r="A172" s="93">
        <v>172</v>
      </c>
      <c r="B172" s="93" t="s">
        <v>431</v>
      </c>
      <c r="C172" s="94">
        <v>43477</v>
      </c>
      <c r="D172" s="95" t="s">
        <v>64</v>
      </c>
      <c r="E172" s="95" t="s">
        <v>468</v>
      </c>
      <c r="F172" s="95" t="s">
        <v>464</v>
      </c>
      <c r="G172" s="95" t="s">
        <v>15</v>
      </c>
      <c r="H172" s="95" t="s">
        <v>475</v>
      </c>
      <c r="I172" s="116" t="s">
        <v>16</v>
      </c>
      <c r="J172" s="95">
        <v>68052010</v>
      </c>
      <c r="K172" s="97">
        <v>29.66</v>
      </c>
      <c r="L172" s="98"/>
      <c r="M172" s="97">
        <f t="shared" si="10"/>
        <v>29.66</v>
      </c>
      <c r="N172" s="95"/>
      <c r="O172" s="98">
        <v>0.18</v>
      </c>
      <c r="P172" s="95" t="str">
        <f t="shared" si="11"/>
        <v>0</v>
      </c>
      <c r="Q172" s="97">
        <f t="shared" si="12"/>
        <v>2.6694</v>
      </c>
      <c r="R172" s="97">
        <f t="shared" si="13"/>
        <v>2.6694</v>
      </c>
      <c r="S172" s="97">
        <f t="shared" si="14"/>
        <v>34.998800000000003</v>
      </c>
    </row>
    <row r="173" spans="1:19" s="11" customFormat="1" x14ac:dyDescent="0.35">
      <c r="A173" s="93">
        <v>173</v>
      </c>
      <c r="B173" s="93" t="s">
        <v>431</v>
      </c>
      <c r="C173" s="94">
        <v>43477</v>
      </c>
      <c r="D173" s="95" t="s">
        <v>64</v>
      </c>
      <c r="E173" s="95" t="s">
        <v>468</v>
      </c>
      <c r="F173" s="95" t="s">
        <v>464</v>
      </c>
      <c r="G173" s="95" t="s">
        <v>15</v>
      </c>
      <c r="H173" s="95" t="s">
        <v>475</v>
      </c>
      <c r="I173" s="116" t="s">
        <v>16</v>
      </c>
      <c r="J173" s="95">
        <v>85122010</v>
      </c>
      <c r="K173" s="97">
        <v>190.68</v>
      </c>
      <c r="L173" s="98"/>
      <c r="M173" s="97">
        <f t="shared" si="10"/>
        <v>190.68</v>
      </c>
      <c r="N173" s="95"/>
      <c r="O173" s="98">
        <v>0.18</v>
      </c>
      <c r="P173" s="95" t="str">
        <f t="shared" si="11"/>
        <v>0</v>
      </c>
      <c r="Q173" s="97">
        <f t="shared" si="12"/>
        <v>17.161200000000001</v>
      </c>
      <c r="R173" s="97">
        <f t="shared" si="13"/>
        <v>17.161200000000001</v>
      </c>
      <c r="S173" s="97">
        <f t="shared" si="14"/>
        <v>225.00240000000002</v>
      </c>
    </row>
    <row r="174" spans="1:19" s="11" customFormat="1" x14ac:dyDescent="0.35">
      <c r="A174" s="93">
        <v>174</v>
      </c>
      <c r="B174" s="93" t="s">
        <v>431</v>
      </c>
      <c r="C174" s="94">
        <v>43477</v>
      </c>
      <c r="D174" s="95" t="s">
        <v>64</v>
      </c>
      <c r="E174" s="95" t="s">
        <v>468</v>
      </c>
      <c r="F174" s="95" t="s">
        <v>464</v>
      </c>
      <c r="G174" s="95" t="s">
        <v>15</v>
      </c>
      <c r="H174" s="95" t="s">
        <v>475</v>
      </c>
      <c r="I174" s="116" t="s">
        <v>16</v>
      </c>
      <c r="J174" s="95">
        <v>68138100</v>
      </c>
      <c r="K174" s="97">
        <v>11430.51</v>
      </c>
      <c r="L174" s="98"/>
      <c r="M174" s="97">
        <f t="shared" si="10"/>
        <v>11430.51</v>
      </c>
      <c r="N174" s="95"/>
      <c r="O174" s="98">
        <v>0.18</v>
      </c>
      <c r="P174" s="95" t="str">
        <f t="shared" si="11"/>
        <v>0</v>
      </c>
      <c r="Q174" s="97">
        <f t="shared" si="12"/>
        <v>1028.7458999999999</v>
      </c>
      <c r="R174" s="97">
        <f t="shared" si="13"/>
        <v>1028.7458999999999</v>
      </c>
      <c r="S174" s="97">
        <f t="shared" si="14"/>
        <v>13488.0018</v>
      </c>
    </row>
    <row r="175" spans="1:19" s="11" customFormat="1" x14ac:dyDescent="0.35">
      <c r="A175" s="93">
        <v>175</v>
      </c>
      <c r="B175" s="93" t="s">
        <v>431</v>
      </c>
      <c r="C175" s="94">
        <v>43477</v>
      </c>
      <c r="D175" s="95" t="s">
        <v>64</v>
      </c>
      <c r="E175" s="95" t="s">
        <v>468</v>
      </c>
      <c r="F175" s="95" t="s">
        <v>464</v>
      </c>
      <c r="G175" s="95" t="s">
        <v>15</v>
      </c>
      <c r="H175" s="95" t="s">
        <v>475</v>
      </c>
      <c r="I175" s="116" t="s">
        <v>16</v>
      </c>
      <c r="J175" s="95">
        <v>35069999</v>
      </c>
      <c r="K175" s="97">
        <v>440.64</v>
      </c>
      <c r="L175" s="98"/>
      <c r="M175" s="97">
        <f t="shared" si="10"/>
        <v>440.64</v>
      </c>
      <c r="N175" s="95"/>
      <c r="O175" s="98">
        <v>0.18</v>
      </c>
      <c r="P175" s="95" t="str">
        <f t="shared" si="11"/>
        <v>0</v>
      </c>
      <c r="Q175" s="97">
        <f t="shared" si="12"/>
        <v>39.657599999999995</v>
      </c>
      <c r="R175" s="97">
        <f t="shared" si="13"/>
        <v>39.657599999999995</v>
      </c>
      <c r="S175" s="97">
        <f t="shared" si="14"/>
        <v>519.95519999999999</v>
      </c>
    </row>
    <row r="176" spans="1:19" s="11" customFormat="1" x14ac:dyDescent="0.35">
      <c r="A176" s="93">
        <v>176</v>
      </c>
      <c r="B176" s="93" t="s">
        <v>431</v>
      </c>
      <c r="C176" s="94">
        <v>43477</v>
      </c>
      <c r="D176" s="95" t="s">
        <v>64</v>
      </c>
      <c r="E176" s="95" t="s">
        <v>468</v>
      </c>
      <c r="F176" s="95" t="s">
        <v>464</v>
      </c>
      <c r="G176" s="95" t="s">
        <v>15</v>
      </c>
      <c r="H176" s="95" t="s">
        <v>475</v>
      </c>
      <c r="I176" s="116" t="s">
        <v>16</v>
      </c>
      <c r="J176" s="95">
        <v>27101990</v>
      </c>
      <c r="K176" s="97">
        <v>966.1</v>
      </c>
      <c r="L176" s="98"/>
      <c r="M176" s="97">
        <f t="shared" si="10"/>
        <v>966.1</v>
      </c>
      <c r="N176" s="95"/>
      <c r="O176" s="98">
        <v>0.18</v>
      </c>
      <c r="P176" s="95" t="str">
        <f t="shared" si="11"/>
        <v>0</v>
      </c>
      <c r="Q176" s="97">
        <f t="shared" si="12"/>
        <v>86.948999999999998</v>
      </c>
      <c r="R176" s="97">
        <f t="shared" si="13"/>
        <v>86.948999999999998</v>
      </c>
      <c r="S176" s="97">
        <f t="shared" si="14"/>
        <v>1139.998</v>
      </c>
    </row>
    <row r="177" spans="1:20" s="11" customFormat="1" x14ac:dyDescent="0.35">
      <c r="A177" s="93">
        <v>177</v>
      </c>
      <c r="B177" s="93" t="s">
        <v>431</v>
      </c>
      <c r="C177" s="94">
        <v>43477</v>
      </c>
      <c r="D177" s="95" t="s">
        <v>64</v>
      </c>
      <c r="E177" s="95" t="s">
        <v>468</v>
      </c>
      <c r="F177" s="95" t="s">
        <v>464</v>
      </c>
      <c r="G177" s="95" t="s">
        <v>15</v>
      </c>
      <c r="H177" s="95" t="s">
        <v>475</v>
      </c>
      <c r="I177" s="116" t="s">
        <v>16</v>
      </c>
      <c r="J177" s="95">
        <v>998714</v>
      </c>
      <c r="K177" s="97">
        <f>638+638+638+638+488+6188+2625+2063+2063+1650</f>
        <v>17629</v>
      </c>
      <c r="L177" s="98"/>
      <c r="M177" s="97">
        <f t="shared" si="10"/>
        <v>17629</v>
      </c>
      <c r="N177" s="95"/>
      <c r="O177" s="98">
        <v>0.18</v>
      </c>
      <c r="P177" s="95" t="str">
        <f t="shared" si="11"/>
        <v>0</v>
      </c>
      <c r="Q177" s="97">
        <f t="shared" si="12"/>
        <v>1586.61</v>
      </c>
      <c r="R177" s="97">
        <f t="shared" si="13"/>
        <v>1586.61</v>
      </c>
      <c r="S177" s="97">
        <f t="shared" si="14"/>
        <v>20802.22</v>
      </c>
      <c r="T177" s="38"/>
    </row>
    <row r="178" spans="1:20" s="11" customFormat="1" x14ac:dyDescent="0.35">
      <c r="A178" s="93">
        <v>178</v>
      </c>
      <c r="B178" s="93" t="s">
        <v>431</v>
      </c>
      <c r="C178" s="94">
        <v>43477</v>
      </c>
      <c r="D178" s="95" t="s">
        <v>65</v>
      </c>
      <c r="E178" s="95" t="s">
        <v>468</v>
      </c>
      <c r="F178" s="95" t="s">
        <v>464</v>
      </c>
      <c r="G178" s="95" t="s">
        <v>15</v>
      </c>
      <c r="H178" s="95" t="s">
        <v>475</v>
      </c>
      <c r="I178" s="116" t="s">
        <v>16</v>
      </c>
      <c r="J178" s="95">
        <v>73201020</v>
      </c>
      <c r="K178" s="97">
        <v>6715.25</v>
      </c>
      <c r="L178" s="98"/>
      <c r="M178" s="97">
        <f t="shared" si="10"/>
        <v>6715.25</v>
      </c>
      <c r="N178" s="95"/>
      <c r="O178" s="98">
        <v>0.18</v>
      </c>
      <c r="P178" s="95" t="str">
        <f t="shared" si="11"/>
        <v>0</v>
      </c>
      <c r="Q178" s="97">
        <f t="shared" si="12"/>
        <v>604.37249999999995</v>
      </c>
      <c r="R178" s="97">
        <f t="shared" si="13"/>
        <v>604.37249999999995</v>
      </c>
      <c r="S178" s="97">
        <f t="shared" si="14"/>
        <v>7923.994999999999</v>
      </c>
    </row>
    <row r="179" spans="1:20" s="11" customFormat="1" x14ac:dyDescent="0.35">
      <c r="A179" s="93">
        <v>179</v>
      </c>
      <c r="B179" s="93" t="s">
        <v>431</v>
      </c>
      <c r="C179" s="94">
        <v>43477</v>
      </c>
      <c r="D179" s="95" t="s">
        <v>65</v>
      </c>
      <c r="E179" s="95" t="s">
        <v>468</v>
      </c>
      <c r="F179" s="95" t="s">
        <v>464</v>
      </c>
      <c r="G179" s="95" t="s">
        <v>15</v>
      </c>
      <c r="H179" s="95" t="s">
        <v>475</v>
      </c>
      <c r="I179" s="116" t="s">
        <v>16</v>
      </c>
      <c r="J179" s="95">
        <v>87088000</v>
      </c>
      <c r="K179" s="97">
        <v>154.69</v>
      </c>
      <c r="L179" s="98"/>
      <c r="M179" s="97">
        <f t="shared" si="10"/>
        <v>154.69</v>
      </c>
      <c r="N179" s="95"/>
      <c r="O179" s="98">
        <v>0.28000000000000003</v>
      </c>
      <c r="P179" s="95" t="str">
        <f t="shared" si="11"/>
        <v>0</v>
      </c>
      <c r="Q179" s="97">
        <f t="shared" si="12"/>
        <v>21.656600000000001</v>
      </c>
      <c r="R179" s="97">
        <f t="shared" si="13"/>
        <v>21.656600000000001</v>
      </c>
      <c r="S179" s="97">
        <f t="shared" si="14"/>
        <v>198.00319999999999</v>
      </c>
    </row>
    <row r="180" spans="1:20" s="11" customFormat="1" x14ac:dyDescent="0.35">
      <c r="A180" s="93">
        <v>180</v>
      </c>
      <c r="B180" s="93" t="s">
        <v>431</v>
      </c>
      <c r="C180" s="94">
        <v>43477</v>
      </c>
      <c r="D180" s="95" t="s">
        <v>65</v>
      </c>
      <c r="E180" s="95" t="s">
        <v>468</v>
      </c>
      <c r="F180" s="95" t="s">
        <v>464</v>
      </c>
      <c r="G180" s="95" t="s">
        <v>15</v>
      </c>
      <c r="H180" s="95" t="s">
        <v>475</v>
      </c>
      <c r="I180" s="116" t="s">
        <v>16</v>
      </c>
      <c r="J180" s="95">
        <v>52021000</v>
      </c>
      <c r="K180" s="97">
        <v>18.5</v>
      </c>
      <c r="L180" s="98"/>
      <c r="M180" s="97">
        <f t="shared" si="10"/>
        <v>18.5</v>
      </c>
      <c r="N180" s="95"/>
      <c r="O180" s="98">
        <v>0.05</v>
      </c>
      <c r="P180" s="95" t="str">
        <f t="shared" si="11"/>
        <v>0</v>
      </c>
      <c r="Q180" s="97">
        <f t="shared" si="12"/>
        <v>0.46250000000000002</v>
      </c>
      <c r="R180" s="97">
        <f t="shared" si="13"/>
        <v>0.46250000000000002</v>
      </c>
      <c r="S180" s="97">
        <f t="shared" si="14"/>
        <v>19.424999999999997</v>
      </c>
    </row>
    <row r="181" spans="1:20" s="11" customFormat="1" x14ac:dyDescent="0.35">
      <c r="A181" s="93">
        <v>181</v>
      </c>
      <c r="B181" s="93" t="s">
        <v>431</v>
      </c>
      <c r="C181" s="94">
        <v>43477</v>
      </c>
      <c r="D181" s="95" t="s">
        <v>65</v>
      </c>
      <c r="E181" s="95" t="s">
        <v>468</v>
      </c>
      <c r="F181" s="95" t="s">
        <v>464</v>
      </c>
      <c r="G181" s="95" t="s">
        <v>15</v>
      </c>
      <c r="H181" s="95" t="s">
        <v>475</v>
      </c>
      <c r="I181" s="116" t="s">
        <v>16</v>
      </c>
      <c r="J181" s="95">
        <v>998714</v>
      </c>
      <c r="K181" s="97">
        <f>938+350</f>
        <v>1288</v>
      </c>
      <c r="L181" s="98"/>
      <c r="M181" s="97">
        <f t="shared" si="10"/>
        <v>1288</v>
      </c>
      <c r="N181" s="95"/>
      <c r="O181" s="98">
        <v>0.18</v>
      </c>
      <c r="P181" s="95" t="str">
        <f t="shared" si="11"/>
        <v>0</v>
      </c>
      <c r="Q181" s="97">
        <f t="shared" si="12"/>
        <v>115.92</v>
      </c>
      <c r="R181" s="97">
        <f t="shared" si="13"/>
        <v>115.92</v>
      </c>
      <c r="S181" s="97">
        <f t="shared" si="14"/>
        <v>1519.8400000000001</v>
      </c>
    </row>
    <row r="182" spans="1:20" s="11" customFormat="1" x14ac:dyDescent="0.35">
      <c r="A182" s="93">
        <v>182</v>
      </c>
      <c r="B182" s="93" t="s">
        <v>431</v>
      </c>
      <c r="C182" s="94">
        <v>43477</v>
      </c>
      <c r="D182" s="95">
        <v>458</v>
      </c>
      <c r="E182" s="95" t="s">
        <v>468</v>
      </c>
      <c r="F182" s="95" t="s">
        <v>464</v>
      </c>
      <c r="G182" s="95" t="s">
        <v>32</v>
      </c>
      <c r="H182" s="95" t="s">
        <v>475</v>
      </c>
      <c r="I182" s="116" t="s">
        <v>25</v>
      </c>
      <c r="J182" s="95">
        <v>8536</v>
      </c>
      <c r="K182" s="97">
        <f>870+1044+870+1044+1595+1516+1336.32+2267.8+5886</f>
        <v>16429.12</v>
      </c>
      <c r="L182" s="98"/>
      <c r="M182" s="97">
        <f t="shared" si="10"/>
        <v>16429.12</v>
      </c>
      <c r="N182" s="95"/>
      <c r="O182" s="98">
        <v>0.18</v>
      </c>
      <c r="P182" s="95" t="str">
        <f t="shared" si="11"/>
        <v>0</v>
      </c>
      <c r="Q182" s="97">
        <f t="shared" si="12"/>
        <v>1478.6207999999999</v>
      </c>
      <c r="R182" s="97">
        <f t="shared" si="13"/>
        <v>1478.6207999999999</v>
      </c>
      <c r="S182" s="97">
        <f t="shared" si="14"/>
        <v>19386.3616</v>
      </c>
    </row>
    <row r="183" spans="1:20" s="11" customFormat="1" x14ac:dyDescent="0.35">
      <c r="A183" s="93">
        <v>183</v>
      </c>
      <c r="B183" s="93" t="s">
        <v>431</v>
      </c>
      <c r="C183" s="94">
        <v>43477</v>
      </c>
      <c r="D183" s="95">
        <v>458</v>
      </c>
      <c r="E183" s="95" t="s">
        <v>468</v>
      </c>
      <c r="F183" s="95" t="s">
        <v>464</v>
      </c>
      <c r="G183" s="95" t="s">
        <v>32</v>
      </c>
      <c r="H183" s="95" t="s">
        <v>475</v>
      </c>
      <c r="I183" s="116" t="s">
        <v>25</v>
      </c>
      <c r="J183" s="95">
        <v>8531</v>
      </c>
      <c r="K183" s="97">
        <f>88.45+88.45+150.8</f>
        <v>327.70000000000005</v>
      </c>
      <c r="L183" s="98"/>
      <c r="M183" s="97">
        <f t="shared" si="10"/>
        <v>327.70000000000005</v>
      </c>
      <c r="N183" s="95"/>
      <c r="O183" s="98">
        <v>0.18</v>
      </c>
      <c r="P183" s="95" t="str">
        <f t="shared" si="11"/>
        <v>0</v>
      </c>
      <c r="Q183" s="97">
        <f t="shared" si="12"/>
        <v>29.493000000000002</v>
      </c>
      <c r="R183" s="97">
        <f t="shared" si="13"/>
        <v>29.493000000000002</v>
      </c>
      <c r="S183" s="97">
        <f t="shared" si="14"/>
        <v>386.68600000000004</v>
      </c>
    </row>
    <row r="184" spans="1:20" s="11" customFormat="1" x14ac:dyDescent="0.35">
      <c r="A184" s="93">
        <v>184</v>
      </c>
      <c r="B184" s="93" t="s">
        <v>431</v>
      </c>
      <c r="C184" s="94">
        <v>43477</v>
      </c>
      <c r="D184" s="95">
        <v>458</v>
      </c>
      <c r="E184" s="95" t="s">
        <v>468</v>
      </c>
      <c r="F184" s="95" t="s">
        <v>464</v>
      </c>
      <c r="G184" s="95" t="s">
        <v>32</v>
      </c>
      <c r="H184" s="95" t="s">
        <v>475</v>
      </c>
      <c r="I184" s="116" t="s">
        <v>25</v>
      </c>
      <c r="J184" s="95">
        <v>7318</v>
      </c>
      <c r="K184" s="97">
        <f>150+25+75+3.5</f>
        <v>253.5</v>
      </c>
      <c r="L184" s="98"/>
      <c r="M184" s="97">
        <f t="shared" si="10"/>
        <v>253.5</v>
      </c>
      <c r="N184" s="95"/>
      <c r="O184" s="98">
        <v>0.18</v>
      </c>
      <c r="P184" s="95" t="str">
        <f t="shared" si="11"/>
        <v>0</v>
      </c>
      <c r="Q184" s="97">
        <f t="shared" si="12"/>
        <v>22.814999999999998</v>
      </c>
      <c r="R184" s="97">
        <f t="shared" si="13"/>
        <v>22.814999999999998</v>
      </c>
      <c r="S184" s="97">
        <f t="shared" si="14"/>
        <v>299.13</v>
      </c>
    </row>
    <row r="185" spans="1:20" s="11" customFormat="1" x14ac:dyDescent="0.35">
      <c r="A185" s="93">
        <v>185</v>
      </c>
      <c r="B185" s="93" t="s">
        <v>431</v>
      </c>
      <c r="C185" s="94">
        <v>43477</v>
      </c>
      <c r="D185" s="95">
        <v>456</v>
      </c>
      <c r="E185" s="95" t="s">
        <v>468</v>
      </c>
      <c r="F185" s="95" t="s">
        <v>464</v>
      </c>
      <c r="G185" s="95" t="s">
        <v>319</v>
      </c>
      <c r="H185" s="95" t="s">
        <v>475</v>
      </c>
      <c r="I185" s="116" t="s">
        <v>24</v>
      </c>
      <c r="J185" s="95">
        <v>8421</v>
      </c>
      <c r="K185" s="97">
        <v>4200</v>
      </c>
      <c r="L185" s="98"/>
      <c r="M185" s="97">
        <f t="shared" si="10"/>
        <v>4200</v>
      </c>
      <c r="N185" s="95"/>
      <c r="O185" s="98">
        <v>0.18</v>
      </c>
      <c r="P185" s="95" t="str">
        <f t="shared" si="11"/>
        <v>0</v>
      </c>
      <c r="Q185" s="97">
        <f t="shared" si="12"/>
        <v>378</v>
      </c>
      <c r="R185" s="97">
        <f t="shared" si="13"/>
        <v>378</v>
      </c>
      <c r="S185" s="97">
        <f t="shared" si="14"/>
        <v>4956</v>
      </c>
    </row>
    <row r="186" spans="1:20" s="11" customFormat="1" x14ac:dyDescent="0.35">
      <c r="A186" s="93">
        <v>186</v>
      </c>
      <c r="B186" s="93" t="s">
        <v>431</v>
      </c>
      <c r="C186" s="94">
        <v>43479</v>
      </c>
      <c r="D186" s="95">
        <v>606</v>
      </c>
      <c r="E186" s="95" t="s">
        <v>468</v>
      </c>
      <c r="F186" s="95" t="s">
        <v>464</v>
      </c>
      <c r="G186" s="95" t="s">
        <v>22</v>
      </c>
      <c r="H186" s="95" t="s">
        <v>475</v>
      </c>
      <c r="I186" s="116" t="s">
        <v>23</v>
      </c>
      <c r="J186" s="93">
        <v>4011</v>
      </c>
      <c r="K186" s="97">
        <v>65625</v>
      </c>
      <c r="L186" s="98"/>
      <c r="M186" s="97">
        <f t="shared" si="10"/>
        <v>65625</v>
      </c>
      <c r="N186" s="95"/>
      <c r="O186" s="98">
        <v>0.28000000000000003</v>
      </c>
      <c r="P186" s="95" t="str">
        <f t="shared" si="11"/>
        <v>0</v>
      </c>
      <c r="Q186" s="97">
        <f t="shared" si="12"/>
        <v>9187.5</v>
      </c>
      <c r="R186" s="97">
        <f t="shared" si="13"/>
        <v>9187.5</v>
      </c>
      <c r="S186" s="97">
        <f t="shared" si="14"/>
        <v>84000</v>
      </c>
    </row>
    <row r="187" spans="1:20" s="11" customFormat="1" x14ac:dyDescent="0.35">
      <c r="A187" s="93">
        <v>187</v>
      </c>
      <c r="B187" s="93" t="s">
        <v>431</v>
      </c>
      <c r="C187" s="94">
        <v>43479</v>
      </c>
      <c r="D187" s="95">
        <v>606</v>
      </c>
      <c r="E187" s="95" t="s">
        <v>468</v>
      </c>
      <c r="F187" s="95" t="s">
        <v>464</v>
      </c>
      <c r="G187" s="95" t="s">
        <v>22</v>
      </c>
      <c r="H187" s="95" t="s">
        <v>475</v>
      </c>
      <c r="I187" s="116" t="s">
        <v>23</v>
      </c>
      <c r="J187" s="93" t="s">
        <v>63</v>
      </c>
      <c r="K187" s="97">
        <v>6250</v>
      </c>
      <c r="L187" s="98"/>
      <c r="M187" s="97">
        <f t="shared" si="10"/>
        <v>6250</v>
      </c>
      <c r="N187" s="95"/>
      <c r="O187" s="98">
        <v>0.28000000000000003</v>
      </c>
      <c r="P187" s="95" t="str">
        <f t="shared" si="11"/>
        <v>0</v>
      </c>
      <c r="Q187" s="97">
        <f t="shared" si="12"/>
        <v>875.00000000000011</v>
      </c>
      <c r="R187" s="97">
        <f t="shared" si="13"/>
        <v>875.00000000000011</v>
      </c>
      <c r="S187" s="97">
        <f t="shared" si="14"/>
        <v>8000</v>
      </c>
    </row>
    <row r="188" spans="1:20" s="11" customFormat="1" x14ac:dyDescent="0.35">
      <c r="A188" s="93">
        <v>188</v>
      </c>
      <c r="B188" s="93" t="s">
        <v>431</v>
      </c>
      <c r="C188" s="94">
        <v>43479</v>
      </c>
      <c r="D188" s="95">
        <v>606</v>
      </c>
      <c r="E188" s="95" t="s">
        <v>468</v>
      </c>
      <c r="F188" s="95" t="s">
        <v>464</v>
      </c>
      <c r="G188" s="95" t="s">
        <v>22</v>
      </c>
      <c r="H188" s="95" t="s">
        <v>475</v>
      </c>
      <c r="I188" s="116" t="s">
        <v>23</v>
      </c>
      <c r="J188" s="93" t="s">
        <v>63</v>
      </c>
      <c r="K188" s="97">
        <v>2031.24</v>
      </c>
      <c r="L188" s="98"/>
      <c r="M188" s="97">
        <f t="shared" si="10"/>
        <v>2031.24</v>
      </c>
      <c r="N188" s="95"/>
      <c r="O188" s="98">
        <v>0.28000000000000003</v>
      </c>
      <c r="P188" s="95" t="str">
        <f t="shared" si="11"/>
        <v>0</v>
      </c>
      <c r="Q188" s="97">
        <f t="shared" si="12"/>
        <v>284.37360000000001</v>
      </c>
      <c r="R188" s="97">
        <f t="shared" si="13"/>
        <v>284.37360000000001</v>
      </c>
      <c r="S188" s="97">
        <f t="shared" si="14"/>
        <v>2599.9872</v>
      </c>
    </row>
    <row r="189" spans="1:20" s="11" customFormat="1" x14ac:dyDescent="0.35">
      <c r="A189" s="93">
        <v>189</v>
      </c>
      <c r="B189" s="93" t="s">
        <v>431</v>
      </c>
      <c r="C189" s="94">
        <v>43480</v>
      </c>
      <c r="D189" s="95">
        <v>262</v>
      </c>
      <c r="E189" s="95" t="s">
        <v>468</v>
      </c>
      <c r="F189" s="95" t="s">
        <v>464</v>
      </c>
      <c r="G189" s="95" t="s">
        <v>311</v>
      </c>
      <c r="H189" s="95" t="s">
        <v>475</v>
      </c>
      <c r="I189" s="116" t="s">
        <v>66</v>
      </c>
      <c r="J189" s="95">
        <v>3602</v>
      </c>
      <c r="K189" s="97">
        <f>168662.5+79050+54225+10592+10106.25</f>
        <v>322635.75</v>
      </c>
      <c r="L189" s="98"/>
      <c r="M189" s="97">
        <f t="shared" si="10"/>
        <v>322635.75</v>
      </c>
      <c r="N189" s="95"/>
      <c r="O189" s="98">
        <v>0.18</v>
      </c>
      <c r="P189" s="95" t="str">
        <f t="shared" si="11"/>
        <v>0</v>
      </c>
      <c r="Q189" s="97">
        <f t="shared" si="12"/>
        <v>29037.217499999999</v>
      </c>
      <c r="R189" s="97">
        <f t="shared" si="13"/>
        <v>29037.217499999999</v>
      </c>
      <c r="S189" s="97">
        <f t="shared" si="14"/>
        <v>380710.18500000006</v>
      </c>
    </row>
    <row r="190" spans="1:20" s="11" customFormat="1" x14ac:dyDescent="0.35">
      <c r="A190" s="93">
        <v>190</v>
      </c>
      <c r="B190" s="93" t="s">
        <v>431</v>
      </c>
      <c r="C190" s="94">
        <v>43480</v>
      </c>
      <c r="D190" s="95">
        <v>262</v>
      </c>
      <c r="E190" s="95" t="s">
        <v>468</v>
      </c>
      <c r="F190" s="95" t="s">
        <v>464</v>
      </c>
      <c r="G190" s="95" t="s">
        <v>311</v>
      </c>
      <c r="H190" s="95" t="s">
        <v>475</v>
      </c>
      <c r="I190" s="116" t="s">
        <v>66</v>
      </c>
      <c r="J190" s="95">
        <v>3603</v>
      </c>
      <c r="K190" s="97">
        <f>12375+1252.12+14006.42</f>
        <v>27633.54</v>
      </c>
      <c r="L190" s="98"/>
      <c r="M190" s="97">
        <f t="shared" si="10"/>
        <v>27633.54</v>
      </c>
      <c r="N190" s="95"/>
      <c r="O190" s="98">
        <v>0.18</v>
      </c>
      <c r="P190" s="95" t="str">
        <f t="shared" si="11"/>
        <v>0</v>
      </c>
      <c r="Q190" s="97">
        <f t="shared" si="12"/>
        <v>2487.0185999999999</v>
      </c>
      <c r="R190" s="97">
        <f t="shared" si="13"/>
        <v>2487.0185999999999</v>
      </c>
      <c r="S190" s="97">
        <f t="shared" si="14"/>
        <v>32607.5772</v>
      </c>
    </row>
    <row r="191" spans="1:20" s="11" customFormat="1" x14ac:dyDescent="0.35">
      <c r="A191" s="93">
        <v>191</v>
      </c>
      <c r="B191" s="93" t="s">
        <v>431</v>
      </c>
      <c r="C191" s="99">
        <v>43480</v>
      </c>
      <c r="D191" s="93" t="s">
        <v>260</v>
      </c>
      <c r="E191" s="95" t="s">
        <v>468</v>
      </c>
      <c r="F191" s="95" t="s">
        <v>464</v>
      </c>
      <c r="G191" s="93" t="s">
        <v>317</v>
      </c>
      <c r="H191" s="95" t="s">
        <v>475</v>
      </c>
      <c r="I191" s="117" t="s">
        <v>261</v>
      </c>
      <c r="J191" s="93">
        <v>40101290</v>
      </c>
      <c r="K191" s="96">
        <v>27797</v>
      </c>
      <c r="L191" s="100"/>
      <c r="M191" s="97">
        <f t="shared" si="10"/>
        <v>27797</v>
      </c>
      <c r="N191" s="93"/>
      <c r="O191" s="98">
        <v>0.18</v>
      </c>
      <c r="P191" s="95" t="str">
        <f t="shared" si="11"/>
        <v>0</v>
      </c>
      <c r="Q191" s="97">
        <f t="shared" si="12"/>
        <v>2501.73</v>
      </c>
      <c r="R191" s="97">
        <f t="shared" si="13"/>
        <v>2501.73</v>
      </c>
      <c r="S191" s="97">
        <f t="shared" si="14"/>
        <v>32800.46</v>
      </c>
    </row>
    <row r="192" spans="1:20" s="11" customFormat="1" x14ac:dyDescent="0.35">
      <c r="A192" s="93">
        <v>192</v>
      </c>
      <c r="B192" s="93" t="s">
        <v>431</v>
      </c>
      <c r="C192" s="94">
        <v>43484</v>
      </c>
      <c r="D192" s="95">
        <v>1024</v>
      </c>
      <c r="E192" s="95" t="s">
        <v>468</v>
      </c>
      <c r="F192" s="95" t="s">
        <v>464</v>
      </c>
      <c r="G192" s="95" t="s">
        <v>12</v>
      </c>
      <c r="H192" s="95" t="s">
        <v>475</v>
      </c>
      <c r="I192" s="116" t="s">
        <v>13</v>
      </c>
      <c r="J192" s="95">
        <v>8311</v>
      </c>
      <c r="K192" s="97">
        <v>2530</v>
      </c>
      <c r="L192" s="98"/>
      <c r="M192" s="97">
        <f t="shared" si="10"/>
        <v>2530</v>
      </c>
      <c r="N192" s="95"/>
      <c r="O192" s="98">
        <v>0.18</v>
      </c>
      <c r="P192" s="95" t="str">
        <f t="shared" si="11"/>
        <v>0</v>
      </c>
      <c r="Q192" s="97">
        <f t="shared" si="12"/>
        <v>227.7</v>
      </c>
      <c r="R192" s="97">
        <f t="shared" si="13"/>
        <v>227.7</v>
      </c>
      <c r="S192" s="97">
        <f t="shared" si="14"/>
        <v>2985.3999999999996</v>
      </c>
    </row>
    <row r="193" spans="1:20" s="11" customFormat="1" x14ac:dyDescent="0.35">
      <c r="A193" s="93">
        <v>193</v>
      </c>
      <c r="B193" s="93" t="s">
        <v>431</v>
      </c>
      <c r="C193" s="94">
        <v>43486</v>
      </c>
      <c r="D193" s="95">
        <v>463</v>
      </c>
      <c r="E193" s="95" t="s">
        <v>468</v>
      </c>
      <c r="F193" s="95" t="s">
        <v>464</v>
      </c>
      <c r="G193" s="95" t="s">
        <v>319</v>
      </c>
      <c r="H193" s="95" t="s">
        <v>475</v>
      </c>
      <c r="I193" s="116" t="s">
        <v>24</v>
      </c>
      <c r="J193" s="95">
        <v>8431</v>
      </c>
      <c r="K193" s="97">
        <v>22000</v>
      </c>
      <c r="L193" s="98"/>
      <c r="M193" s="97">
        <f t="shared" si="10"/>
        <v>22000</v>
      </c>
      <c r="N193" s="95"/>
      <c r="O193" s="98">
        <v>0.18</v>
      </c>
      <c r="P193" s="95" t="str">
        <f t="shared" si="11"/>
        <v>0</v>
      </c>
      <c r="Q193" s="97">
        <f t="shared" si="12"/>
        <v>1980</v>
      </c>
      <c r="R193" s="97">
        <f t="shared" si="13"/>
        <v>1980</v>
      </c>
      <c r="S193" s="97">
        <f t="shared" si="14"/>
        <v>25960</v>
      </c>
    </row>
    <row r="194" spans="1:20" s="11" customFormat="1" x14ac:dyDescent="0.35">
      <c r="A194" s="93">
        <v>194</v>
      </c>
      <c r="B194" s="93" t="s">
        <v>431</v>
      </c>
      <c r="C194" s="94">
        <v>43486</v>
      </c>
      <c r="D194" s="95" t="s">
        <v>263</v>
      </c>
      <c r="E194" s="95" t="s">
        <v>468</v>
      </c>
      <c r="F194" s="95" t="s">
        <v>464</v>
      </c>
      <c r="G194" s="95" t="s">
        <v>262</v>
      </c>
      <c r="H194" s="95" t="s">
        <v>475</v>
      </c>
      <c r="I194" s="116" t="s">
        <v>337</v>
      </c>
      <c r="J194" s="95">
        <v>998729</v>
      </c>
      <c r="K194" s="97">
        <v>1000</v>
      </c>
      <c r="L194" s="98"/>
      <c r="M194" s="97">
        <f t="shared" si="10"/>
        <v>1000</v>
      </c>
      <c r="N194" s="95"/>
      <c r="O194" s="98">
        <v>0.18</v>
      </c>
      <c r="P194" s="95" t="str">
        <f t="shared" si="11"/>
        <v>0</v>
      </c>
      <c r="Q194" s="97">
        <f t="shared" si="12"/>
        <v>90</v>
      </c>
      <c r="R194" s="97">
        <f t="shared" si="13"/>
        <v>90</v>
      </c>
      <c r="S194" s="97">
        <f t="shared" si="14"/>
        <v>1180</v>
      </c>
    </row>
    <row r="195" spans="1:20" s="11" customFormat="1" x14ac:dyDescent="0.35">
      <c r="A195" s="93">
        <v>195</v>
      </c>
      <c r="B195" s="93" t="s">
        <v>431</v>
      </c>
      <c r="C195" s="94">
        <v>43486</v>
      </c>
      <c r="D195" s="95" t="s">
        <v>264</v>
      </c>
      <c r="E195" s="95" t="s">
        <v>468</v>
      </c>
      <c r="F195" s="95" t="s">
        <v>464</v>
      </c>
      <c r="G195" s="95" t="s">
        <v>262</v>
      </c>
      <c r="H195" s="95" t="s">
        <v>475</v>
      </c>
      <c r="I195" s="116" t="s">
        <v>337</v>
      </c>
      <c r="J195" s="95">
        <v>85443000</v>
      </c>
      <c r="K195" s="97">
        <v>4783.8999999999996</v>
      </c>
      <c r="L195" s="98"/>
      <c r="M195" s="97">
        <f t="shared" ref="M195:M258" si="15">K195-L195</f>
        <v>4783.8999999999996</v>
      </c>
      <c r="N195" s="95"/>
      <c r="O195" s="98">
        <v>0.18</v>
      </c>
      <c r="P195" s="95" t="str">
        <f t="shared" ref="P195:P258" si="16">IF(AND(E195="Interstate",F195&lt;&gt;"Composition"),(M195+N195)*O195,"0")</f>
        <v>0</v>
      </c>
      <c r="Q195" s="97">
        <f t="shared" ref="Q195:Q258" si="17">IF(AND(E195="Intrastate",F195&lt;&gt;"Composition"),(M195+N195)*(O195/2),"0")</f>
        <v>430.55099999999993</v>
      </c>
      <c r="R195" s="97">
        <f t="shared" ref="R195:R258" si="18">IF(AND(E195="Intrastate",F195&lt;&gt;"Composition"),(M195+N195)*(O195/2),"0")</f>
        <v>430.55099999999993</v>
      </c>
      <c r="S195" s="97">
        <f t="shared" ref="S195:S258" si="19">SUM(M195:N195,P195:R195)</f>
        <v>5645.0019999999986</v>
      </c>
    </row>
    <row r="196" spans="1:20" s="11" customFormat="1" x14ac:dyDescent="0.35">
      <c r="A196" s="93">
        <v>196</v>
      </c>
      <c r="B196" s="93" t="s">
        <v>431</v>
      </c>
      <c r="C196" s="94">
        <v>43486</v>
      </c>
      <c r="D196" s="95">
        <v>349</v>
      </c>
      <c r="E196" s="95" t="s">
        <v>468</v>
      </c>
      <c r="F196" s="95" t="s">
        <v>464</v>
      </c>
      <c r="G196" s="95" t="s">
        <v>20</v>
      </c>
      <c r="H196" s="95" t="s">
        <v>475</v>
      </c>
      <c r="I196" s="116" t="s">
        <v>21</v>
      </c>
      <c r="J196" s="95">
        <v>4009</v>
      </c>
      <c r="K196" s="97">
        <v>12400</v>
      </c>
      <c r="L196" s="98"/>
      <c r="M196" s="97">
        <f t="shared" si="15"/>
        <v>12400</v>
      </c>
      <c r="N196" s="95"/>
      <c r="O196" s="98">
        <v>0.18</v>
      </c>
      <c r="P196" s="95" t="str">
        <f t="shared" si="16"/>
        <v>0</v>
      </c>
      <c r="Q196" s="97">
        <f t="shared" si="17"/>
        <v>1116</v>
      </c>
      <c r="R196" s="97">
        <f t="shared" si="18"/>
        <v>1116</v>
      </c>
      <c r="S196" s="97">
        <f t="shared" si="19"/>
        <v>14632</v>
      </c>
    </row>
    <row r="197" spans="1:20" s="11" customFormat="1" x14ac:dyDescent="0.35">
      <c r="A197" s="93">
        <v>197</v>
      </c>
      <c r="B197" s="93" t="s">
        <v>431</v>
      </c>
      <c r="C197" s="94">
        <v>43487</v>
      </c>
      <c r="D197" s="95">
        <v>2615</v>
      </c>
      <c r="E197" s="95" t="s">
        <v>468</v>
      </c>
      <c r="F197" s="95" t="s">
        <v>464</v>
      </c>
      <c r="G197" s="95" t="s">
        <v>316</v>
      </c>
      <c r="H197" s="95" t="s">
        <v>475</v>
      </c>
      <c r="I197" s="116" t="s">
        <v>338</v>
      </c>
      <c r="J197" s="95">
        <v>8536</v>
      </c>
      <c r="K197" s="97">
        <v>2340</v>
      </c>
      <c r="L197" s="98"/>
      <c r="M197" s="97">
        <f t="shared" si="15"/>
        <v>2340</v>
      </c>
      <c r="N197" s="95"/>
      <c r="O197" s="98">
        <v>0.18</v>
      </c>
      <c r="P197" s="95" t="str">
        <f t="shared" si="16"/>
        <v>0</v>
      </c>
      <c r="Q197" s="97">
        <f t="shared" si="17"/>
        <v>210.6</v>
      </c>
      <c r="R197" s="97">
        <f t="shared" si="18"/>
        <v>210.6</v>
      </c>
      <c r="S197" s="97">
        <f t="shared" si="19"/>
        <v>2761.2</v>
      </c>
    </row>
    <row r="198" spans="1:20" s="11" customFormat="1" x14ac:dyDescent="0.35">
      <c r="A198" s="93">
        <v>198</v>
      </c>
      <c r="B198" s="93" t="s">
        <v>431</v>
      </c>
      <c r="C198" s="94">
        <v>43487</v>
      </c>
      <c r="D198" s="95">
        <v>1031</v>
      </c>
      <c r="E198" s="95" t="s">
        <v>468</v>
      </c>
      <c r="F198" s="95" t="s">
        <v>464</v>
      </c>
      <c r="G198" s="95" t="s">
        <v>12</v>
      </c>
      <c r="H198" s="95" t="s">
        <v>475</v>
      </c>
      <c r="I198" s="116" t="s">
        <v>13</v>
      </c>
      <c r="J198" s="95">
        <v>8205</v>
      </c>
      <c r="K198" s="97">
        <f>550+260+50+240</f>
        <v>1100</v>
      </c>
      <c r="L198" s="98"/>
      <c r="M198" s="97">
        <f t="shared" si="15"/>
        <v>1100</v>
      </c>
      <c r="N198" s="95"/>
      <c r="O198" s="98">
        <v>0.18</v>
      </c>
      <c r="P198" s="95" t="str">
        <f t="shared" si="16"/>
        <v>0</v>
      </c>
      <c r="Q198" s="97">
        <f t="shared" si="17"/>
        <v>99</v>
      </c>
      <c r="R198" s="97">
        <f t="shared" si="18"/>
        <v>99</v>
      </c>
      <c r="S198" s="97">
        <f t="shared" si="19"/>
        <v>1298</v>
      </c>
    </row>
    <row r="199" spans="1:20" s="11" customFormat="1" x14ac:dyDescent="0.35">
      <c r="A199" s="93">
        <v>199</v>
      </c>
      <c r="B199" s="93" t="s">
        <v>431</v>
      </c>
      <c r="C199" s="94">
        <v>43487</v>
      </c>
      <c r="D199" s="95">
        <v>1031</v>
      </c>
      <c r="E199" s="95" t="s">
        <v>468</v>
      </c>
      <c r="F199" s="95" t="s">
        <v>464</v>
      </c>
      <c r="G199" s="95" t="s">
        <v>12</v>
      </c>
      <c r="H199" s="95" t="s">
        <v>475</v>
      </c>
      <c r="I199" s="116" t="s">
        <v>13</v>
      </c>
      <c r="J199" s="95" t="s">
        <v>63</v>
      </c>
      <c r="K199" s="97">
        <f>300+650</f>
        <v>950</v>
      </c>
      <c r="L199" s="98"/>
      <c r="M199" s="97">
        <f t="shared" si="15"/>
        <v>950</v>
      </c>
      <c r="N199" s="95"/>
      <c r="O199" s="98">
        <v>0.18</v>
      </c>
      <c r="P199" s="95" t="str">
        <f t="shared" si="16"/>
        <v>0</v>
      </c>
      <c r="Q199" s="97">
        <f t="shared" si="17"/>
        <v>85.5</v>
      </c>
      <c r="R199" s="97">
        <f t="shared" si="18"/>
        <v>85.5</v>
      </c>
      <c r="S199" s="97">
        <f t="shared" si="19"/>
        <v>1121</v>
      </c>
    </row>
    <row r="200" spans="1:20" s="11" customFormat="1" x14ac:dyDescent="0.35">
      <c r="A200" s="93">
        <v>200</v>
      </c>
      <c r="B200" s="93" t="s">
        <v>431</v>
      </c>
      <c r="C200" s="94">
        <v>43487</v>
      </c>
      <c r="D200" s="95" t="s">
        <v>230</v>
      </c>
      <c r="E200" s="95" t="s">
        <v>468</v>
      </c>
      <c r="F200" s="95" t="s">
        <v>464</v>
      </c>
      <c r="G200" s="95" t="s">
        <v>262</v>
      </c>
      <c r="H200" s="95" t="s">
        <v>475</v>
      </c>
      <c r="I200" s="116" t="s">
        <v>337</v>
      </c>
      <c r="J200" s="95">
        <v>998729</v>
      </c>
      <c r="K200" s="97">
        <f>1200+800+600+400+500+400</f>
        <v>3900</v>
      </c>
      <c r="L200" s="98"/>
      <c r="M200" s="97">
        <f t="shared" si="15"/>
        <v>3900</v>
      </c>
      <c r="N200" s="95"/>
      <c r="O200" s="98">
        <v>0.18</v>
      </c>
      <c r="P200" s="95" t="str">
        <f t="shared" si="16"/>
        <v>0</v>
      </c>
      <c r="Q200" s="97">
        <f t="shared" si="17"/>
        <v>351</v>
      </c>
      <c r="R200" s="97">
        <f t="shared" si="18"/>
        <v>351</v>
      </c>
      <c r="S200" s="97">
        <f t="shared" si="19"/>
        <v>4602</v>
      </c>
    </row>
    <row r="201" spans="1:20" s="11" customFormat="1" x14ac:dyDescent="0.35">
      <c r="A201" s="93">
        <v>201</v>
      </c>
      <c r="B201" s="93" t="s">
        <v>431</v>
      </c>
      <c r="C201" s="94">
        <v>43487</v>
      </c>
      <c r="D201" s="95" t="s">
        <v>231</v>
      </c>
      <c r="E201" s="95" t="s">
        <v>468</v>
      </c>
      <c r="F201" s="95" t="s">
        <v>464</v>
      </c>
      <c r="G201" s="95" t="s">
        <v>262</v>
      </c>
      <c r="H201" s="95" t="s">
        <v>475</v>
      </c>
      <c r="I201" s="116" t="s">
        <v>337</v>
      </c>
      <c r="J201" s="95">
        <v>87089900</v>
      </c>
      <c r="K201" s="97">
        <f>3516.41+3516.41+3046.88</f>
        <v>10079.700000000001</v>
      </c>
      <c r="L201" s="98"/>
      <c r="M201" s="97">
        <f t="shared" si="15"/>
        <v>10079.700000000001</v>
      </c>
      <c r="N201" s="95"/>
      <c r="O201" s="98">
        <v>0.28000000000000003</v>
      </c>
      <c r="P201" s="95" t="str">
        <f t="shared" si="16"/>
        <v>0</v>
      </c>
      <c r="Q201" s="97">
        <f t="shared" si="17"/>
        <v>1411.1580000000001</v>
      </c>
      <c r="R201" s="97">
        <f t="shared" si="18"/>
        <v>1411.1580000000001</v>
      </c>
      <c r="S201" s="97">
        <f t="shared" si="19"/>
        <v>12902.016</v>
      </c>
    </row>
    <row r="202" spans="1:20" s="11" customFormat="1" x14ac:dyDescent="0.35">
      <c r="A202" s="93">
        <v>202</v>
      </c>
      <c r="B202" s="93" t="s">
        <v>431</v>
      </c>
      <c r="C202" s="94">
        <v>43487</v>
      </c>
      <c r="D202" s="95" t="s">
        <v>231</v>
      </c>
      <c r="E202" s="95" t="s">
        <v>468</v>
      </c>
      <c r="F202" s="95" t="s">
        <v>464</v>
      </c>
      <c r="G202" s="95" t="s">
        <v>262</v>
      </c>
      <c r="H202" s="95" t="s">
        <v>475</v>
      </c>
      <c r="I202" s="116" t="s">
        <v>337</v>
      </c>
      <c r="J202" s="95">
        <v>40169390</v>
      </c>
      <c r="K202" s="97">
        <v>364.41</v>
      </c>
      <c r="L202" s="98"/>
      <c r="M202" s="97">
        <f t="shared" si="15"/>
        <v>364.41</v>
      </c>
      <c r="N202" s="95"/>
      <c r="O202" s="98">
        <v>0.18</v>
      </c>
      <c r="P202" s="95" t="str">
        <f t="shared" si="16"/>
        <v>0</v>
      </c>
      <c r="Q202" s="97">
        <f t="shared" si="17"/>
        <v>32.796900000000001</v>
      </c>
      <c r="R202" s="97">
        <f t="shared" si="18"/>
        <v>32.796900000000001</v>
      </c>
      <c r="S202" s="97">
        <f t="shared" si="19"/>
        <v>430.00380000000001</v>
      </c>
    </row>
    <row r="203" spans="1:20" s="11" customFormat="1" x14ac:dyDescent="0.35">
      <c r="A203" s="93">
        <v>203</v>
      </c>
      <c r="B203" s="93" t="s">
        <v>431</v>
      </c>
      <c r="C203" s="94">
        <v>43487</v>
      </c>
      <c r="D203" s="95" t="s">
        <v>231</v>
      </c>
      <c r="E203" s="95" t="s">
        <v>468</v>
      </c>
      <c r="F203" s="95" t="s">
        <v>464</v>
      </c>
      <c r="G203" s="95" t="s">
        <v>262</v>
      </c>
      <c r="H203" s="95" t="s">
        <v>475</v>
      </c>
      <c r="I203" s="116" t="s">
        <v>337</v>
      </c>
      <c r="J203" s="95">
        <v>87085000</v>
      </c>
      <c r="K203" s="97">
        <v>4034.38</v>
      </c>
      <c r="L203" s="98"/>
      <c r="M203" s="97">
        <f t="shared" si="15"/>
        <v>4034.38</v>
      </c>
      <c r="N203" s="95"/>
      <c r="O203" s="98">
        <v>0.28000000000000003</v>
      </c>
      <c r="P203" s="95" t="str">
        <f t="shared" si="16"/>
        <v>0</v>
      </c>
      <c r="Q203" s="97">
        <f t="shared" si="17"/>
        <v>564.81320000000005</v>
      </c>
      <c r="R203" s="97">
        <f t="shared" si="18"/>
        <v>564.81320000000005</v>
      </c>
      <c r="S203" s="97">
        <f t="shared" si="19"/>
        <v>5164.0064000000002</v>
      </c>
    </row>
    <row r="204" spans="1:20" s="11" customFormat="1" x14ac:dyDescent="0.35">
      <c r="A204" s="93">
        <v>204</v>
      </c>
      <c r="B204" s="93" t="s">
        <v>431</v>
      </c>
      <c r="C204" s="94">
        <v>43487</v>
      </c>
      <c r="D204" s="95" t="s">
        <v>231</v>
      </c>
      <c r="E204" s="95" t="s">
        <v>468</v>
      </c>
      <c r="F204" s="95" t="s">
        <v>464</v>
      </c>
      <c r="G204" s="95" t="s">
        <v>262</v>
      </c>
      <c r="H204" s="95" t="s">
        <v>475</v>
      </c>
      <c r="I204" s="116" t="s">
        <v>337</v>
      </c>
      <c r="J204" s="95">
        <v>85443000</v>
      </c>
      <c r="K204" s="97">
        <f>381.36+483.05</f>
        <v>864.41000000000008</v>
      </c>
      <c r="L204" s="98"/>
      <c r="M204" s="97">
        <f t="shared" si="15"/>
        <v>864.41000000000008</v>
      </c>
      <c r="N204" s="95"/>
      <c r="O204" s="98">
        <v>0.18</v>
      </c>
      <c r="P204" s="95" t="str">
        <f t="shared" si="16"/>
        <v>0</v>
      </c>
      <c r="Q204" s="97">
        <f t="shared" si="17"/>
        <v>77.796900000000008</v>
      </c>
      <c r="R204" s="97">
        <f t="shared" si="18"/>
        <v>77.796900000000008</v>
      </c>
      <c r="S204" s="97">
        <f t="shared" si="19"/>
        <v>1020.0038000000002</v>
      </c>
      <c r="T204" s="38"/>
    </row>
    <row r="205" spans="1:20" s="11" customFormat="1" x14ac:dyDescent="0.35">
      <c r="A205" s="93">
        <v>205</v>
      </c>
      <c r="B205" s="93" t="s">
        <v>431</v>
      </c>
      <c r="C205" s="94">
        <v>43488</v>
      </c>
      <c r="D205" s="95">
        <v>1039</v>
      </c>
      <c r="E205" s="95" t="s">
        <v>468</v>
      </c>
      <c r="F205" s="95" t="s">
        <v>464</v>
      </c>
      <c r="G205" s="95" t="s">
        <v>12</v>
      </c>
      <c r="H205" s="95" t="s">
        <v>475</v>
      </c>
      <c r="I205" s="116" t="s">
        <v>13</v>
      </c>
      <c r="J205" s="95">
        <v>8311</v>
      </c>
      <c r="K205" s="97">
        <v>2500</v>
      </c>
      <c r="L205" s="98"/>
      <c r="M205" s="97">
        <f t="shared" si="15"/>
        <v>2500</v>
      </c>
      <c r="N205" s="95"/>
      <c r="O205" s="98">
        <v>0.18</v>
      </c>
      <c r="P205" s="95" t="str">
        <f t="shared" si="16"/>
        <v>0</v>
      </c>
      <c r="Q205" s="97">
        <f t="shared" si="17"/>
        <v>225</v>
      </c>
      <c r="R205" s="97">
        <f t="shared" si="18"/>
        <v>225</v>
      </c>
      <c r="S205" s="97">
        <f t="shared" si="19"/>
        <v>2950</v>
      </c>
    </row>
    <row r="206" spans="1:20" s="11" customFormat="1" x14ac:dyDescent="0.35">
      <c r="A206" s="93">
        <v>206</v>
      </c>
      <c r="B206" s="93" t="s">
        <v>431</v>
      </c>
      <c r="C206" s="94">
        <v>43488</v>
      </c>
      <c r="D206" s="95">
        <v>690</v>
      </c>
      <c r="E206" s="95" t="s">
        <v>468</v>
      </c>
      <c r="F206" s="95" t="s">
        <v>464</v>
      </c>
      <c r="G206" s="95" t="s">
        <v>27</v>
      </c>
      <c r="H206" s="95" t="s">
        <v>475</v>
      </c>
      <c r="I206" s="116" t="s">
        <v>28</v>
      </c>
      <c r="J206" s="95">
        <v>4010</v>
      </c>
      <c r="K206" s="97">
        <v>15080</v>
      </c>
      <c r="L206" s="98"/>
      <c r="M206" s="97">
        <f t="shared" si="15"/>
        <v>15080</v>
      </c>
      <c r="N206" s="95"/>
      <c r="O206" s="98">
        <v>0.18</v>
      </c>
      <c r="P206" s="95" t="str">
        <f t="shared" si="16"/>
        <v>0</v>
      </c>
      <c r="Q206" s="97">
        <f t="shared" si="17"/>
        <v>1357.2</v>
      </c>
      <c r="R206" s="97">
        <f t="shared" si="18"/>
        <v>1357.2</v>
      </c>
      <c r="S206" s="97">
        <f t="shared" si="19"/>
        <v>17794.400000000001</v>
      </c>
    </row>
    <row r="207" spans="1:20" s="11" customFormat="1" x14ac:dyDescent="0.35">
      <c r="A207" s="93">
        <v>207</v>
      </c>
      <c r="B207" s="93" t="s">
        <v>431</v>
      </c>
      <c r="C207" s="94">
        <v>43488</v>
      </c>
      <c r="D207" s="95">
        <v>690</v>
      </c>
      <c r="E207" s="95" t="s">
        <v>468</v>
      </c>
      <c r="F207" s="95" t="s">
        <v>464</v>
      </c>
      <c r="G207" s="95" t="s">
        <v>27</v>
      </c>
      <c r="H207" s="95" t="s">
        <v>475</v>
      </c>
      <c r="I207" s="116" t="s">
        <v>28</v>
      </c>
      <c r="J207" s="95">
        <v>7318</v>
      </c>
      <c r="K207" s="97">
        <f>2200+1000</f>
        <v>3200</v>
      </c>
      <c r="L207" s="98"/>
      <c r="M207" s="97">
        <f t="shared" si="15"/>
        <v>3200</v>
      </c>
      <c r="N207" s="95"/>
      <c r="O207" s="98">
        <v>0.18</v>
      </c>
      <c r="P207" s="95" t="str">
        <f t="shared" si="16"/>
        <v>0</v>
      </c>
      <c r="Q207" s="97">
        <f t="shared" si="17"/>
        <v>288</v>
      </c>
      <c r="R207" s="97">
        <f t="shared" si="18"/>
        <v>288</v>
      </c>
      <c r="S207" s="97">
        <f t="shared" si="19"/>
        <v>3776</v>
      </c>
    </row>
    <row r="208" spans="1:20" s="11" customFormat="1" x14ac:dyDescent="0.35">
      <c r="A208" s="93">
        <v>208</v>
      </c>
      <c r="B208" s="93" t="s">
        <v>431</v>
      </c>
      <c r="C208" s="94">
        <v>43489</v>
      </c>
      <c r="D208" s="95">
        <v>469</v>
      </c>
      <c r="E208" s="95" t="s">
        <v>468</v>
      </c>
      <c r="F208" s="95" t="s">
        <v>464</v>
      </c>
      <c r="G208" s="95" t="s">
        <v>319</v>
      </c>
      <c r="H208" s="95" t="s">
        <v>475</v>
      </c>
      <c r="I208" s="116" t="s">
        <v>24</v>
      </c>
      <c r="J208" s="95">
        <v>8431</v>
      </c>
      <c r="K208" s="97">
        <v>19500</v>
      </c>
      <c r="L208" s="98"/>
      <c r="M208" s="97">
        <f t="shared" si="15"/>
        <v>19500</v>
      </c>
      <c r="N208" s="95"/>
      <c r="O208" s="98">
        <v>0.18</v>
      </c>
      <c r="P208" s="95" t="str">
        <f t="shared" si="16"/>
        <v>0</v>
      </c>
      <c r="Q208" s="97">
        <f t="shared" si="17"/>
        <v>1755</v>
      </c>
      <c r="R208" s="97">
        <f t="shared" si="18"/>
        <v>1755</v>
      </c>
      <c r="S208" s="97">
        <f t="shared" si="19"/>
        <v>23010</v>
      </c>
    </row>
    <row r="209" spans="1:19" s="11" customFormat="1" x14ac:dyDescent="0.35">
      <c r="A209" s="93">
        <v>209</v>
      </c>
      <c r="B209" s="93" t="s">
        <v>431</v>
      </c>
      <c r="C209" s="94">
        <v>43490</v>
      </c>
      <c r="D209" s="95">
        <v>789</v>
      </c>
      <c r="E209" s="95" t="s">
        <v>468</v>
      </c>
      <c r="F209" s="95" t="s">
        <v>464</v>
      </c>
      <c r="G209" s="95" t="s">
        <v>35</v>
      </c>
      <c r="H209" s="95" t="s">
        <v>475</v>
      </c>
      <c r="I209" s="116" t="s">
        <v>36</v>
      </c>
      <c r="J209" s="95" t="s">
        <v>63</v>
      </c>
      <c r="K209" s="97">
        <v>381.36</v>
      </c>
      <c r="L209" s="98"/>
      <c r="M209" s="97">
        <f t="shared" si="15"/>
        <v>381.36</v>
      </c>
      <c r="N209" s="95"/>
      <c r="O209" s="98">
        <v>0.18</v>
      </c>
      <c r="P209" s="95" t="str">
        <f t="shared" si="16"/>
        <v>0</v>
      </c>
      <c r="Q209" s="97">
        <f t="shared" si="17"/>
        <v>34.322400000000002</v>
      </c>
      <c r="R209" s="97">
        <f t="shared" si="18"/>
        <v>34.322400000000002</v>
      </c>
      <c r="S209" s="97">
        <f t="shared" si="19"/>
        <v>450.00480000000005</v>
      </c>
    </row>
    <row r="210" spans="1:19" s="11" customFormat="1" x14ac:dyDescent="0.35">
      <c r="A210" s="93">
        <v>210</v>
      </c>
      <c r="B210" s="93" t="s">
        <v>431</v>
      </c>
      <c r="C210" s="94">
        <v>43490</v>
      </c>
      <c r="D210" s="95">
        <v>789</v>
      </c>
      <c r="E210" s="95" t="s">
        <v>468</v>
      </c>
      <c r="F210" s="95" t="s">
        <v>464</v>
      </c>
      <c r="G210" s="95" t="s">
        <v>35</v>
      </c>
      <c r="H210" s="95" t="s">
        <v>475</v>
      </c>
      <c r="I210" s="116" t="s">
        <v>36</v>
      </c>
      <c r="J210" s="95">
        <v>8708</v>
      </c>
      <c r="K210" s="97">
        <v>1132.82</v>
      </c>
      <c r="L210" s="98"/>
      <c r="M210" s="97">
        <f t="shared" si="15"/>
        <v>1132.82</v>
      </c>
      <c r="N210" s="95"/>
      <c r="O210" s="98">
        <v>0.28000000000000003</v>
      </c>
      <c r="P210" s="95" t="str">
        <f t="shared" si="16"/>
        <v>0</v>
      </c>
      <c r="Q210" s="97">
        <f t="shared" si="17"/>
        <v>158.59479999999999</v>
      </c>
      <c r="R210" s="97">
        <f t="shared" si="18"/>
        <v>158.59479999999999</v>
      </c>
      <c r="S210" s="97">
        <f t="shared" si="19"/>
        <v>1450.0096000000001</v>
      </c>
    </row>
    <row r="211" spans="1:19" s="11" customFormat="1" x14ac:dyDescent="0.35">
      <c r="A211" s="93">
        <v>211</v>
      </c>
      <c r="B211" s="93" t="s">
        <v>431</v>
      </c>
      <c r="C211" s="94">
        <v>43490</v>
      </c>
      <c r="D211" s="95" t="s">
        <v>232</v>
      </c>
      <c r="E211" s="95" t="s">
        <v>468</v>
      </c>
      <c r="F211" s="95" t="s">
        <v>464</v>
      </c>
      <c r="G211" s="95" t="s">
        <v>262</v>
      </c>
      <c r="H211" s="95" t="s">
        <v>475</v>
      </c>
      <c r="I211" s="116" t="s">
        <v>337</v>
      </c>
      <c r="J211" s="95">
        <v>998729</v>
      </c>
      <c r="K211" s="97">
        <v>800</v>
      </c>
      <c r="L211" s="98"/>
      <c r="M211" s="97">
        <f t="shared" si="15"/>
        <v>800</v>
      </c>
      <c r="N211" s="95"/>
      <c r="O211" s="98">
        <v>0.18</v>
      </c>
      <c r="P211" s="95" t="str">
        <f t="shared" si="16"/>
        <v>0</v>
      </c>
      <c r="Q211" s="97">
        <f t="shared" si="17"/>
        <v>72</v>
      </c>
      <c r="R211" s="97">
        <f t="shared" si="18"/>
        <v>72</v>
      </c>
      <c r="S211" s="97">
        <f t="shared" si="19"/>
        <v>944</v>
      </c>
    </row>
    <row r="212" spans="1:19" s="11" customFormat="1" x14ac:dyDescent="0.35">
      <c r="A212" s="93">
        <v>212</v>
      </c>
      <c r="B212" s="93" t="s">
        <v>431</v>
      </c>
      <c r="C212" s="94">
        <v>43490</v>
      </c>
      <c r="D212" s="95" t="s">
        <v>233</v>
      </c>
      <c r="E212" s="95" t="s">
        <v>468</v>
      </c>
      <c r="F212" s="95" t="s">
        <v>464</v>
      </c>
      <c r="G212" s="95" t="s">
        <v>262</v>
      </c>
      <c r="H212" s="95" t="s">
        <v>475</v>
      </c>
      <c r="I212" s="116" t="s">
        <v>337</v>
      </c>
      <c r="J212" s="95">
        <v>40169320</v>
      </c>
      <c r="K212" s="97">
        <v>1200</v>
      </c>
      <c r="L212" s="98"/>
      <c r="M212" s="97">
        <f t="shared" si="15"/>
        <v>1200</v>
      </c>
      <c r="N212" s="95"/>
      <c r="O212" s="98">
        <v>0.18</v>
      </c>
      <c r="P212" s="95" t="str">
        <f t="shared" si="16"/>
        <v>0</v>
      </c>
      <c r="Q212" s="97">
        <f t="shared" si="17"/>
        <v>108</v>
      </c>
      <c r="R212" s="97">
        <f t="shared" si="18"/>
        <v>108</v>
      </c>
      <c r="S212" s="97">
        <f t="shared" si="19"/>
        <v>1416</v>
      </c>
    </row>
    <row r="213" spans="1:19" s="11" customFormat="1" x14ac:dyDescent="0.35">
      <c r="A213" s="93">
        <v>213</v>
      </c>
      <c r="B213" s="93" t="s">
        <v>431</v>
      </c>
      <c r="C213" s="94">
        <v>43490</v>
      </c>
      <c r="D213" s="95">
        <v>701</v>
      </c>
      <c r="E213" s="95" t="s">
        <v>468</v>
      </c>
      <c r="F213" s="95" t="s">
        <v>464</v>
      </c>
      <c r="G213" s="95" t="s">
        <v>27</v>
      </c>
      <c r="H213" s="95" t="s">
        <v>475</v>
      </c>
      <c r="I213" s="116" t="s">
        <v>28</v>
      </c>
      <c r="J213" s="95">
        <v>7318</v>
      </c>
      <c r="K213" s="97">
        <f>9500+2800+1500</f>
        <v>13800</v>
      </c>
      <c r="L213" s="98"/>
      <c r="M213" s="97">
        <f t="shared" si="15"/>
        <v>13800</v>
      </c>
      <c r="N213" s="95"/>
      <c r="O213" s="98">
        <v>0.18</v>
      </c>
      <c r="P213" s="95" t="str">
        <f t="shared" si="16"/>
        <v>0</v>
      </c>
      <c r="Q213" s="97">
        <f t="shared" si="17"/>
        <v>1242</v>
      </c>
      <c r="R213" s="97">
        <f t="shared" si="18"/>
        <v>1242</v>
      </c>
      <c r="S213" s="97">
        <f t="shared" si="19"/>
        <v>16284</v>
      </c>
    </row>
    <row r="214" spans="1:19" s="11" customFormat="1" x14ac:dyDescent="0.35">
      <c r="A214" s="93">
        <v>214</v>
      </c>
      <c r="B214" s="93" t="s">
        <v>431</v>
      </c>
      <c r="C214" s="94">
        <v>43490</v>
      </c>
      <c r="D214" s="95">
        <v>701</v>
      </c>
      <c r="E214" s="95" t="s">
        <v>468</v>
      </c>
      <c r="F214" s="95" t="s">
        <v>464</v>
      </c>
      <c r="G214" s="95" t="s">
        <v>27</v>
      </c>
      <c r="H214" s="95" t="s">
        <v>475</v>
      </c>
      <c r="I214" s="116" t="s">
        <v>28</v>
      </c>
      <c r="J214" s="95">
        <v>8204</v>
      </c>
      <c r="K214" s="97">
        <v>190</v>
      </c>
      <c r="L214" s="98"/>
      <c r="M214" s="97">
        <f t="shared" si="15"/>
        <v>190</v>
      </c>
      <c r="N214" s="95"/>
      <c r="O214" s="98">
        <v>0.18</v>
      </c>
      <c r="P214" s="95" t="str">
        <f t="shared" si="16"/>
        <v>0</v>
      </c>
      <c r="Q214" s="97">
        <f t="shared" si="17"/>
        <v>17.099999999999998</v>
      </c>
      <c r="R214" s="97">
        <f t="shared" si="18"/>
        <v>17.099999999999998</v>
      </c>
      <c r="S214" s="97">
        <f t="shared" si="19"/>
        <v>224.2</v>
      </c>
    </row>
    <row r="215" spans="1:19" s="11" customFormat="1" x14ac:dyDescent="0.35">
      <c r="A215" s="93">
        <v>215</v>
      </c>
      <c r="B215" s="93" t="s">
        <v>431</v>
      </c>
      <c r="C215" s="94">
        <v>43490</v>
      </c>
      <c r="D215" s="95">
        <v>701</v>
      </c>
      <c r="E215" s="95" t="s">
        <v>468</v>
      </c>
      <c r="F215" s="95" t="s">
        <v>464</v>
      </c>
      <c r="G215" s="95" t="s">
        <v>27</v>
      </c>
      <c r="H215" s="95" t="s">
        <v>475</v>
      </c>
      <c r="I215" s="116" t="s">
        <v>28</v>
      </c>
      <c r="J215" s="95">
        <v>8483</v>
      </c>
      <c r="K215" s="97">
        <v>960</v>
      </c>
      <c r="L215" s="98"/>
      <c r="M215" s="97">
        <f t="shared" si="15"/>
        <v>960</v>
      </c>
      <c r="N215" s="95"/>
      <c r="O215" s="98">
        <v>0.18</v>
      </c>
      <c r="P215" s="95" t="str">
        <f t="shared" si="16"/>
        <v>0</v>
      </c>
      <c r="Q215" s="97">
        <f t="shared" si="17"/>
        <v>86.399999999999991</v>
      </c>
      <c r="R215" s="97">
        <f t="shared" si="18"/>
        <v>86.399999999999991</v>
      </c>
      <c r="S215" s="97">
        <f t="shared" si="19"/>
        <v>1132.8000000000002</v>
      </c>
    </row>
    <row r="216" spans="1:19" s="11" customFormat="1" x14ac:dyDescent="0.35">
      <c r="A216" s="93">
        <v>216</v>
      </c>
      <c r="B216" s="93" t="s">
        <v>431</v>
      </c>
      <c r="C216" s="94">
        <v>43490</v>
      </c>
      <c r="D216" s="95">
        <v>701</v>
      </c>
      <c r="E216" s="95" t="s">
        <v>468</v>
      </c>
      <c r="F216" s="95" t="s">
        <v>464</v>
      </c>
      <c r="G216" s="95" t="s">
        <v>27</v>
      </c>
      <c r="H216" s="95" t="s">
        <v>475</v>
      </c>
      <c r="I216" s="116" t="s">
        <v>28</v>
      </c>
      <c r="J216" s="95">
        <v>7326</v>
      </c>
      <c r="K216" s="97">
        <v>1150</v>
      </c>
      <c r="L216" s="98"/>
      <c r="M216" s="97">
        <f t="shared" si="15"/>
        <v>1150</v>
      </c>
      <c r="N216" s="95"/>
      <c r="O216" s="98">
        <v>0.18</v>
      </c>
      <c r="P216" s="95" t="str">
        <f t="shared" si="16"/>
        <v>0</v>
      </c>
      <c r="Q216" s="97">
        <f t="shared" si="17"/>
        <v>103.5</v>
      </c>
      <c r="R216" s="97">
        <f t="shared" si="18"/>
        <v>103.5</v>
      </c>
      <c r="S216" s="97">
        <f t="shared" si="19"/>
        <v>1357</v>
      </c>
    </row>
    <row r="217" spans="1:19" s="11" customFormat="1" x14ac:dyDescent="0.35">
      <c r="A217" s="93">
        <v>217</v>
      </c>
      <c r="B217" s="93" t="s">
        <v>431</v>
      </c>
      <c r="C217" s="94">
        <v>43490</v>
      </c>
      <c r="D217" s="95">
        <v>701</v>
      </c>
      <c r="E217" s="95" t="s">
        <v>468</v>
      </c>
      <c r="F217" s="95" t="s">
        <v>464</v>
      </c>
      <c r="G217" s="95" t="s">
        <v>27</v>
      </c>
      <c r="H217" s="95" t="s">
        <v>475</v>
      </c>
      <c r="I217" s="116" t="s">
        <v>28</v>
      </c>
      <c r="J217" s="95">
        <v>8204</v>
      </c>
      <c r="K217" s="97">
        <f>71+125</f>
        <v>196</v>
      </c>
      <c r="L217" s="98"/>
      <c r="M217" s="97">
        <f t="shared" si="15"/>
        <v>196</v>
      </c>
      <c r="N217" s="95"/>
      <c r="O217" s="98">
        <v>0.18</v>
      </c>
      <c r="P217" s="95" t="str">
        <f t="shared" si="16"/>
        <v>0</v>
      </c>
      <c r="Q217" s="97">
        <f t="shared" si="17"/>
        <v>17.64</v>
      </c>
      <c r="R217" s="97">
        <f t="shared" si="18"/>
        <v>17.64</v>
      </c>
      <c r="S217" s="97">
        <f t="shared" si="19"/>
        <v>231.27999999999997</v>
      </c>
    </row>
    <row r="218" spans="1:19" s="11" customFormat="1" x14ac:dyDescent="0.35">
      <c r="A218" s="93">
        <v>218</v>
      </c>
      <c r="B218" s="93" t="s">
        <v>431</v>
      </c>
      <c r="C218" s="94">
        <v>43490</v>
      </c>
      <c r="D218" s="95" t="s">
        <v>234</v>
      </c>
      <c r="E218" s="95" t="s">
        <v>468</v>
      </c>
      <c r="F218" s="95" t="s">
        <v>464</v>
      </c>
      <c r="G218" s="95" t="s">
        <v>235</v>
      </c>
      <c r="H218" s="95" t="s">
        <v>475</v>
      </c>
      <c r="I218" s="116" t="s">
        <v>71</v>
      </c>
      <c r="J218" s="95">
        <v>2710</v>
      </c>
      <c r="K218" s="97">
        <f>1906.78+(262.71*2)+(262.71*2)</f>
        <v>2957.62</v>
      </c>
      <c r="L218" s="98"/>
      <c r="M218" s="97">
        <f t="shared" si="15"/>
        <v>2957.62</v>
      </c>
      <c r="N218" s="95"/>
      <c r="O218" s="98">
        <v>0.18</v>
      </c>
      <c r="P218" s="95" t="str">
        <f t="shared" si="16"/>
        <v>0</v>
      </c>
      <c r="Q218" s="97">
        <f t="shared" si="17"/>
        <v>266.18579999999997</v>
      </c>
      <c r="R218" s="97">
        <f t="shared" si="18"/>
        <v>266.18579999999997</v>
      </c>
      <c r="S218" s="97">
        <f t="shared" si="19"/>
        <v>3489.9916000000003</v>
      </c>
    </row>
    <row r="219" spans="1:19" s="11" customFormat="1" x14ac:dyDescent="0.35">
      <c r="A219" s="93">
        <v>219</v>
      </c>
      <c r="B219" s="93" t="s">
        <v>431</v>
      </c>
      <c r="C219" s="94">
        <v>43490</v>
      </c>
      <c r="D219" s="95" t="s">
        <v>234</v>
      </c>
      <c r="E219" s="95" t="s">
        <v>468</v>
      </c>
      <c r="F219" s="95" t="s">
        <v>464</v>
      </c>
      <c r="G219" s="95" t="s">
        <v>235</v>
      </c>
      <c r="H219" s="95" t="s">
        <v>475</v>
      </c>
      <c r="I219" s="116" t="s">
        <v>71</v>
      </c>
      <c r="J219" s="95">
        <v>8421</v>
      </c>
      <c r="K219" s="97">
        <f>194.92+169.5+262.71</f>
        <v>627.12999999999988</v>
      </c>
      <c r="L219" s="98"/>
      <c r="M219" s="97">
        <f t="shared" si="15"/>
        <v>627.12999999999988</v>
      </c>
      <c r="N219" s="95"/>
      <c r="O219" s="98">
        <v>0.18</v>
      </c>
      <c r="P219" s="95" t="str">
        <f t="shared" si="16"/>
        <v>0</v>
      </c>
      <c r="Q219" s="97">
        <f t="shared" si="17"/>
        <v>56.44169999999999</v>
      </c>
      <c r="R219" s="97">
        <f t="shared" si="18"/>
        <v>56.44169999999999</v>
      </c>
      <c r="S219" s="97">
        <f t="shared" si="19"/>
        <v>740.01339999999982</v>
      </c>
    </row>
    <row r="220" spans="1:19" s="11" customFormat="1" x14ac:dyDescent="0.35">
      <c r="A220" s="93">
        <v>220</v>
      </c>
      <c r="B220" s="93" t="s">
        <v>431</v>
      </c>
      <c r="C220" s="94">
        <v>43490</v>
      </c>
      <c r="D220" s="95" t="s">
        <v>234</v>
      </c>
      <c r="E220" s="95" t="s">
        <v>468</v>
      </c>
      <c r="F220" s="95" t="s">
        <v>464</v>
      </c>
      <c r="G220" s="95" t="s">
        <v>235</v>
      </c>
      <c r="H220" s="95" t="s">
        <v>475</v>
      </c>
      <c r="I220" s="116" t="s">
        <v>71</v>
      </c>
      <c r="J220" s="95">
        <v>3820</v>
      </c>
      <c r="K220" s="97">
        <v>508.48</v>
      </c>
      <c r="L220" s="98"/>
      <c r="M220" s="97">
        <f t="shared" si="15"/>
        <v>508.48</v>
      </c>
      <c r="N220" s="95"/>
      <c r="O220" s="98">
        <v>0.18</v>
      </c>
      <c r="P220" s="95" t="str">
        <f t="shared" si="16"/>
        <v>0</v>
      </c>
      <c r="Q220" s="97">
        <f t="shared" si="17"/>
        <v>45.763199999999998</v>
      </c>
      <c r="R220" s="97">
        <f t="shared" si="18"/>
        <v>45.763199999999998</v>
      </c>
      <c r="S220" s="97">
        <f t="shared" si="19"/>
        <v>600.00639999999999</v>
      </c>
    </row>
    <row r="221" spans="1:19" s="11" customFormat="1" x14ac:dyDescent="0.35">
      <c r="A221" s="93">
        <v>221</v>
      </c>
      <c r="B221" s="93" t="s">
        <v>431</v>
      </c>
      <c r="C221" s="94">
        <v>43490</v>
      </c>
      <c r="D221" s="95">
        <v>1047</v>
      </c>
      <c r="E221" s="95" t="s">
        <v>468</v>
      </c>
      <c r="F221" s="95" t="s">
        <v>464</v>
      </c>
      <c r="G221" s="95" t="s">
        <v>12</v>
      </c>
      <c r="H221" s="95" t="s">
        <v>475</v>
      </c>
      <c r="I221" s="116" t="s">
        <v>13</v>
      </c>
      <c r="J221" s="95">
        <v>7318</v>
      </c>
      <c r="K221" s="97">
        <v>5880</v>
      </c>
      <c r="L221" s="98"/>
      <c r="M221" s="97">
        <f t="shared" si="15"/>
        <v>5880</v>
      </c>
      <c r="N221" s="95"/>
      <c r="O221" s="98">
        <v>0.18</v>
      </c>
      <c r="P221" s="95" t="str">
        <f t="shared" si="16"/>
        <v>0</v>
      </c>
      <c r="Q221" s="97">
        <f t="shared" si="17"/>
        <v>529.19999999999993</v>
      </c>
      <c r="R221" s="97">
        <f t="shared" si="18"/>
        <v>529.19999999999993</v>
      </c>
      <c r="S221" s="97">
        <f t="shared" si="19"/>
        <v>6938.4</v>
      </c>
    </row>
    <row r="222" spans="1:19" s="11" customFormat="1" x14ac:dyDescent="0.35">
      <c r="A222" s="93">
        <v>222</v>
      </c>
      <c r="B222" s="93" t="s">
        <v>431</v>
      </c>
      <c r="C222" s="94">
        <v>43490</v>
      </c>
      <c r="D222" s="95">
        <v>2034</v>
      </c>
      <c r="E222" s="95" t="s">
        <v>468</v>
      </c>
      <c r="F222" s="95" t="s">
        <v>464</v>
      </c>
      <c r="G222" s="95" t="s">
        <v>236</v>
      </c>
      <c r="H222" s="95" t="s">
        <v>475</v>
      </c>
      <c r="I222" s="116" t="s">
        <v>237</v>
      </c>
      <c r="J222" s="95">
        <v>7320</v>
      </c>
      <c r="K222" s="97">
        <f>576+81</f>
        <v>657</v>
      </c>
      <c r="L222" s="98"/>
      <c r="M222" s="97">
        <f t="shared" si="15"/>
        <v>657</v>
      </c>
      <c r="N222" s="95"/>
      <c r="O222" s="98">
        <v>0.18</v>
      </c>
      <c r="P222" s="95" t="str">
        <f t="shared" si="16"/>
        <v>0</v>
      </c>
      <c r="Q222" s="97">
        <f t="shared" si="17"/>
        <v>59.129999999999995</v>
      </c>
      <c r="R222" s="97">
        <f t="shared" si="18"/>
        <v>59.129999999999995</v>
      </c>
      <c r="S222" s="97">
        <f t="shared" si="19"/>
        <v>775.26</v>
      </c>
    </row>
    <row r="223" spans="1:19" s="11" customFormat="1" x14ac:dyDescent="0.35">
      <c r="A223" s="93">
        <v>223</v>
      </c>
      <c r="B223" s="93" t="s">
        <v>431</v>
      </c>
      <c r="C223" s="94">
        <v>43490</v>
      </c>
      <c r="D223" s="95">
        <v>2034</v>
      </c>
      <c r="E223" s="95" t="s">
        <v>468</v>
      </c>
      <c r="F223" s="95" t="s">
        <v>464</v>
      </c>
      <c r="G223" s="95" t="s">
        <v>236</v>
      </c>
      <c r="H223" s="95" t="s">
        <v>475</v>
      </c>
      <c r="I223" s="116" t="s">
        <v>237</v>
      </c>
      <c r="J223" s="95">
        <v>7318</v>
      </c>
      <c r="K223" s="97">
        <v>44</v>
      </c>
      <c r="L223" s="98"/>
      <c r="M223" s="97">
        <f t="shared" si="15"/>
        <v>44</v>
      </c>
      <c r="N223" s="95"/>
      <c r="O223" s="98">
        <v>0.18</v>
      </c>
      <c r="P223" s="95" t="str">
        <f t="shared" si="16"/>
        <v>0</v>
      </c>
      <c r="Q223" s="97">
        <f t="shared" si="17"/>
        <v>3.96</v>
      </c>
      <c r="R223" s="97">
        <f t="shared" si="18"/>
        <v>3.96</v>
      </c>
      <c r="S223" s="97">
        <f t="shared" si="19"/>
        <v>51.92</v>
      </c>
    </row>
    <row r="224" spans="1:19" s="11" customFormat="1" x14ac:dyDescent="0.35">
      <c r="A224" s="93">
        <v>224</v>
      </c>
      <c r="B224" s="93" t="s">
        <v>431</v>
      </c>
      <c r="C224" s="94">
        <v>43490</v>
      </c>
      <c r="D224" s="95">
        <v>2034</v>
      </c>
      <c r="E224" s="95" t="s">
        <v>468</v>
      </c>
      <c r="F224" s="95" t="s">
        <v>464</v>
      </c>
      <c r="G224" s="95" t="s">
        <v>236</v>
      </c>
      <c r="H224" s="95" t="s">
        <v>475</v>
      </c>
      <c r="I224" s="116" t="s">
        <v>237</v>
      </c>
      <c r="J224" s="95">
        <v>8708</v>
      </c>
      <c r="K224" s="97">
        <v>132</v>
      </c>
      <c r="L224" s="98"/>
      <c r="M224" s="97">
        <f t="shared" si="15"/>
        <v>132</v>
      </c>
      <c r="N224" s="95"/>
      <c r="O224" s="98">
        <v>0.28000000000000003</v>
      </c>
      <c r="P224" s="95" t="str">
        <f t="shared" si="16"/>
        <v>0</v>
      </c>
      <c r="Q224" s="97">
        <f t="shared" si="17"/>
        <v>18.48</v>
      </c>
      <c r="R224" s="97">
        <f t="shared" si="18"/>
        <v>18.48</v>
      </c>
      <c r="S224" s="97">
        <f t="shared" si="19"/>
        <v>168.95999999999998</v>
      </c>
    </row>
    <row r="225" spans="1:19" s="11" customFormat="1" x14ac:dyDescent="0.35">
      <c r="A225" s="93">
        <v>225</v>
      </c>
      <c r="B225" s="93" t="s">
        <v>431</v>
      </c>
      <c r="C225" s="94">
        <v>43490</v>
      </c>
      <c r="D225" s="95">
        <v>2034</v>
      </c>
      <c r="E225" s="95" t="s">
        <v>468</v>
      </c>
      <c r="F225" s="95" t="s">
        <v>464</v>
      </c>
      <c r="G225" s="95" t="s">
        <v>236</v>
      </c>
      <c r="H225" s="95" t="s">
        <v>475</v>
      </c>
      <c r="I225" s="116" t="s">
        <v>237</v>
      </c>
      <c r="J225" s="95">
        <v>8205</v>
      </c>
      <c r="K225" s="97">
        <v>20</v>
      </c>
      <c r="L225" s="98"/>
      <c r="M225" s="97">
        <f t="shared" si="15"/>
        <v>20</v>
      </c>
      <c r="N225" s="95"/>
      <c r="O225" s="98">
        <v>0.18</v>
      </c>
      <c r="P225" s="95" t="str">
        <f t="shared" si="16"/>
        <v>0</v>
      </c>
      <c r="Q225" s="97">
        <f t="shared" si="17"/>
        <v>1.7999999999999998</v>
      </c>
      <c r="R225" s="97">
        <f t="shared" si="18"/>
        <v>1.7999999999999998</v>
      </c>
      <c r="S225" s="97">
        <f t="shared" si="19"/>
        <v>23.6</v>
      </c>
    </row>
    <row r="226" spans="1:19" s="11" customFormat="1" x14ac:dyDescent="0.35">
      <c r="A226" s="93">
        <v>226</v>
      </c>
      <c r="B226" s="93" t="s">
        <v>431</v>
      </c>
      <c r="C226" s="94">
        <v>43490</v>
      </c>
      <c r="D226" s="95" t="s">
        <v>336</v>
      </c>
      <c r="E226" s="95" t="s">
        <v>468</v>
      </c>
      <c r="F226" s="95" t="s">
        <v>464</v>
      </c>
      <c r="G226" s="95" t="s">
        <v>15</v>
      </c>
      <c r="H226" s="95" t="s">
        <v>475</v>
      </c>
      <c r="I226" s="116" t="s">
        <v>16</v>
      </c>
      <c r="J226" s="95">
        <v>31021000</v>
      </c>
      <c r="K226" s="97">
        <v>5067.3999999999996</v>
      </c>
      <c r="L226" s="98"/>
      <c r="M226" s="97">
        <f t="shared" si="15"/>
        <v>5067.3999999999996</v>
      </c>
      <c r="N226" s="95"/>
      <c r="O226" s="98">
        <v>0.18</v>
      </c>
      <c r="P226" s="95" t="str">
        <f t="shared" si="16"/>
        <v>0</v>
      </c>
      <c r="Q226" s="97">
        <f t="shared" si="17"/>
        <v>456.06599999999997</v>
      </c>
      <c r="R226" s="97">
        <f t="shared" si="18"/>
        <v>456.06599999999997</v>
      </c>
      <c r="S226" s="97">
        <f t="shared" si="19"/>
        <v>5979.5319999999992</v>
      </c>
    </row>
    <row r="227" spans="1:19" s="11" customFormat="1" x14ac:dyDescent="0.35">
      <c r="A227" s="93">
        <v>227</v>
      </c>
      <c r="B227" s="93" t="s">
        <v>431</v>
      </c>
      <c r="C227" s="94">
        <v>43490</v>
      </c>
      <c r="D227" s="95" t="s">
        <v>334</v>
      </c>
      <c r="E227" s="95" t="s">
        <v>468</v>
      </c>
      <c r="F227" s="95" t="s">
        <v>464</v>
      </c>
      <c r="G227" s="95" t="s">
        <v>262</v>
      </c>
      <c r="H227" s="95" t="s">
        <v>475</v>
      </c>
      <c r="I227" s="116" t="s">
        <v>337</v>
      </c>
      <c r="J227" s="95">
        <v>998729</v>
      </c>
      <c r="K227" s="97">
        <f>450+250+150</f>
        <v>850</v>
      </c>
      <c r="L227" s="98"/>
      <c r="M227" s="97">
        <f t="shared" si="15"/>
        <v>850</v>
      </c>
      <c r="N227" s="95"/>
      <c r="O227" s="98">
        <v>0.18</v>
      </c>
      <c r="P227" s="95" t="str">
        <f t="shared" si="16"/>
        <v>0</v>
      </c>
      <c r="Q227" s="97">
        <f t="shared" si="17"/>
        <v>76.5</v>
      </c>
      <c r="R227" s="97">
        <f t="shared" si="18"/>
        <v>76.5</v>
      </c>
      <c r="S227" s="97">
        <f t="shared" si="19"/>
        <v>1003</v>
      </c>
    </row>
    <row r="228" spans="1:19" s="11" customFormat="1" x14ac:dyDescent="0.35">
      <c r="A228" s="93">
        <v>228</v>
      </c>
      <c r="B228" s="93" t="s">
        <v>431</v>
      </c>
      <c r="C228" s="94">
        <v>43490</v>
      </c>
      <c r="D228" s="95" t="s">
        <v>335</v>
      </c>
      <c r="E228" s="95" t="s">
        <v>468</v>
      </c>
      <c r="F228" s="95" t="s">
        <v>464</v>
      </c>
      <c r="G228" s="95" t="s">
        <v>262</v>
      </c>
      <c r="H228" s="95" t="s">
        <v>475</v>
      </c>
      <c r="I228" s="116" t="s">
        <v>337</v>
      </c>
      <c r="J228" s="95">
        <v>84842000</v>
      </c>
      <c r="K228" s="97">
        <f>1072.03+355.93</f>
        <v>1427.96</v>
      </c>
      <c r="L228" s="98"/>
      <c r="M228" s="97">
        <f t="shared" si="15"/>
        <v>1427.96</v>
      </c>
      <c r="N228" s="95"/>
      <c r="O228" s="98">
        <v>0.18</v>
      </c>
      <c r="P228" s="95" t="str">
        <f t="shared" si="16"/>
        <v>0</v>
      </c>
      <c r="Q228" s="97">
        <f t="shared" si="17"/>
        <v>128.5164</v>
      </c>
      <c r="R228" s="97">
        <f t="shared" si="18"/>
        <v>128.5164</v>
      </c>
      <c r="S228" s="97">
        <f t="shared" si="19"/>
        <v>1684.9928</v>
      </c>
    </row>
    <row r="229" spans="1:19" s="11" customFormat="1" x14ac:dyDescent="0.35">
      <c r="A229" s="93">
        <v>229</v>
      </c>
      <c r="B229" s="93" t="s">
        <v>431</v>
      </c>
      <c r="C229" s="94">
        <v>43490</v>
      </c>
      <c r="D229" s="95" t="s">
        <v>335</v>
      </c>
      <c r="E229" s="95" t="s">
        <v>468</v>
      </c>
      <c r="F229" s="95" t="s">
        <v>464</v>
      </c>
      <c r="G229" s="95" t="s">
        <v>262</v>
      </c>
      <c r="H229" s="95" t="s">
        <v>475</v>
      </c>
      <c r="I229" s="116" t="s">
        <v>337</v>
      </c>
      <c r="J229" s="95">
        <v>27101990</v>
      </c>
      <c r="K229" s="97">
        <v>338.98</v>
      </c>
      <c r="L229" s="98"/>
      <c r="M229" s="97">
        <f t="shared" si="15"/>
        <v>338.98</v>
      </c>
      <c r="N229" s="95"/>
      <c r="O229" s="98">
        <v>0.18</v>
      </c>
      <c r="P229" s="95" t="str">
        <f t="shared" si="16"/>
        <v>0</v>
      </c>
      <c r="Q229" s="97">
        <f t="shared" si="17"/>
        <v>30.508200000000002</v>
      </c>
      <c r="R229" s="97">
        <f t="shared" si="18"/>
        <v>30.508200000000002</v>
      </c>
      <c r="S229" s="97">
        <f t="shared" si="19"/>
        <v>399.99639999999999</v>
      </c>
    </row>
    <row r="230" spans="1:19" s="11" customFormat="1" x14ac:dyDescent="0.35">
      <c r="A230" s="93">
        <v>230</v>
      </c>
      <c r="B230" s="93" t="s">
        <v>431</v>
      </c>
      <c r="C230" s="94">
        <v>43490</v>
      </c>
      <c r="D230" s="95" t="s">
        <v>335</v>
      </c>
      <c r="E230" s="95" t="s">
        <v>468</v>
      </c>
      <c r="F230" s="95" t="s">
        <v>464</v>
      </c>
      <c r="G230" s="95" t="s">
        <v>262</v>
      </c>
      <c r="H230" s="95" t="s">
        <v>475</v>
      </c>
      <c r="I230" s="116" t="s">
        <v>337</v>
      </c>
      <c r="J230" s="95">
        <v>84841090</v>
      </c>
      <c r="K230" s="97">
        <v>16.95</v>
      </c>
      <c r="L230" s="98"/>
      <c r="M230" s="97">
        <f t="shared" si="15"/>
        <v>16.95</v>
      </c>
      <c r="N230" s="95"/>
      <c r="O230" s="98">
        <v>0.18</v>
      </c>
      <c r="P230" s="95" t="str">
        <f t="shared" si="16"/>
        <v>0</v>
      </c>
      <c r="Q230" s="97">
        <f t="shared" si="17"/>
        <v>1.5254999999999999</v>
      </c>
      <c r="R230" s="97">
        <f t="shared" si="18"/>
        <v>1.5254999999999999</v>
      </c>
      <c r="S230" s="97">
        <f t="shared" si="19"/>
        <v>20.001000000000001</v>
      </c>
    </row>
    <row r="231" spans="1:19" s="11" customFormat="1" x14ac:dyDescent="0.35">
      <c r="A231" s="93">
        <v>231</v>
      </c>
      <c r="B231" s="93" t="s">
        <v>431</v>
      </c>
      <c r="C231" s="94">
        <v>43490</v>
      </c>
      <c r="D231" s="95" t="s">
        <v>335</v>
      </c>
      <c r="E231" s="95" t="s">
        <v>468</v>
      </c>
      <c r="F231" s="95" t="s">
        <v>464</v>
      </c>
      <c r="G231" s="95" t="s">
        <v>262</v>
      </c>
      <c r="H231" s="95" t="s">
        <v>475</v>
      </c>
      <c r="I231" s="116" t="s">
        <v>337</v>
      </c>
      <c r="J231" s="95">
        <v>85443000</v>
      </c>
      <c r="K231" s="97">
        <v>156.78</v>
      </c>
      <c r="L231" s="98"/>
      <c r="M231" s="97">
        <f t="shared" si="15"/>
        <v>156.78</v>
      </c>
      <c r="N231" s="95"/>
      <c r="O231" s="98">
        <v>0.18</v>
      </c>
      <c r="P231" s="95" t="str">
        <f t="shared" si="16"/>
        <v>0</v>
      </c>
      <c r="Q231" s="97">
        <f t="shared" si="17"/>
        <v>14.110199999999999</v>
      </c>
      <c r="R231" s="97">
        <f t="shared" si="18"/>
        <v>14.110199999999999</v>
      </c>
      <c r="S231" s="97">
        <f t="shared" si="19"/>
        <v>185.00039999999998</v>
      </c>
    </row>
    <row r="232" spans="1:19" s="11" customFormat="1" x14ac:dyDescent="0.35">
      <c r="A232" s="93">
        <v>232</v>
      </c>
      <c r="B232" s="93" t="s">
        <v>431</v>
      </c>
      <c r="C232" s="94">
        <v>43493</v>
      </c>
      <c r="D232" s="95">
        <v>1052</v>
      </c>
      <c r="E232" s="95" t="s">
        <v>468</v>
      </c>
      <c r="F232" s="95" t="s">
        <v>464</v>
      </c>
      <c r="G232" s="95" t="s">
        <v>12</v>
      </c>
      <c r="H232" s="95" t="s">
        <v>475</v>
      </c>
      <c r="I232" s="116" t="s">
        <v>13</v>
      </c>
      <c r="J232" s="95">
        <v>8311</v>
      </c>
      <c r="K232" s="97">
        <f>280+300</f>
        <v>580</v>
      </c>
      <c r="L232" s="98"/>
      <c r="M232" s="97">
        <f t="shared" si="15"/>
        <v>580</v>
      </c>
      <c r="N232" s="95"/>
      <c r="O232" s="98">
        <v>0.18</v>
      </c>
      <c r="P232" s="95" t="str">
        <f t="shared" si="16"/>
        <v>0</v>
      </c>
      <c r="Q232" s="97">
        <f t="shared" si="17"/>
        <v>52.199999999999996</v>
      </c>
      <c r="R232" s="97">
        <f t="shared" si="18"/>
        <v>52.199999999999996</v>
      </c>
      <c r="S232" s="97">
        <f t="shared" si="19"/>
        <v>684.40000000000009</v>
      </c>
    </row>
    <row r="233" spans="1:19" s="11" customFormat="1" x14ac:dyDescent="0.35">
      <c r="A233" s="93">
        <v>233</v>
      </c>
      <c r="B233" s="93" t="s">
        <v>431</v>
      </c>
      <c r="C233" s="94">
        <v>43493</v>
      </c>
      <c r="D233" s="95">
        <v>1052</v>
      </c>
      <c r="E233" s="95" t="s">
        <v>468</v>
      </c>
      <c r="F233" s="95" t="s">
        <v>464</v>
      </c>
      <c r="G233" s="95" t="s">
        <v>12</v>
      </c>
      <c r="H233" s="95" t="s">
        <v>475</v>
      </c>
      <c r="I233" s="116" t="s">
        <v>13</v>
      </c>
      <c r="J233" s="95" t="s">
        <v>63</v>
      </c>
      <c r="K233" s="97">
        <f>80+50+25</f>
        <v>155</v>
      </c>
      <c r="L233" s="98"/>
      <c r="M233" s="97">
        <f t="shared" si="15"/>
        <v>155</v>
      </c>
      <c r="N233" s="95"/>
      <c r="O233" s="98">
        <v>0.18</v>
      </c>
      <c r="P233" s="95" t="str">
        <f t="shared" si="16"/>
        <v>0</v>
      </c>
      <c r="Q233" s="97">
        <f t="shared" si="17"/>
        <v>13.95</v>
      </c>
      <c r="R233" s="97">
        <f t="shared" si="18"/>
        <v>13.95</v>
      </c>
      <c r="S233" s="97">
        <f t="shared" si="19"/>
        <v>182.89999999999998</v>
      </c>
    </row>
    <row r="234" spans="1:19" s="11" customFormat="1" x14ac:dyDescent="0.35">
      <c r="A234" s="93">
        <v>234</v>
      </c>
      <c r="B234" s="93" t="s">
        <v>431</v>
      </c>
      <c r="C234" s="94">
        <v>43494</v>
      </c>
      <c r="D234" s="95" t="s">
        <v>238</v>
      </c>
      <c r="E234" s="95" t="s">
        <v>468</v>
      </c>
      <c r="F234" s="95" t="s">
        <v>464</v>
      </c>
      <c r="G234" s="95" t="s">
        <v>68</v>
      </c>
      <c r="H234" s="95" t="s">
        <v>475</v>
      </c>
      <c r="I234" s="116" t="s">
        <v>69</v>
      </c>
      <c r="J234" s="95">
        <v>84828000</v>
      </c>
      <c r="K234" s="97">
        <v>173944</v>
      </c>
      <c r="L234" s="98"/>
      <c r="M234" s="97">
        <f t="shared" si="15"/>
        <v>173944</v>
      </c>
      <c r="N234" s="95"/>
      <c r="O234" s="98">
        <v>0.18</v>
      </c>
      <c r="P234" s="95" t="str">
        <f t="shared" si="16"/>
        <v>0</v>
      </c>
      <c r="Q234" s="97">
        <f t="shared" si="17"/>
        <v>15654.96</v>
      </c>
      <c r="R234" s="97">
        <f t="shared" si="18"/>
        <v>15654.96</v>
      </c>
      <c r="S234" s="97">
        <f t="shared" si="19"/>
        <v>205253.91999999998</v>
      </c>
    </row>
    <row r="235" spans="1:19" s="11" customFormat="1" x14ac:dyDescent="0.35">
      <c r="A235" s="93">
        <v>235</v>
      </c>
      <c r="B235" s="93" t="s">
        <v>431</v>
      </c>
      <c r="C235" s="94">
        <v>43494</v>
      </c>
      <c r="D235" s="95" t="s">
        <v>238</v>
      </c>
      <c r="E235" s="95" t="s">
        <v>468</v>
      </c>
      <c r="F235" s="95" t="s">
        <v>464</v>
      </c>
      <c r="G235" s="95" t="s">
        <v>68</v>
      </c>
      <c r="H235" s="95" t="s">
        <v>475</v>
      </c>
      <c r="I235" s="116" t="s">
        <v>69</v>
      </c>
      <c r="J235" s="95">
        <v>84749000</v>
      </c>
      <c r="K235" s="97">
        <f>93534+72932</f>
        <v>166466</v>
      </c>
      <c r="L235" s="98"/>
      <c r="M235" s="97">
        <f t="shared" si="15"/>
        <v>166466</v>
      </c>
      <c r="N235" s="95"/>
      <c r="O235" s="98">
        <v>0.18</v>
      </c>
      <c r="P235" s="95" t="str">
        <f t="shared" si="16"/>
        <v>0</v>
      </c>
      <c r="Q235" s="97">
        <f t="shared" si="17"/>
        <v>14981.939999999999</v>
      </c>
      <c r="R235" s="97">
        <f t="shared" si="18"/>
        <v>14981.939999999999</v>
      </c>
      <c r="S235" s="97">
        <f t="shared" si="19"/>
        <v>196429.88</v>
      </c>
    </row>
    <row r="236" spans="1:19" s="11" customFormat="1" x14ac:dyDescent="0.35">
      <c r="A236" s="93">
        <v>236</v>
      </c>
      <c r="B236" s="93" t="s">
        <v>431</v>
      </c>
      <c r="C236" s="94">
        <v>43494</v>
      </c>
      <c r="D236" s="95" t="s">
        <v>239</v>
      </c>
      <c r="E236" s="95" t="s">
        <v>468</v>
      </c>
      <c r="F236" s="95" t="s">
        <v>464</v>
      </c>
      <c r="G236" s="95" t="s">
        <v>235</v>
      </c>
      <c r="H236" s="95" t="s">
        <v>475</v>
      </c>
      <c r="I236" s="116" t="s">
        <v>71</v>
      </c>
      <c r="J236" s="95">
        <v>2710</v>
      </c>
      <c r="K236" s="97">
        <v>31355.93</v>
      </c>
      <c r="L236" s="98"/>
      <c r="M236" s="97">
        <f t="shared" si="15"/>
        <v>31355.93</v>
      </c>
      <c r="N236" s="95"/>
      <c r="O236" s="98">
        <v>0.18</v>
      </c>
      <c r="P236" s="95" t="str">
        <f t="shared" si="16"/>
        <v>0</v>
      </c>
      <c r="Q236" s="97">
        <f t="shared" si="17"/>
        <v>2822.0337</v>
      </c>
      <c r="R236" s="97">
        <f t="shared" si="18"/>
        <v>2822.0337</v>
      </c>
      <c r="S236" s="97">
        <f t="shared" si="19"/>
        <v>36999.9974</v>
      </c>
    </row>
    <row r="237" spans="1:19" s="11" customFormat="1" x14ac:dyDescent="0.35">
      <c r="A237" s="93">
        <v>237</v>
      </c>
      <c r="B237" s="93" t="s">
        <v>431</v>
      </c>
      <c r="C237" s="94">
        <v>43494</v>
      </c>
      <c r="D237" s="95">
        <v>5311</v>
      </c>
      <c r="E237" s="95" t="s">
        <v>468</v>
      </c>
      <c r="F237" s="95" t="s">
        <v>464</v>
      </c>
      <c r="G237" s="95" t="s">
        <v>240</v>
      </c>
      <c r="H237" s="95" t="s">
        <v>475</v>
      </c>
      <c r="I237" s="116" t="s">
        <v>241</v>
      </c>
      <c r="J237" s="95">
        <v>38249022</v>
      </c>
      <c r="K237" s="97">
        <f>12700+5900</f>
        <v>18600</v>
      </c>
      <c r="L237" s="98"/>
      <c r="M237" s="97">
        <f t="shared" si="15"/>
        <v>18600</v>
      </c>
      <c r="N237" s="95"/>
      <c r="O237" s="98">
        <v>0.18</v>
      </c>
      <c r="P237" s="95" t="str">
        <f t="shared" si="16"/>
        <v>0</v>
      </c>
      <c r="Q237" s="97">
        <f t="shared" si="17"/>
        <v>1674</v>
      </c>
      <c r="R237" s="97">
        <f t="shared" si="18"/>
        <v>1674</v>
      </c>
      <c r="S237" s="97">
        <f t="shared" si="19"/>
        <v>21948</v>
      </c>
    </row>
    <row r="238" spans="1:19" s="11" customFormat="1" x14ac:dyDescent="0.35">
      <c r="A238" s="93">
        <v>238</v>
      </c>
      <c r="B238" s="93" t="s">
        <v>431</v>
      </c>
      <c r="C238" s="94">
        <v>43495</v>
      </c>
      <c r="D238" s="95" t="s">
        <v>242</v>
      </c>
      <c r="E238" s="95" t="s">
        <v>468</v>
      </c>
      <c r="F238" s="95" t="s">
        <v>464</v>
      </c>
      <c r="G238" s="95" t="s">
        <v>15</v>
      </c>
      <c r="H238" s="95" t="s">
        <v>475</v>
      </c>
      <c r="I238" s="116" t="s">
        <v>16</v>
      </c>
      <c r="J238" s="95">
        <v>87089900</v>
      </c>
      <c r="K238" s="97">
        <f>4446.88+3600.78</f>
        <v>8047.66</v>
      </c>
      <c r="L238" s="98"/>
      <c r="M238" s="97">
        <f t="shared" si="15"/>
        <v>8047.66</v>
      </c>
      <c r="N238" s="95"/>
      <c r="O238" s="98">
        <v>0.28000000000000003</v>
      </c>
      <c r="P238" s="95" t="str">
        <f t="shared" si="16"/>
        <v>0</v>
      </c>
      <c r="Q238" s="97">
        <f t="shared" si="17"/>
        <v>1126.6724000000002</v>
      </c>
      <c r="R238" s="97">
        <f t="shared" si="18"/>
        <v>1126.6724000000002</v>
      </c>
      <c r="S238" s="97">
        <f t="shared" si="19"/>
        <v>10301.004799999999</v>
      </c>
    </row>
    <row r="239" spans="1:19" s="11" customFormat="1" x14ac:dyDescent="0.35">
      <c r="A239" s="93">
        <v>239</v>
      </c>
      <c r="B239" s="93" t="s">
        <v>431</v>
      </c>
      <c r="C239" s="94">
        <v>43495</v>
      </c>
      <c r="D239" s="95" t="s">
        <v>242</v>
      </c>
      <c r="E239" s="95" t="s">
        <v>468</v>
      </c>
      <c r="F239" s="95" t="s">
        <v>464</v>
      </c>
      <c r="G239" s="95" t="s">
        <v>15</v>
      </c>
      <c r="H239" s="95" t="s">
        <v>475</v>
      </c>
      <c r="I239" s="116" t="s">
        <v>16</v>
      </c>
      <c r="J239" s="95">
        <v>998714</v>
      </c>
      <c r="K239" s="97">
        <f>188+188</f>
        <v>376</v>
      </c>
      <c r="L239" s="98"/>
      <c r="M239" s="97">
        <f t="shared" si="15"/>
        <v>376</v>
      </c>
      <c r="N239" s="95"/>
      <c r="O239" s="98">
        <v>0.18</v>
      </c>
      <c r="P239" s="95" t="str">
        <f t="shared" si="16"/>
        <v>0</v>
      </c>
      <c r="Q239" s="97">
        <f t="shared" si="17"/>
        <v>33.839999999999996</v>
      </c>
      <c r="R239" s="97">
        <f t="shared" si="18"/>
        <v>33.839999999999996</v>
      </c>
      <c r="S239" s="97">
        <f t="shared" si="19"/>
        <v>443.67999999999995</v>
      </c>
    </row>
    <row r="240" spans="1:19" s="11" customFormat="1" x14ac:dyDescent="0.35">
      <c r="A240" s="93">
        <v>240</v>
      </c>
      <c r="B240" s="93" t="s">
        <v>431</v>
      </c>
      <c r="C240" s="94">
        <v>43495</v>
      </c>
      <c r="D240" s="95">
        <v>359</v>
      </c>
      <c r="E240" s="95" t="s">
        <v>468</v>
      </c>
      <c r="F240" s="95" t="s">
        <v>464</v>
      </c>
      <c r="G240" s="95" t="s">
        <v>20</v>
      </c>
      <c r="H240" s="95" t="s">
        <v>475</v>
      </c>
      <c r="I240" s="116" t="s">
        <v>21</v>
      </c>
      <c r="J240" s="95">
        <v>4009</v>
      </c>
      <c r="K240" s="97">
        <v>2250</v>
      </c>
      <c r="L240" s="98"/>
      <c r="M240" s="97">
        <f t="shared" si="15"/>
        <v>2250</v>
      </c>
      <c r="N240" s="95"/>
      <c r="O240" s="98">
        <v>0.18</v>
      </c>
      <c r="P240" s="95" t="str">
        <f t="shared" si="16"/>
        <v>0</v>
      </c>
      <c r="Q240" s="97">
        <f t="shared" si="17"/>
        <v>202.5</v>
      </c>
      <c r="R240" s="97">
        <f t="shared" si="18"/>
        <v>202.5</v>
      </c>
      <c r="S240" s="97">
        <f t="shared" si="19"/>
        <v>2655</v>
      </c>
    </row>
    <row r="241" spans="1:19" s="11" customFormat="1" x14ac:dyDescent="0.35">
      <c r="A241" s="93">
        <v>241</v>
      </c>
      <c r="B241" s="93" t="s">
        <v>431</v>
      </c>
      <c r="C241" s="94">
        <v>43495</v>
      </c>
      <c r="D241" s="95">
        <v>2077</v>
      </c>
      <c r="E241" s="95" t="s">
        <v>468</v>
      </c>
      <c r="F241" s="95" t="s">
        <v>464</v>
      </c>
      <c r="G241" s="95" t="s">
        <v>236</v>
      </c>
      <c r="H241" s="95" t="s">
        <v>475</v>
      </c>
      <c r="I241" s="116" t="s">
        <v>237</v>
      </c>
      <c r="J241" s="95">
        <v>8708</v>
      </c>
      <c r="K241" s="97">
        <v>360</v>
      </c>
      <c r="L241" s="98"/>
      <c r="M241" s="97">
        <f t="shared" si="15"/>
        <v>360</v>
      </c>
      <c r="N241" s="95"/>
      <c r="O241" s="98">
        <v>0.28000000000000003</v>
      </c>
      <c r="P241" s="95" t="str">
        <f t="shared" si="16"/>
        <v>0</v>
      </c>
      <c r="Q241" s="97">
        <f t="shared" si="17"/>
        <v>50.400000000000006</v>
      </c>
      <c r="R241" s="97">
        <f t="shared" si="18"/>
        <v>50.400000000000006</v>
      </c>
      <c r="S241" s="97">
        <f t="shared" si="19"/>
        <v>460.79999999999995</v>
      </c>
    </row>
    <row r="242" spans="1:19" s="11" customFormat="1" x14ac:dyDescent="0.35">
      <c r="A242" s="93">
        <v>242</v>
      </c>
      <c r="B242" s="93" t="s">
        <v>431</v>
      </c>
      <c r="C242" s="94">
        <v>43495</v>
      </c>
      <c r="D242" s="95">
        <v>2077</v>
      </c>
      <c r="E242" s="95" t="s">
        <v>468</v>
      </c>
      <c r="F242" s="95" t="s">
        <v>464</v>
      </c>
      <c r="G242" s="95" t="s">
        <v>236</v>
      </c>
      <c r="H242" s="95" t="s">
        <v>475</v>
      </c>
      <c r="I242" s="116" t="s">
        <v>237</v>
      </c>
      <c r="J242" s="95">
        <v>8431</v>
      </c>
      <c r="K242" s="97">
        <v>612</v>
      </c>
      <c r="L242" s="98"/>
      <c r="M242" s="97">
        <f t="shared" si="15"/>
        <v>612</v>
      </c>
      <c r="N242" s="95"/>
      <c r="O242" s="98">
        <v>0.18</v>
      </c>
      <c r="P242" s="95" t="str">
        <f t="shared" si="16"/>
        <v>0</v>
      </c>
      <c r="Q242" s="97">
        <f t="shared" si="17"/>
        <v>55.08</v>
      </c>
      <c r="R242" s="97">
        <f t="shared" si="18"/>
        <v>55.08</v>
      </c>
      <c r="S242" s="97">
        <f t="shared" si="19"/>
        <v>722.16000000000008</v>
      </c>
    </row>
    <row r="243" spans="1:19" s="11" customFormat="1" x14ac:dyDescent="0.35">
      <c r="A243" s="93">
        <v>243</v>
      </c>
      <c r="B243" s="93" t="s">
        <v>431</v>
      </c>
      <c r="C243" s="94">
        <v>43495</v>
      </c>
      <c r="D243" s="95">
        <v>2077</v>
      </c>
      <c r="E243" s="95" t="s">
        <v>468</v>
      </c>
      <c r="F243" s="95" t="s">
        <v>464</v>
      </c>
      <c r="G243" s="95" t="s">
        <v>236</v>
      </c>
      <c r="H243" s="95" t="s">
        <v>475</v>
      </c>
      <c r="I243" s="116" t="s">
        <v>237</v>
      </c>
      <c r="J243" s="95">
        <v>7318</v>
      </c>
      <c r="K243" s="97">
        <v>82</v>
      </c>
      <c r="L243" s="98"/>
      <c r="M243" s="97">
        <f t="shared" si="15"/>
        <v>82</v>
      </c>
      <c r="N243" s="95"/>
      <c r="O243" s="98">
        <v>0.18</v>
      </c>
      <c r="P243" s="95" t="str">
        <f t="shared" si="16"/>
        <v>0</v>
      </c>
      <c r="Q243" s="97">
        <f t="shared" si="17"/>
        <v>7.38</v>
      </c>
      <c r="R243" s="97">
        <f t="shared" si="18"/>
        <v>7.38</v>
      </c>
      <c r="S243" s="97">
        <f t="shared" si="19"/>
        <v>96.759999999999991</v>
      </c>
    </row>
    <row r="244" spans="1:19" s="11" customFormat="1" x14ac:dyDescent="0.35">
      <c r="A244" s="93">
        <v>244</v>
      </c>
      <c r="B244" s="93" t="s">
        <v>431</v>
      </c>
      <c r="C244" s="94">
        <v>43495</v>
      </c>
      <c r="D244" s="95">
        <v>648</v>
      </c>
      <c r="E244" s="95" t="s">
        <v>468</v>
      </c>
      <c r="F244" s="95" t="s">
        <v>464</v>
      </c>
      <c r="G244" s="95" t="s">
        <v>22</v>
      </c>
      <c r="H244" s="95" t="s">
        <v>475</v>
      </c>
      <c r="I244" s="116" t="s">
        <v>23</v>
      </c>
      <c r="J244" s="95">
        <v>4011</v>
      </c>
      <c r="K244" s="97">
        <v>68406.240000000005</v>
      </c>
      <c r="L244" s="98"/>
      <c r="M244" s="97">
        <f t="shared" si="15"/>
        <v>68406.240000000005</v>
      </c>
      <c r="N244" s="95"/>
      <c r="O244" s="98">
        <v>0.28000000000000003</v>
      </c>
      <c r="P244" s="95" t="str">
        <f t="shared" si="16"/>
        <v>0</v>
      </c>
      <c r="Q244" s="97">
        <f t="shared" si="17"/>
        <v>9576.8736000000008</v>
      </c>
      <c r="R244" s="97">
        <f t="shared" si="18"/>
        <v>9576.8736000000008</v>
      </c>
      <c r="S244" s="97">
        <f t="shared" si="19"/>
        <v>87559.987200000018</v>
      </c>
    </row>
    <row r="245" spans="1:19" s="11" customFormat="1" x14ac:dyDescent="0.35">
      <c r="A245" s="93">
        <v>245</v>
      </c>
      <c r="B245" s="93" t="s">
        <v>431</v>
      </c>
      <c r="C245" s="94">
        <v>43495</v>
      </c>
      <c r="D245" s="95">
        <v>648</v>
      </c>
      <c r="E245" s="95" t="s">
        <v>468</v>
      </c>
      <c r="F245" s="95" t="s">
        <v>464</v>
      </c>
      <c r="G245" s="95" t="s">
        <v>22</v>
      </c>
      <c r="H245" s="95" t="s">
        <v>475</v>
      </c>
      <c r="I245" s="116" t="s">
        <v>23</v>
      </c>
      <c r="J245" s="95">
        <v>4013</v>
      </c>
      <c r="K245" s="97">
        <v>5203.12</v>
      </c>
      <c r="L245" s="98"/>
      <c r="M245" s="97">
        <f t="shared" si="15"/>
        <v>5203.12</v>
      </c>
      <c r="N245" s="95"/>
      <c r="O245" s="98">
        <v>0.28000000000000003</v>
      </c>
      <c r="P245" s="95" t="str">
        <f t="shared" si="16"/>
        <v>0</v>
      </c>
      <c r="Q245" s="97">
        <f t="shared" si="17"/>
        <v>728.43680000000006</v>
      </c>
      <c r="R245" s="97">
        <f t="shared" si="18"/>
        <v>728.43680000000006</v>
      </c>
      <c r="S245" s="97">
        <f t="shared" si="19"/>
        <v>6659.9936000000007</v>
      </c>
    </row>
    <row r="246" spans="1:19" s="11" customFormat="1" x14ac:dyDescent="0.35">
      <c r="A246" s="93">
        <v>246</v>
      </c>
      <c r="B246" s="93" t="s">
        <v>431</v>
      </c>
      <c r="C246" s="94">
        <v>43495</v>
      </c>
      <c r="D246" s="95">
        <v>648</v>
      </c>
      <c r="E246" s="95" t="s">
        <v>468</v>
      </c>
      <c r="F246" s="95" t="s">
        <v>464</v>
      </c>
      <c r="G246" s="95" t="s">
        <v>22</v>
      </c>
      <c r="H246" s="95" t="s">
        <v>475</v>
      </c>
      <c r="I246" s="116" t="s">
        <v>23</v>
      </c>
      <c r="J246" s="95">
        <v>4012</v>
      </c>
      <c r="K246" s="97">
        <v>1703.12</v>
      </c>
      <c r="L246" s="98"/>
      <c r="M246" s="97">
        <f t="shared" si="15"/>
        <v>1703.12</v>
      </c>
      <c r="N246" s="95"/>
      <c r="O246" s="98">
        <v>0.28000000000000003</v>
      </c>
      <c r="P246" s="95" t="str">
        <f t="shared" si="16"/>
        <v>0</v>
      </c>
      <c r="Q246" s="97">
        <f t="shared" si="17"/>
        <v>238.43680000000001</v>
      </c>
      <c r="R246" s="97">
        <f t="shared" si="18"/>
        <v>238.43680000000001</v>
      </c>
      <c r="S246" s="97">
        <f t="shared" si="19"/>
        <v>2179.9935999999998</v>
      </c>
    </row>
    <row r="247" spans="1:19" s="11" customFormat="1" x14ac:dyDescent="0.35">
      <c r="A247" s="93">
        <v>247</v>
      </c>
      <c r="B247" s="93" t="s">
        <v>431</v>
      </c>
      <c r="C247" s="94">
        <v>43495</v>
      </c>
      <c r="D247" s="95" t="s">
        <v>243</v>
      </c>
      <c r="E247" s="95" t="s">
        <v>468</v>
      </c>
      <c r="F247" s="95" t="s">
        <v>464</v>
      </c>
      <c r="G247" s="95" t="s">
        <v>244</v>
      </c>
      <c r="H247" s="95" t="s">
        <v>475</v>
      </c>
      <c r="I247" s="116" t="s">
        <v>245</v>
      </c>
      <c r="J247" s="95">
        <v>84749000</v>
      </c>
      <c r="K247" s="97">
        <v>71116.800000000003</v>
      </c>
      <c r="L247" s="98"/>
      <c r="M247" s="97">
        <f t="shared" si="15"/>
        <v>71116.800000000003</v>
      </c>
      <c r="N247" s="95"/>
      <c r="O247" s="98">
        <v>0.18</v>
      </c>
      <c r="P247" s="95" t="str">
        <f t="shared" si="16"/>
        <v>0</v>
      </c>
      <c r="Q247" s="97">
        <f t="shared" si="17"/>
        <v>6400.5119999999997</v>
      </c>
      <c r="R247" s="97">
        <f t="shared" si="18"/>
        <v>6400.5119999999997</v>
      </c>
      <c r="S247" s="97">
        <f t="shared" si="19"/>
        <v>83917.824000000008</v>
      </c>
    </row>
    <row r="248" spans="1:19" s="11" customFormat="1" x14ac:dyDescent="0.35">
      <c r="A248" s="93">
        <v>248</v>
      </c>
      <c r="B248" s="93" t="s">
        <v>431</v>
      </c>
      <c r="C248" s="94">
        <v>43496</v>
      </c>
      <c r="D248" s="95">
        <v>612</v>
      </c>
      <c r="E248" s="95" t="s">
        <v>468</v>
      </c>
      <c r="F248" s="95" t="s">
        <v>464</v>
      </c>
      <c r="G248" s="95" t="s">
        <v>30</v>
      </c>
      <c r="H248" s="95" t="s">
        <v>475</v>
      </c>
      <c r="I248" s="116" t="s">
        <v>31</v>
      </c>
      <c r="J248" s="95">
        <v>7214</v>
      </c>
      <c r="K248" s="97">
        <v>2255.25</v>
      </c>
      <c r="L248" s="98"/>
      <c r="M248" s="97">
        <f t="shared" si="15"/>
        <v>2255.25</v>
      </c>
      <c r="N248" s="95"/>
      <c r="O248" s="98">
        <v>0.18</v>
      </c>
      <c r="P248" s="95" t="str">
        <f t="shared" si="16"/>
        <v>0</v>
      </c>
      <c r="Q248" s="97">
        <f t="shared" si="17"/>
        <v>202.9725</v>
      </c>
      <c r="R248" s="97">
        <f t="shared" si="18"/>
        <v>202.9725</v>
      </c>
      <c r="S248" s="97">
        <f t="shared" si="19"/>
        <v>2661.1949999999997</v>
      </c>
    </row>
    <row r="249" spans="1:19" s="11" customFormat="1" x14ac:dyDescent="0.35">
      <c r="A249" s="93">
        <v>249</v>
      </c>
      <c r="B249" s="93" t="s">
        <v>431</v>
      </c>
      <c r="C249" s="94">
        <v>43496</v>
      </c>
      <c r="D249" s="95">
        <v>612</v>
      </c>
      <c r="E249" s="95" t="s">
        <v>468</v>
      </c>
      <c r="F249" s="95" t="s">
        <v>464</v>
      </c>
      <c r="G249" s="95" t="s">
        <v>30</v>
      </c>
      <c r="H249" s="95" t="s">
        <v>475</v>
      </c>
      <c r="I249" s="116" t="s">
        <v>31</v>
      </c>
      <c r="J249" s="95">
        <v>7306</v>
      </c>
      <c r="K249" s="97">
        <v>19650</v>
      </c>
      <c r="L249" s="98"/>
      <c r="M249" s="97">
        <f t="shared" si="15"/>
        <v>19650</v>
      </c>
      <c r="N249" s="95"/>
      <c r="O249" s="98">
        <v>0.18</v>
      </c>
      <c r="P249" s="95" t="str">
        <f t="shared" si="16"/>
        <v>0</v>
      </c>
      <c r="Q249" s="97">
        <f t="shared" si="17"/>
        <v>1768.5</v>
      </c>
      <c r="R249" s="97">
        <f t="shared" si="18"/>
        <v>1768.5</v>
      </c>
      <c r="S249" s="97">
        <f t="shared" si="19"/>
        <v>23187</v>
      </c>
    </row>
    <row r="250" spans="1:19" s="11" customFormat="1" x14ac:dyDescent="0.35">
      <c r="A250" s="93">
        <v>250</v>
      </c>
      <c r="B250" s="93" t="s">
        <v>431</v>
      </c>
      <c r="C250" s="94">
        <v>43496</v>
      </c>
      <c r="D250" s="95">
        <v>612</v>
      </c>
      <c r="E250" s="95" t="s">
        <v>468</v>
      </c>
      <c r="F250" s="95" t="s">
        <v>464</v>
      </c>
      <c r="G250" s="95" t="s">
        <v>30</v>
      </c>
      <c r="H250" s="95" t="s">
        <v>475</v>
      </c>
      <c r="I250" s="116" t="s">
        <v>31</v>
      </c>
      <c r="J250" s="95">
        <v>7208</v>
      </c>
      <c r="K250" s="97">
        <v>7368</v>
      </c>
      <c r="L250" s="98"/>
      <c r="M250" s="97">
        <f t="shared" si="15"/>
        <v>7368</v>
      </c>
      <c r="N250" s="95"/>
      <c r="O250" s="98">
        <v>0.18</v>
      </c>
      <c r="P250" s="95" t="str">
        <f t="shared" si="16"/>
        <v>0</v>
      </c>
      <c r="Q250" s="97">
        <f t="shared" si="17"/>
        <v>663.12</v>
      </c>
      <c r="R250" s="97">
        <f t="shared" si="18"/>
        <v>663.12</v>
      </c>
      <c r="S250" s="97">
        <f t="shared" si="19"/>
        <v>8694.24</v>
      </c>
    </row>
    <row r="251" spans="1:19" s="11" customFormat="1" x14ac:dyDescent="0.35">
      <c r="A251" s="93">
        <v>251</v>
      </c>
      <c r="B251" s="93" t="s">
        <v>431</v>
      </c>
      <c r="C251" s="94">
        <v>43496</v>
      </c>
      <c r="D251" s="95" t="s">
        <v>246</v>
      </c>
      <c r="E251" s="95" t="s">
        <v>468</v>
      </c>
      <c r="F251" s="95" t="s">
        <v>464</v>
      </c>
      <c r="G251" s="95" t="s">
        <v>45</v>
      </c>
      <c r="H251" s="95" t="s">
        <v>475</v>
      </c>
      <c r="I251" s="116" t="s">
        <v>46</v>
      </c>
      <c r="J251" s="95">
        <v>84213990</v>
      </c>
      <c r="K251" s="97">
        <v>17784</v>
      </c>
      <c r="L251" s="98"/>
      <c r="M251" s="97">
        <f t="shared" si="15"/>
        <v>17784</v>
      </c>
      <c r="N251" s="95"/>
      <c r="O251" s="98">
        <v>0.18</v>
      </c>
      <c r="P251" s="95" t="str">
        <f t="shared" si="16"/>
        <v>0</v>
      </c>
      <c r="Q251" s="97">
        <f t="shared" si="17"/>
        <v>1600.56</v>
      </c>
      <c r="R251" s="97">
        <f t="shared" si="18"/>
        <v>1600.56</v>
      </c>
      <c r="S251" s="97">
        <f t="shared" si="19"/>
        <v>20985.120000000003</v>
      </c>
    </row>
    <row r="252" spans="1:19" s="11" customFormat="1" x14ac:dyDescent="0.35">
      <c r="A252" s="93">
        <v>252</v>
      </c>
      <c r="B252" s="93" t="s">
        <v>431</v>
      </c>
      <c r="C252" s="94">
        <v>43496</v>
      </c>
      <c r="D252" s="95" t="s">
        <v>247</v>
      </c>
      <c r="E252" s="95" t="s">
        <v>468</v>
      </c>
      <c r="F252" s="95" t="s">
        <v>464</v>
      </c>
      <c r="G252" s="95" t="s">
        <v>45</v>
      </c>
      <c r="H252" s="95" t="s">
        <v>475</v>
      </c>
      <c r="I252" s="116" t="s">
        <v>46</v>
      </c>
      <c r="J252" s="95">
        <v>40169320</v>
      </c>
      <c r="K252" s="97">
        <f>30+84+520</f>
        <v>634</v>
      </c>
      <c r="L252" s="98"/>
      <c r="M252" s="97">
        <f t="shared" si="15"/>
        <v>634</v>
      </c>
      <c r="N252" s="95"/>
      <c r="O252" s="98">
        <v>0.18</v>
      </c>
      <c r="P252" s="95" t="str">
        <f t="shared" si="16"/>
        <v>0</v>
      </c>
      <c r="Q252" s="97">
        <f t="shared" si="17"/>
        <v>57.059999999999995</v>
      </c>
      <c r="R252" s="97">
        <f t="shared" si="18"/>
        <v>57.059999999999995</v>
      </c>
      <c r="S252" s="97">
        <f t="shared" si="19"/>
        <v>748.11999999999989</v>
      </c>
    </row>
    <row r="253" spans="1:19" s="11" customFormat="1" x14ac:dyDescent="0.35">
      <c r="A253" s="93">
        <v>253</v>
      </c>
      <c r="B253" s="93" t="s">
        <v>431</v>
      </c>
      <c r="C253" s="94">
        <v>43496</v>
      </c>
      <c r="D253" s="95" t="s">
        <v>247</v>
      </c>
      <c r="E253" s="95" t="s">
        <v>468</v>
      </c>
      <c r="F253" s="95" t="s">
        <v>464</v>
      </c>
      <c r="G253" s="95" t="s">
        <v>45</v>
      </c>
      <c r="H253" s="95" t="s">
        <v>475</v>
      </c>
      <c r="I253" s="116" t="s">
        <v>46</v>
      </c>
      <c r="J253" s="95">
        <v>73182400</v>
      </c>
      <c r="K253" s="97">
        <v>6130</v>
      </c>
      <c r="L253" s="98"/>
      <c r="M253" s="97">
        <f t="shared" si="15"/>
        <v>6130</v>
      </c>
      <c r="N253" s="95"/>
      <c r="O253" s="98">
        <v>0.18</v>
      </c>
      <c r="P253" s="95" t="str">
        <f t="shared" si="16"/>
        <v>0</v>
      </c>
      <c r="Q253" s="97">
        <f t="shared" si="17"/>
        <v>551.69999999999993</v>
      </c>
      <c r="R253" s="97">
        <f t="shared" si="18"/>
        <v>551.69999999999993</v>
      </c>
      <c r="S253" s="97">
        <f t="shared" si="19"/>
        <v>7233.4</v>
      </c>
    </row>
    <row r="254" spans="1:19" s="11" customFormat="1" x14ac:dyDescent="0.35">
      <c r="A254" s="93">
        <v>254</v>
      </c>
      <c r="B254" s="93" t="s">
        <v>431</v>
      </c>
      <c r="C254" s="94">
        <v>43496</v>
      </c>
      <c r="D254" s="95" t="s">
        <v>247</v>
      </c>
      <c r="E254" s="95" t="s">
        <v>468</v>
      </c>
      <c r="F254" s="95" t="s">
        <v>464</v>
      </c>
      <c r="G254" s="95" t="s">
        <v>45</v>
      </c>
      <c r="H254" s="95" t="s">
        <v>475</v>
      </c>
      <c r="I254" s="116" t="s">
        <v>46</v>
      </c>
      <c r="J254" s="95">
        <v>73182990</v>
      </c>
      <c r="K254" s="97">
        <v>5896</v>
      </c>
      <c r="L254" s="98"/>
      <c r="M254" s="97">
        <f t="shared" si="15"/>
        <v>5896</v>
      </c>
      <c r="N254" s="95"/>
      <c r="O254" s="98">
        <v>0.18</v>
      </c>
      <c r="P254" s="95" t="str">
        <f t="shared" si="16"/>
        <v>0</v>
      </c>
      <c r="Q254" s="97">
        <f t="shared" si="17"/>
        <v>530.64</v>
      </c>
      <c r="R254" s="97">
        <f t="shared" si="18"/>
        <v>530.64</v>
      </c>
      <c r="S254" s="97">
        <f t="shared" si="19"/>
        <v>6957.2800000000007</v>
      </c>
    </row>
    <row r="255" spans="1:19" s="11" customFormat="1" x14ac:dyDescent="0.35">
      <c r="A255" s="93">
        <v>255</v>
      </c>
      <c r="B255" s="93" t="s">
        <v>431</v>
      </c>
      <c r="C255" s="94">
        <v>43496</v>
      </c>
      <c r="D255" s="95" t="s">
        <v>247</v>
      </c>
      <c r="E255" s="95" t="s">
        <v>468</v>
      </c>
      <c r="F255" s="95" t="s">
        <v>464</v>
      </c>
      <c r="G255" s="95" t="s">
        <v>45</v>
      </c>
      <c r="H255" s="95" t="s">
        <v>475</v>
      </c>
      <c r="I255" s="116" t="s">
        <v>46</v>
      </c>
      <c r="J255" s="95">
        <v>84822090</v>
      </c>
      <c r="K255" s="97">
        <v>11140</v>
      </c>
      <c r="L255" s="98"/>
      <c r="M255" s="97">
        <f t="shared" si="15"/>
        <v>11140</v>
      </c>
      <c r="N255" s="95"/>
      <c r="O255" s="98">
        <v>0.18</v>
      </c>
      <c r="P255" s="95" t="str">
        <f t="shared" si="16"/>
        <v>0</v>
      </c>
      <c r="Q255" s="97">
        <f t="shared" si="17"/>
        <v>1002.5999999999999</v>
      </c>
      <c r="R255" s="97">
        <f t="shared" si="18"/>
        <v>1002.5999999999999</v>
      </c>
      <c r="S255" s="97">
        <f t="shared" si="19"/>
        <v>13145.2</v>
      </c>
    </row>
    <row r="256" spans="1:19" s="11" customFormat="1" x14ac:dyDescent="0.35">
      <c r="A256" s="93">
        <v>256</v>
      </c>
      <c r="B256" s="93" t="s">
        <v>431</v>
      </c>
      <c r="C256" s="94">
        <v>43496</v>
      </c>
      <c r="D256" s="95" t="s">
        <v>247</v>
      </c>
      <c r="E256" s="95" t="s">
        <v>468</v>
      </c>
      <c r="F256" s="95" t="s">
        <v>464</v>
      </c>
      <c r="G256" s="95" t="s">
        <v>45</v>
      </c>
      <c r="H256" s="95" t="s">
        <v>475</v>
      </c>
      <c r="I256" s="116" t="s">
        <v>46</v>
      </c>
      <c r="J256" s="95">
        <v>40169390</v>
      </c>
      <c r="K256" s="97">
        <v>1150</v>
      </c>
      <c r="L256" s="98"/>
      <c r="M256" s="97">
        <f t="shared" si="15"/>
        <v>1150</v>
      </c>
      <c r="N256" s="95"/>
      <c r="O256" s="98">
        <v>0.18</v>
      </c>
      <c r="P256" s="95" t="str">
        <f t="shared" si="16"/>
        <v>0</v>
      </c>
      <c r="Q256" s="97">
        <f t="shared" si="17"/>
        <v>103.5</v>
      </c>
      <c r="R256" s="97">
        <f t="shared" si="18"/>
        <v>103.5</v>
      </c>
      <c r="S256" s="97">
        <f t="shared" si="19"/>
        <v>1357</v>
      </c>
    </row>
    <row r="257" spans="1:19" s="11" customFormat="1" x14ac:dyDescent="0.35">
      <c r="A257" s="93">
        <v>257</v>
      </c>
      <c r="B257" s="93" t="s">
        <v>431</v>
      </c>
      <c r="C257" s="94">
        <v>43496</v>
      </c>
      <c r="D257" s="95" t="s">
        <v>247</v>
      </c>
      <c r="E257" s="95" t="s">
        <v>468</v>
      </c>
      <c r="F257" s="95" t="s">
        <v>464</v>
      </c>
      <c r="G257" s="95" t="s">
        <v>45</v>
      </c>
      <c r="H257" s="95" t="s">
        <v>475</v>
      </c>
      <c r="I257" s="116" t="s">
        <v>46</v>
      </c>
      <c r="J257" s="95">
        <v>73079910</v>
      </c>
      <c r="K257" s="97">
        <f>862+2072</f>
        <v>2934</v>
      </c>
      <c r="L257" s="98"/>
      <c r="M257" s="97">
        <f t="shared" si="15"/>
        <v>2934</v>
      </c>
      <c r="N257" s="95"/>
      <c r="O257" s="98">
        <v>0.18</v>
      </c>
      <c r="P257" s="95" t="str">
        <f t="shared" si="16"/>
        <v>0</v>
      </c>
      <c r="Q257" s="97">
        <f t="shared" si="17"/>
        <v>264.06</v>
      </c>
      <c r="R257" s="97">
        <f t="shared" si="18"/>
        <v>264.06</v>
      </c>
      <c r="S257" s="97">
        <f t="shared" si="19"/>
        <v>3462.12</v>
      </c>
    </row>
    <row r="258" spans="1:19" s="11" customFormat="1" x14ac:dyDescent="0.35">
      <c r="A258" s="93">
        <v>258</v>
      </c>
      <c r="B258" s="93" t="s">
        <v>431</v>
      </c>
      <c r="C258" s="94">
        <v>43496</v>
      </c>
      <c r="D258" s="95" t="s">
        <v>247</v>
      </c>
      <c r="E258" s="95" t="s">
        <v>468</v>
      </c>
      <c r="F258" s="95" t="s">
        <v>464</v>
      </c>
      <c r="G258" s="95" t="s">
        <v>45</v>
      </c>
      <c r="H258" s="95" t="s">
        <v>475</v>
      </c>
      <c r="I258" s="116" t="s">
        <v>46</v>
      </c>
      <c r="J258" s="95">
        <v>73079990</v>
      </c>
      <c r="K258" s="97">
        <v>2114</v>
      </c>
      <c r="L258" s="98"/>
      <c r="M258" s="97">
        <f t="shared" si="15"/>
        <v>2114</v>
      </c>
      <c r="N258" s="95"/>
      <c r="O258" s="98">
        <v>0.18</v>
      </c>
      <c r="P258" s="95" t="str">
        <f t="shared" si="16"/>
        <v>0</v>
      </c>
      <c r="Q258" s="97">
        <f t="shared" si="17"/>
        <v>190.26</v>
      </c>
      <c r="R258" s="97">
        <f t="shared" si="18"/>
        <v>190.26</v>
      </c>
      <c r="S258" s="97">
        <f t="shared" si="19"/>
        <v>2494.5200000000004</v>
      </c>
    </row>
    <row r="259" spans="1:19" s="11" customFormat="1" x14ac:dyDescent="0.35">
      <c r="A259" s="93">
        <v>259</v>
      </c>
      <c r="B259" s="93" t="s">
        <v>431</v>
      </c>
      <c r="C259" s="94">
        <v>43496</v>
      </c>
      <c r="D259" s="95" t="s">
        <v>248</v>
      </c>
      <c r="E259" s="95" t="s">
        <v>468</v>
      </c>
      <c r="F259" s="95" t="s">
        <v>464</v>
      </c>
      <c r="G259" s="95" t="s">
        <v>45</v>
      </c>
      <c r="H259" s="95" t="s">
        <v>475</v>
      </c>
      <c r="I259" s="116" t="s">
        <v>46</v>
      </c>
      <c r="J259" s="95">
        <v>73209090</v>
      </c>
      <c r="K259" s="97">
        <v>392</v>
      </c>
      <c r="L259" s="98"/>
      <c r="M259" s="97">
        <f t="shared" ref="M259:M307" si="20">K259-L259</f>
        <v>392</v>
      </c>
      <c r="N259" s="95"/>
      <c r="O259" s="98">
        <v>0.18</v>
      </c>
      <c r="P259" s="95" t="str">
        <f t="shared" ref="P259:P307" si="21">IF(AND(E259="Interstate",F259&lt;&gt;"Composition"),(M259+N259)*O259,"0")</f>
        <v>0</v>
      </c>
      <c r="Q259" s="97">
        <f t="shared" ref="Q259:Q307" si="22">IF(AND(E259="Intrastate",F259&lt;&gt;"Composition"),(M259+N259)*(O259/2),"0")</f>
        <v>35.28</v>
      </c>
      <c r="R259" s="97">
        <f t="shared" ref="R259:R307" si="23">IF(AND(E259="Intrastate",F259&lt;&gt;"Composition"),(M259+N259)*(O259/2),"0")</f>
        <v>35.28</v>
      </c>
      <c r="S259" s="97">
        <f t="shared" ref="S259:S307" si="24">SUM(M259:N259,P259:R259)</f>
        <v>462.55999999999995</v>
      </c>
    </row>
    <row r="260" spans="1:19" s="11" customFormat="1" x14ac:dyDescent="0.35">
      <c r="A260" s="93">
        <v>260</v>
      </c>
      <c r="B260" s="93" t="s">
        <v>431</v>
      </c>
      <c r="C260" s="94">
        <v>43496</v>
      </c>
      <c r="D260" s="95" t="s">
        <v>248</v>
      </c>
      <c r="E260" s="95" t="s">
        <v>468</v>
      </c>
      <c r="F260" s="95" t="s">
        <v>464</v>
      </c>
      <c r="G260" s="95" t="s">
        <v>45</v>
      </c>
      <c r="H260" s="95" t="s">
        <v>475</v>
      </c>
      <c r="I260" s="116" t="s">
        <v>46</v>
      </c>
      <c r="J260" s="95">
        <v>40169390</v>
      </c>
      <c r="K260" s="97">
        <v>4949</v>
      </c>
      <c r="L260" s="98"/>
      <c r="M260" s="97">
        <f t="shared" si="20"/>
        <v>4949</v>
      </c>
      <c r="N260" s="95"/>
      <c r="O260" s="98">
        <v>0.18</v>
      </c>
      <c r="P260" s="95" t="str">
        <f t="shared" si="21"/>
        <v>0</v>
      </c>
      <c r="Q260" s="97">
        <f t="shared" si="22"/>
        <v>445.40999999999997</v>
      </c>
      <c r="R260" s="97">
        <f t="shared" si="23"/>
        <v>445.40999999999997</v>
      </c>
      <c r="S260" s="97">
        <f t="shared" si="24"/>
        <v>5839.82</v>
      </c>
    </row>
    <row r="261" spans="1:19" s="11" customFormat="1" x14ac:dyDescent="0.35">
      <c r="A261" s="93">
        <v>261</v>
      </c>
      <c r="B261" s="93" t="s">
        <v>431</v>
      </c>
      <c r="C261" s="94">
        <v>43496</v>
      </c>
      <c r="D261" s="95" t="s">
        <v>248</v>
      </c>
      <c r="E261" s="95" t="s">
        <v>468</v>
      </c>
      <c r="F261" s="95" t="s">
        <v>464</v>
      </c>
      <c r="G261" s="95" t="s">
        <v>45</v>
      </c>
      <c r="H261" s="95" t="s">
        <v>475</v>
      </c>
      <c r="I261" s="116" t="s">
        <v>46</v>
      </c>
      <c r="J261" s="95">
        <v>40169320</v>
      </c>
      <c r="K261" s="97">
        <v>273</v>
      </c>
      <c r="L261" s="98"/>
      <c r="M261" s="97">
        <f t="shared" si="20"/>
        <v>273</v>
      </c>
      <c r="N261" s="95"/>
      <c r="O261" s="98">
        <v>0.18</v>
      </c>
      <c r="P261" s="95" t="str">
        <f t="shared" si="21"/>
        <v>0</v>
      </c>
      <c r="Q261" s="97">
        <f t="shared" si="22"/>
        <v>24.57</v>
      </c>
      <c r="R261" s="97">
        <f t="shared" si="23"/>
        <v>24.57</v>
      </c>
      <c r="S261" s="97">
        <f t="shared" si="24"/>
        <v>322.14</v>
      </c>
    </row>
    <row r="262" spans="1:19" s="11" customFormat="1" x14ac:dyDescent="0.35">
      <c r="A262" s="93">
        <v>262</v>
      </c>
      <c r="B262" s="93" t="s">
        <v>431</v>
      </c>
      <c r="C262" s="94">
        <v>43496</v>
      </c>
      <c r="D262" s="95" t="s">
        <v>248</v>
      </c>
      <c r="E262" s="95" t="s">
        <v>468</v>
      </c>
      <c r="F262" s="95" t="s">
        <v>464</v>
      </c>
      <c r="G262" s="95" t="s">
        <v>45</v>
      </c>
      <c r="H262" s="95" t="s">
        <v>475</v>
      </c>
      <c r="I262" s="116" t="s">
        <v>46</v>
      </c>
      <c r="J262" s="95">
        <v>84841090</v>
      </c>
      <c r="K262" s="97">
        <v>1961</v>
      </c>
      <c r="L262" s="98"/>
      <c r="M262" s="97">
        <f t="shared" si="20"/>
        <v>1961</v>
      </c>
      <c r="N262" s="95"/>
      <c r="O262" s="98">
        <v>0.18</v>
      </c>
      <c r="P262" s="95" t="str">
        <f t="shared" si="21"/>
        <v>0</v>
      </c>
      <c r="Q262" s="97">
        <f t="shared" si="22"/>
        <v>176.48999999999998</v>
      </c>
      <c r="R262" s="97">
        <f t="shared" si="23"/>
        <v>176.48999999999998</v>
      </c>
      <c r="S262" s="97">
        <f t="shared" si="24"/>
        <v>2313.9799999999996</v>
      </c>
    </row>
    <row r="263" spans="1:19" s="11" customFormat="1" x14ac:dyDescent="0.35">
      <c r="A263" s="93">
        <v>263</v>
      </c>
      <c r="B263" s="93" t="s">
        <v>431</v>
      </c>
      <c r="C263" s="94">
        <v>43496</v>
      </c>
      <c r="D263" s="95">
        <v>1068</v>
      </c>
      <c r="E263" s="95" t="s">
        <v>468</v>
      </c>
      <c r="F263" s="95" t="s">
        <v>464</v>
      </c>
      <c r="G263" s="95" t="s">
        <v>12</v>
      </c>
      <c r="H263" s="95" t="s">
        <v>475</v>
      </c>
      <c r="I263" s="116" t="s">
        <v>13</v>
      </c>
      <c r="J263" s="93" t="s">
        <v>63</v>
      </c>
      <c r="K263" s="97">
        <v>12000</v>
      </c>
      <c r="L263" s="98"/>
      <c r="M263" s="97">
        <f t="shared" si="20"/>
        <v>12000</v>
      </c>
      <c r="N263" s="95"/>
      <c r="O263" s="98">
        <v>0.18</v>
      </c>
      <c r="P263" s="95" t="str">
        <f t="shared" si="21"/>
        <v>0</v>
      </c>
      <c r="Q263" s="97">
        <f t="shared" si="22"/>
        <v>1080</v>
      </c>
      <c r="R263" s="97">
        <f t="shared" si="23"/>
        <v>1080</v>
      </c>
      <c r="S263" s="97">
        <f t="shared" si="24"/>
        <v>14160</v>
      </c>
    </row>
    <row r="264" spans="1:19" s="11" customFormat="1" x14ac:dyDescent="0.35">
      <c r="A264" s="93">
        <v>264</v>
      </c>
      <c r="B264" s="93" t="s">
        <v>431</v>
      </c>
      <c r="C264" s="94">
        <v>43496</v>
      </c>
      <c r="D264" s="95">
        <v>1068</v>
      </c>
      <c r="E264" s="95" t="s">
        <v>468</v>
      </c>
      <c r="F264" s="95" t="s">
        <v>464</v>
      </c>
      <c r="G264" s="95" t="s">
        <v>12</v>
      </c>
      <c r="H264" s="95" t="s">
        <v>475</v>
      </c>
      <c r="I264" s="116" t="s">
        <v>13</v>
      </c>
      <c r="J264" s="95">
        <v>8311</v>
      </c>
      <c r="K264" s="97">
        <v>2500</v>
      </c>
      <c r="L264" s="98"/>
      <c r="M264" s="97">
        <f t="shared" si="20"/>
        <v>2500</v>
      </c>
      <c r="N264" s="95"/>
      <c r="O264" s="98">
        <v>0.18</v>
      </c>
      <c r="P264" s="95" t="str">
        <f t="shared" si="21"/>
        <v>0</v>
      </c>
      <c r="Q264" s="97">
        <f t="shared" si="22"/>
        <v>225</v>
      </c>
      <c r="R264" s="97">
        <f t="shared" si="23"/>
        <v>225</v>
      </c>
      <c r="S264" s="97">
        <f t="shared" si="24"/>
        <v>2950</v>
      </c>
    </row>
    <row r="265" spans="1:19" s="11" customFormat="1" x14ac:dyDescent="0.35">
      <c r="A265" s="93">
        <v>265</v>
      </c>
      <c r="B265" s="93" t="s">
        <v>431</v>
      </c>
      <c r="C265" s="94">
        <v>43496</v>
      </c>
      <c r="D265" s="95">
        <v>797</v>
      </c>
      <c r="E265" s="95" t="s">
        <v>468</v>
      </c>
      <c r="F265" s="95" t="s">
        <v>464</v>
      </c>
      <c r="G265" s="95" t="s">
        <v>35</v>
      </c>
      <c r="H265" s="95" t="s">
        <v>475</v>
      </c>
      <c r="I265" s="116" t="s">
        <v>36</v>
      </c>
      <c r="J265" s="93" t="s">
        <v>63</v>
      </c>
      <c r="K265" s="97">
        <v>338.98</v>
      </c>
      <c r="L265" s="98"/>
      <c r="M265" s="97">
        <f t="shared" si="20"/>
        <v>338.98</v>
      </c>
      <c r="N265" s="95"/>
      <c r="O265" s="98">
        <v>0.18</v>
      </c>
      <c r="P265" s="95" t="str">
        <f t="shared" si="21"/>
        <v>0</v>
      </c>
      <c r="Q265" s="97">
        <f t="shared" si="22"/>
        <v>30.508200000000002</v>
      </c>
      <c r="R265" s="97">
        <f t="shared" si="23"/>
        <v>30.508200000000002</v>
      </c>
      <c r="S265" s="97">
        <f t="shared" si="24"/>
        <v>399.99639999999999</v>
      </c>
    </row>
    <row r="266" spans="1:19" s="11" customFormat="1" x14ac:dyDescent="0.35">
      <c r="A266" s="93">
        <v>266</v>
      </c>
      <c r="B266" s="93" t="s">
        <v>431</v>
      </c>
      <c r="C266" s="94">
        <v>43496</v>
      </c>
      <c r="D266" s="95">
        <v>797</v>
      </c>
      <c r="E266" s="95" t="s">
        <v>468</v>
      </c>
      <c r="F266" s="95" t="s">
        <v>464</v>
      </c>
      <c r="G266" s="95" t="s">
        <v>35</v>
      </c>
      <c r="H266" s="95" t="s">
        <v>475</v>
      </c>
      <c r="I266" s="116" t="s">
        <v>36</v>
      </c>
      <c r="J266" s="95">
        <v>8708</v>
      </c>
      <c r="K266" s="97">
        <v>812.5</v>
      </c>
      <c r="L266" s="98"/>
      <c r="M266" s="97">
        <f t="shared" si="20"/>
        <v>812.5</v>
      </c>
      <c r="N266" s="95"/>
      <c r="O266" s="98">
        <v>0.28000000000000003</v>
      </c>
      <c r="P266" s="95" t="str">
        <f t="shared" si="21"/>
        <v>0</v>
      </c>
      <c r="Q266" s="97">
        <f t="shared" si="22"/>
        <v>113.75000000000001</v>
      </c>
      <c r="R266" s="97">
        <f t="shared" si="23"/>
        <v>113.75000000000001</v>
      </c>
      <c r="S266" s="97">
        <f t="shared" si="24"/>
        <v>1040</v>
      </c>
    </row>
    <row r="267" spans="1:19" s="11" customFormat="1" x14ac:dyDescent="0.35">
      <c r="A267" s="93">
        <v>267</v>
      </c>
      <c r="B267" s="93" t="s">
        <v>431</v>
      </c>
      <c r="C267" s="94">
        <v>43496</v>
      </c>
      <c r="D267" s="95" t="s">
        <v>249</v>
      </c>
      <c r="E267" s="95" t="s">
        <v>468</v>
      </c>
      <c r="F267" s="95" t="s">
        <v>464</v>
      </c>
      <c r="G267" s="95" t="s">
        <v>15</v>
      </c>
      <c r="H267" s="95" t="s">
        <v>475</v>
      </c>
      <c r="I267" s="116" t="s">
        <v>16</v>
      </c>
      <c r="J267" s="95">
        <v>73181600</v>
      </c>
      <c r="K267" s="97">
        <f>2796.6+466.1</f>
        <v>3262.7</v>
      </c>
      <c r="L267" s="98"/>
      <c r="M267" s="97">
        <f t="shared" si="20"/>
        <v>3262.7</v>
      </c>
      <c r="N267" s="95"/>
      <c r="O267" s="98">
        <v>0.18</v>
      </c>
      <c r="P267" s="95" t="str">
        <f t="shared" si="21"/>
        <v>0</v>
      </c>
      <c r="Q267" s="97">
        <f t="shared" si="22"/>
        <v>293.64299999999997</v>
      </c>
      <c r="R267" s="97">
        <f t="shared" si="23"/>
        <v>293.64299999999997</v>
      </c>
      <c r="S267" s="97">
        <f t="shared" si="24"/>
        <v>3849.9859999999999</v>
      </c>
    </row>
    <row r="268" spans="1:19" s="11" customFormat="1" x14ac:dyDescent="0.35">
      <c r="A268" s="93">
        <v>268</v>
      </c>
      <c r="B268" s="93" t="s">
        <v>431</v>
      </c>
      <c r="C268" s="94">
        <v>43496</v>
      </c>
      <c r="D268" s="95" t="s">
        <v>249</v>
      </c>
      <c r="E268" s="95" t="s">
        <v>468</v>
      </c>
      <c r="F268" s="95" t="s">
        <v>464</v>
      </c>
      <c r="G268" s="95" t="s">
        <v>15</v>
      </c>
      <c r="H268" s="95" t="s">
        <v>475</v>
      </c>
      <c r="I268" s="116" t="s">
        <v>16</v>
      </c>
      <c r="J268" s="95">
        <v>73181500</v>
      </c>
      <c r="K268" s="97">
        <f>5308.74+983.1</f>
        <v>6291.84</v>
      </c>
      <c r="L268" s="98"/>
      <c r="M268" s="97">
        <f t="shared" si="20"/>
        <v>6291.84</v>
      </c>
      <c r="N268" s="95"/>
      <c r="O268" s="98">
        <v>0.18</v>
      </c>
      <c r="P268" s="95" t="str">
        <f t="shared" si="21"/>
        <v>0</v>
      </c>
      <c r="Q268" s="97">
        <f t="shared" si="22"/>
        <v>566.26559999999995</v>
      </c>
      <c r="R268" s="97">
        <f t="shared" si="23"/>
        <v>566.26559999999995</v>
      </c>
      <c r="S268" s="97">
        <f t="shared" si="24"/>
        <v>7424.3711999999996</v>
      </c>
    </row>
    <row r="269" spans="1:19" s="11" customFormat="1" x14ac:dyDescent="0.35">
      <c r="A269" s="93">
        <v>269</v>
      </c>
      <c r="B269" s="93" t="s">
        <v>431</v>
      </c>
      <c r="C269" s="94">
        <v>43496</v>
      </c>
      <c r="D269" s="95" t="s">
        <v>249</v>
      </c>
      <c r="E269" s="95" t="s">
        <v>468</v>
      </c>
      <c r="F269" s="95" t="s">
        <v>464</v>
      </c>
      <c r="G269" s="95" t="s">
        <v>15</v>
      </c>
      <c r="H269" s="95" t="s">
        <v>475</v>
      </c>
      <c r="I269" s="116" t="s">
        <v>16</v>
      </c>
      <c r="J269" s="95">
        <v>73201020</v>
      </c>
      <c r="K269" s="97">
        <f>5194.92+5269.49+4906.78</f>
        <v>15371.189999999999</v>
      </c>
      <c r="L269" s="98"/>
      <c r="M269" s="97">
        <f t="shared" si="20"/>
        <v>15371.189999999999</v>
      </c>
      <c r="N269" s="95"/>
      <c r="O269" s="98">
        <v>0.18</v>
      </c>
      <c r="P269" s="95" t="str">
        <f t="shared" si="21"/>
        <v>0</v>
      </c>
      <c r="Q269" s="97">
        <f t="shared" si="22"/>
        <v>1383.4070999999999</v>
      </c>
      <c r="R269" s="97">
        <f t="shared" si="23"/>
        <v>1383.4070999999999</v>
      </c>
      <c r="S269" s="97">
        <f t="shared" si="24"/>
        <v>18138.004199999999</v>
      </c>
    </row>
    <row r="270" spans="1:19" s="11" customFormat="1" x14ac:dyDescent="0.35">
      <c r="A270" s="93">
        <v>270</v>
      </c>
      <c r="B270" s="93" t="s">
        <v>431</v>
      </c>
      <c r="C270" s="94">
        <v>43496</v>
      </c>
      <c r="D270" s="95" t="s">
        <v>249</v>
      </c>
      <c r="E270" s="95" t="s">
        <v>468</v>
      </c>
      <c r="F270" s="95" t="s">
        <v>464</v>
      </c>
      <c r="G270" s="95" t="s">
        <v>15</v>
      </c>
      <c r="H270" s="95" t="s">
        <v>475</v>
      </c>
      <c r="I270" s="116" t="s">
        <v>16</v>
      </c>
      <c r="J270" s="95">
        <v>73181900</v>
      </c>
      <c r="K270" s="97">
        <v>19.489999999999998</v>
      </c>
      <c r="L270" s="98"/>
      <c r="M270" s="97">
        <f t="shared" si="20"/>
        <v>19.489999999999998</v>
      </c>
      <c r="N270" s="95"/>
      <c r="O270" s="98">
        <v>0.18</v>
      </c>
      <c r="P270" s="95" t="str">
        <f t="shared" si="21"/>
        <v>0</v>
      </c>
      <c r="Q270" s="97">
        <f t="shared" si="22"/>
        <v>1.7540999999999998</v>
      </c>
      <c r="R270" s="97">
        <f t="shared" si="23"/>
        <v>1.7540999999999998</v>
      </c>
      <c r="S270" s="97">
        <f t="shared" si="24"/>
        <v>22.998200000000001</v>
      </c>
    </row>
    <row r="271" spans="1:19" s="11" customFormat="1" x14ac:dyDescent="0.35">
      <c r="A271" s="93">
        <v>271</v>
      </c>
      <c r="B271" s="93" t="s">
        <v>431</v>
      </c>
      <c r="C271" s="94">
        <v>43496</v>
      </c>
      <c r="D271" s="95" t="s">
        <v>249</v>
      </c>
      <c r="E271" s="95" t="s">
        <v>468</v>
      </c>
      <c r="F271" s="95" t="s">
        <v>464</v>
      </c>
      <c r="G271" s="95" t="s">
        <v>15</v>
      </c>
      <c r="H271" s="95" t="s">
        <v>475</v>
      </c>
      <c r="I271" s="116" t="s">
        <v>16</v>
      </c>
      <c r="J271" s="95">
        <v>73181600</v>
      </c>
      <c r="K271" s="97">
        <v>171.09</v>
      </c>
      <c r="L271" s="98"/>
      <c r="M271" s="97">
        <f t="shared" si="20"/>
        <v>171.09</v>
      </c>
      <c r="N271" s="95"/>
      <c r="O271" s="98">
        <v>0.28000000000000003</v>
      </c>
      <c r="P271" s="95" t="str">
        <f t="shared" si="21"/>
        <v>0</v>
      </c>
      <c r="Q271" s="97">
        <f t="shared" si="22"/>
        <v>23.952600000000004</v>
      </c>
      <c r="R271" s="97">
        <f t="shared" si="23"/>
        <v>23.952600000000004</v>
      </c>
      <c r="S271" s="97">
        <f t="shared" si="24"/>
        <v>218.99520000000001</v>
      </c>
    </row>
    <row r="272" spans="1:19" s="11" customFormat="1" x14ac:dyDescent="0.35">
      <c r="A272" s="93">
        <v>272</v>
      </c>
      <c r="B272" s="93" t="s">
        <v>431</v>
      </c>
      <c r="C272" s="94">
        <v>43496</v>
      </c>
      <c r="D272" s="95" t="s">
        <v>249</v>
      </c>
      <c r="E272" s="95" t="s">
        <v>468</v>
      </c>
      <c r="F272" s="95" t="s">
        <v>464</v>
      </c>
      <c r="G272" s="95" t="s">
        <v>15</v>
      </c>
      <c r="H272" s="95" t="s">
        <v>475</v>
      </c>
      <c r="I272" s="116" t="s">
        <v>16</v>
      </c>
      <c r="J272" s="95">
        <v>39269099</v>
      </c>
      <c r="K272" s="97">
        <f>644+1008.1+165.3</f>
        <v>1817.3999999999999</v>
      </c>
      <c r="L272" s="98"/>
      <c r="M272" s="97">
        <f t="shared" si="20"/>
        <v>1817.3999999999999</v>
      </c>
      <c r="N272" s="95"/>
      <c r="O272" s="98">
        <v>0.18</v>
      </c>
      <c r="P272" s="95" t="str">
        <f t="shared" si="21"/>
        <v>0</v>
      </c>
      <c r="Q272" s="97">
        <f t="shared" si="22"/>
        <v>163.56599999999997</v>
      </c>
      <c r="R272" s="97">
        <f t="shared" si="23"/>
        <v>163.56599999999997</v>
      </c>
      <c r="S272" s="97">
        <f t="shared" si="24"/>
        <v>2144.5319999999997</v>
      </c>
    </row>
    <row r="273" spans="1:19" s="11" customFormat="1" x14ac:dyDescent="0.35">
      <c r="A273" s="93">
        <v>273</v>
      </c>
      <c r="B273" s="93" t="s">
        <v>431</v>
      </c>
      <c r="C273" s="94">
        <v>43496</v>
      </c>
      <c r="D273" s="95" t="s">
        <v>249</v>
      </c>
      <c r="E273" s="95" t="s">
        <v>468</v>
      </c>
      <c r="F273" s="95" t="s">
        <v>464</v>
      </c>
      <c r="G273" s="95" t="s">
        <v>15</v>
      </c>
      <c r="H273" s="95" t="s">
        <v>475</v>
      </c>
      <c r="I273" s="116" t="s">
        <v>16</v>
      </c>
      <c r="J273" s="95">
        <v>39191000</v>
      </c>
      <c r="K273" s="97">
        <v>15.72</v>
      </c>
      <c r="L273" s="98"/>
      <c r="M273" s="97">
        <f t="shared" si="20"/>
        <v>15.72</v>
      </c>
      <c r="N273" s="95"/>
      <c r="O273" s="98">
        <v>0.18</v>
      </c>
      <c r="P273" s="95" t="str">
        <f t="shared" si="21"/>
        <v>0</v>
      </c>
      <c r="Q273" s="97">
        <f t="shared" si="22"/>
        <v>1.4148000000000001</v>
      </c>
      <c r="R273" s="97">
        <f t="shared" si="23"/>
        <v>1.4148000000000001</v>
      </c>
      <c r="S273" s="97">
        <f t="shared" si="24"/>
        <v>18.549600000000002</v>
      </c>
    </row>
    <row r="274" spans="1:19" s="11" customFormat="1" x14ac:dyDescent="0.35">
      <c r="A274" s="93">
        <v>274</v>
      </c>
      <c r="B274" s="93" t="s">
        <v>431</v>
      </c>
      <c r="C274" s="94">
        <v>43496</v>
      </c>
      <c r="D274" s="95" t="s">
        <v>249</v>
      </c>
      <c r="E274" s="95" t="s">
        <v>468</v>
      </c>
      <c r="F274" s="95" t="s">
        <v>464</v>
      </c>
      <c r="G274" s="95" t="s">
        <v>15</v>
      </c>
      <c r="H274" s="95" t="s">
        <v>475</v>
      </c>
      <c r="I274" s="116" t="s">
        <v>16</v>
      </c>
      <c r="J274" s="95">
        <v>38190010</v>
      </c>
      <c r="K274" s="97">
        <v>111.5</v>
      </c>
      <c r="L274" s="98"/>
      <c r="M274" s="97">
        <f t="shared" si="20"/>
        <v>111.5</v>
      </c>
      <c r="N274" s="95"/>
      <c r="O274" s="98">
        <v>0.18</v>
      </c>
      <c r="P274" s="95" t="str">
        <f t="shared" si="21"/>
        <v>0</v>
      </c>
      <c r="Q274" s="97">
        <f t="shared" si="22"/>
        <v>10.035</v>
      </c>
      <c r="R274" s="97">
        <f t="shared" si="23"/>
        <v>10.035</v>
      </c>
      <c r="S274" s="97">
        <f t="shared" si="24"/>
        <v>131.57</v>
      </c>
    </row>
    <row r="275" spans="1:19" s="11" customFormat="1" x14ac:dyDescent="0.35">
      <c r="A275" s="93">
        <v>275</v>
      </c>
      <c r="B275" s="93" t="s">
        <v>431</v>
      </c>
      <c r="C275" s="94">
        <v>43496</v>
      </c>
      <c r="D275" s="95" t="s">
        <v>249</v>
      </c>
      <c r="E275" s="95" t="s">
        <v>468</v>
      </c>
      <c r="F275" s="95" t="s">
        <v>464</v>
      </c>
      <c r="G275" s="95" t="s">
        <v>15</v>
      </c>
      <c r="H275" s="95" t="s">
        <v>475</v>
      </c>
      <c r="I275" s="116" t="s">
        <v>16</v>
      </c>
      <c r="J275" s="95">
        <v>87089900</v>
      </c>
      <c r="K275" s="97">
        <f>19357.03+1206.25</f>
        <v>20563.28</v>
      </c>
      <c r="L275" s="98"/>
      <c r="M275" s="97">
        <f t="shared" si="20"/>
        <v>20563.28</v>
      </c>
      <c r="N275" s="95"/>
      <c r="O275" s="98">
        <v>0.28000000000000003</v>
      </c>
      <c r="P275" s="95" t="str">
        <f t="shared" si="21"/>
        <v>0</v>
      </c>
      <c r="Q275" s="97">
        <f t="shared" si="22"/>
        <v>2878.8592000000003</v>
      </c>
      <c r="R275" s="97">
        <f t="shared" si="23"/>
        <v>2878.8592000000003</v>
      </c>
      <c r="S275" s="97">
        <f t="shared" si="24"/>
        <v>26320.998399999997</v>
      </c>
    </row>
    <row r="276" spans="1:19" s="11" customFormat="1" x14ac:dyDescent="0.35">
      <c r="A276" s="93">
        <v>276</v>
      </c>
      <c r="B276" s="93" t="s">
        <v>431</v>
      </c>
      <c r="C276" s="94">
        <v>43496</v>
      </c>
      <c r="D276" s="95" t="s">
        <v>249</v>
      </c>
      <c r="E276" s="95" t="s">
        <v>468</v>
      </c>
      <c r="F276" s="95" t="s">
        <v>464</v>
      </c>
      <c r="G276" s="95" t="s">
        <v>15</v>
      </c>
      <c r="H276" s="95" t="s">
        <v>475</v>
      </c>
      <c r="I276" s="116" t="s">
        <v>16</v>
      </c>
      <c r="J276" s="95">
        <v>87087000</v>
      </c>
      <c r="K276" s="97">
        <v>7214.06</v>
      </c>
      <c r="L276" s="98"/>
      <c r="M276" s="97">
        <f t="shared" si="20"/>
        <v>7214.06</v>
      </c>
      <c r="N276" s="95"/>
      <c r="O276" s="98">
        <v>0.28000000000000003</v>
      </c>
      <c r="P276" s="95" t="str">
        <f t="shared" si="21"/>
        <v>0</v>
      </c>
      <c r="Q276" s="97">
        <f t="shared" si="22"/>
        <v>1009.9684000000002</v>
      </c>
      <c r="R276" s="97">
        <f t="shared" si="23"/>
        <v>1009.9684000000002</v>
      </c>
      <c r="S276" s="97">
        <f t="shared" si="24"/>
        <v>9233.9968000000008</v>
      </c>
    </row>
    <row r="277" spans="1:19" s="11" customFormat="1" x14ac:dyDescent="0.35">
      <c r="A277" s="93">
        <v>277</v>
      </c>
      <c r="B277" s="93" t="s">
        <v>431</v>
      </c>
      <c r="C277" s="94">
        <v>43496</v>
      </c>
      <c r="D277" s="95" t="s">
        <v>249</v>
      </c>
      <c r="E277" s="95" t="s">
        <v>468</v>
      </c>
      <c r="F277" s="95" t="s">
        <v>464</v>
      </c>
      <c r="G277" s="95" t="s">
        <v>15</v>
      </c>
      <c r="H277" s="95" t="s">
        <v>475</v>
      </c>
      <c r="I277" s="116" t="s">
        <v>16</v>
      </c>
      <c r="J277" s="95">
        <v>998714</v>
      </c>
      <c r="K277" s="97">
        <f>26150+25000</f>
        <v>51150</v>
      </c>
      <c r="L277" s="98"/>
      <c r="M277" s="97">
        <f t="shared" si="20"/>
        <v>51150</v>
      </c>
      <c r="N277" s="95"/>
      <c r="O277" s="98">
        <v>0.18</v>
      </c>
      <c r="P277" s="95" t="str">
        <f t="shared" si="21"/>
        <v>0</v>
      </c>
      <c r="Q277" s="97">
        <f t="shared" si="22"/>
        <v>4603.5</v>
      </c>
      <c r="R277" s="97">
        <f t="shared" si="23"/>
        <v>4603.5</v>
      </c>
      <c r="S277" s="97">
        <f t="shared" si="24"/>
        <v>60357</v>
      </c>
    </row>
    <row r="278" spans="1:19" s="11" customFormat="1" x14ac:dyDescent="0.35">
      <c r="A278" s="93">
        <v>278</v>
      </c>
      <c r="B278" s="93" t="s">
        <v>431</v>
      </c>
      <c r="C278" s="94">
        <v>43496</v>
      </c>
      <c r="D278" s="95">
        <v>274</v>
      </c>
      <c r="E278" s="95" t="s">
        <v>468</v>
      </c>
      <c r="F278" s="95" t="s">
        <v>464</v>
      </c>
      <c r="G278" s="95" t="s">
        <v>311</v>
      </c>
      <c r="H278" s="95" t="s">
        <v>475</v>
      </c>
      <c r="I278" s="116" t="s">
        <v>66</v>
      </c>
      <c r="J278" s="95">
        <v>3602</v>
      </c>
      <c r="K278" s="97">
        <f>76147.5+49210+12107.5+21750+11760</f>
        <v>170975</v>
      </c>
      <c r="L278" s="98"/>
      <c r="M278" s="97">
        <f t="shared" si="20"/>
        <v>170975</v>
      </c>
      <c r="N278" s="95"/>
      <c r="O278" s="98">
        <v>0.18</v>
      </c>
      <c r="P278" s="95" t="str">
        <f t="shared" si="21"/>
        <v>0</v>
      </c>
      <c r="Q278" s="97">
        <f t="shared" si="22"/>
        <v>15387.75</v>
      </c>
      <c r="R278" s="97">
        <f t="shared" si="23"/>
        <v>15387.75</v>
      </c>
      <c r="S278" s="97">
        <f t="shared" si="24"/>
        <v>201750.5</v>
      </c>
    </row>
    <row r="279" spans="1:19" s="11" customFormat="1" x14ac:dyDescent="0.35">
      <c r="A279" s="93">
        <v>279</v>
      </c>
      <c r="B279" s="93" t="s">
        <v>431</v>
      </c>
      <c r="C279" s="94">
        <v>43496</v>
      </c>
      <c r="D279" s="95">
        <v>274</v>
      </c>
      <c r="E279" s="95" t="s">
        <v>468</v>
      </c>
      <c r="F279" s="95" t="s">
        <v>464</v>
      </c>
      <c r="G279" s="95" t="s">
        <v>311</v>
      </c>
      <c r="H279" s="95" t="s">
        <v>475</v>
      </c>
      <c r="I279" s="116" t="s">
        <v>66</v>
      </c>
      <c r="J279" s="95">
        <v>3603</v>
      </c>
      <c r="K279" s="97">
        <f>10781.25+858.08+5222.4</f>
        <v>16861.73</v>
      </c>
      <c r="L279" s="98"/>
      <c r="M279" s="97">
        <f t="shared" si="20"/>
        <v>16861.73</v>
      </c>
      <c r="N279" s="95"/>
      <c r="O279" s="98">
        <v>0.18</v>
      </c>
      <c r="P279" s="95" t="str">
        <f t="shared" si="21"/>
        <v>0</v>
      </c>
      <c r="Q279" s="97">
        <f t="shared" si="22"/>
        <v>1517.5556999999999</v>
      </c>
      <c r="R279" s="97">
        <f t="shared" si="23"/>
        <v>1517.5556999999999</v>
      </c>
      <c r="S279" s="97">
        <f t="shared" si="24"/>
        <v>19896.841400000001</v>
      </c>
    </row>
    <row r="280" spans="1:19" x14ac:dyDescent="0.35">
      <c r="A280" s="93">
        <v>280</v>
      </c>
      <c r="B280" s="93" t="s">
        <v>432</v>
      </c>
      <c r="C280" s="103">
        <v>43466</v>
      </c>
      <c r="D280" s="104" t="s">
        <v>355</v>
      </c>
      <c r="E280" s="95" t="s">
        <v>468</v>
      </c>
      <c r="F280" s="95" t="s">
        <v>464</v>
      </c>
      <c r="G280" s="104" t="s">
        <v>356</v>
      </c>
      <c r="H280" s="95" t="s">
        <v>475</v>
      </c>
      <c r="I280" s="118" t="s">
        <v>357</v>
      </c>
      <c r="J280" s="104">
        <v>996812</v>
      </c>
      <c r="K280" s="105">
        <v>1370</v>
      </c>
      <c r="L280" s="106"/>
      <c r="M280" s="97">
        <f t="shared" si="20"/>
        <v>1370</v>
      </c>
      <c r="N280" s="106"/>
      <c r="O280" s="106">
        <v>0.18</v>
      </c>
      <c r="P280" s="95" t="str">
        <f t="shared" si="21"/>
        <v>0</v>
      </c>
      <c r="Q280" s="97">
        <f t="shared" si="22"/>
        <v>123.3</v>
      </c>
      <c r="R280" s="97">
        <f t="shared" si="23"/>
        <v>123.3</v>
      </c>
      <c r="S280" s="97">
        <f t="shared" si="24"/>
        <v>1616.6</v>
      </c>
    </row>
    <row r="281" spans="1:19" x14ac:dyDescent="0.35">
      <c r="A281" s="93">
        <v>281</v>
      </c>
      <c r="B281" s="93" t="s">
        <v>432</v>
      </c>
      <c r="C281" s="94">
        <v>43469</v>
      </c>
      <c r="D281" s="95" t="s">
        <v>62</v>
      </c>
      <c r="E281" s="95" t="s">
        <v>468</v>
      </c>
      <c r="F281" s="95" t="s">
        <v>464</v>
      </c>
      <c r="G281" s="95" t="s">
        <v>19</v>
      </c>
      <c r="H281" s="95" t="s">
        <v>475</v>
      </c>
      <c r="I281" s="116" t="s">
        <v>18</v>
      </c>
      <c r="J281" s="95">
        <v>9983</v>
      </c>
      <c r="K281" s="97">
        <v>2500</v>
      </c>
      <c r="L281" s="110"/>
      <c r="M281" s="97">
        <f t="shared" si="20"/>
        <v>2500</v>
      </c>
      <c r="N281" s="110"/>
      <c r="O281" s="98">
        <v>0.18</v>
      </c>
      <c r="P281" s="95" t="str">
        <f t="shared" si="21"/>
        <v>0</v>
      </c>
      <c r="Q281" s="97">
        <f t="shared" si="22"/>
        <v>225</v>
      </c>
      <c r="R281" s="97">
        <f t="shared" si="23"/>
        <v>225</v>
      </c>
      <c r="S281" s="97">
        <f t="shared" si="24"/>
        <v>2950</v>
      </c>
    </row>
    <row r="282" spans="1:19" x14ac:dyDescent="0.35">
      <c r="A282" s="93">
        <v>282</v>
      </c>
      <c r="B282" s="93" t="s">
        <v>432</v>
      </c>
      <c r="C282" s="94">
        <v>43469</v>
      </c>
      <c r="D282" s="95">
        <v>176</v>
      </c>
      <c r="E282" s="95" t="s">
        <v>468</v>
      </c>
      <c r="F282" s="95" t="s">
        <v>464</v>
      </c>
      <c r="G282" s="95" t="s">
        <v>318</v>
      </c>
      <c r="H282" s="95" t="s">
        <v>475</v>
      </c>
      <c r="I282" s="116" t="s">
        <v>38</v>
      </c>
      <c r="J282" s="95">
        <v>9987</v>
      </c>
      <c r="K282" s="97">
        <v>30500</v>
      </c>
      <c r="L282" s="110"/>
      <c r="M282" s="97">
        <f t="shared" si="20"/>
        <v>30500</v>
      </c>
      <c r="N282" s="110"/>
      <c r="O282" s="98">
        <v>0.18</v>
      </c>
      <c r="P282" s="95" t="str">
        <f t="shared" si="21"/>
        <v>0</v>
      </c>
      <c r="Q282" s="97">
        <f t="shared" si="22"/>
        <v>2745</v>
      </c>
      <c r="R282" s="97">
        <f t="shared" si="23"/>
        <v>2745</v>
      </c>
      <c r="S282" s="97">
        <f t="shared" si="24"/>
        <v>35990</v>
      </c>
    </row>
    <row r="283" spans="1:19" x14ac:dyDescent="0.35">
      <c r="A283" s="93">
        <v>283</v>
      </c>
      <c r="B283" s="93" t="s">
        <v>432</v>
      </c>
      <c r="C283" s="94">
        <v>43469</v>
      </c>
      <c r="D283" s="95">
        <v>177</v>
      </c>
      <c r="E283" s="95" t="s">
        <v>468</v>
      </c>
      <c r="F283" s="95" t="s">
        <v>464</v>
      </c>
      <c r="G283" s="95" t="s">
        <v>318</v>
      </c>
      <c r="H283" s="95" t="s">
        <v>475</v>
      </c>
      <c r="I283" s="116" t="s">
        <v>38</v>
      </c>
      <c r="J283" s="95">
        <v>9987</v>
      </c>
      <c r="K283" s="97">
        <v>28000</v>
      </c>
      <c r="L283" s="110"/>
      <c r="M283" s="97">
        <f t="shared" si="20"/>
        <v>28000</v>
      </c>
      <c r="N283" s="110"/>
      <c r="O283" s="98">
        <v>0.18</v>
      </c>
      <c r="P283" s="95" t="str">
        <f t="shared" si="21"/>
        <v>0</v>
      </c>
      <c r="Q283" s="97">
        <f t="shared" si="22"/>
        <v>2520</v>
      </c>
      <c r="R283" s="97">
        <f t="shared" si="23"/>
        <v>2520</v>
      </c>
      <c r="S283" s="97">
        <f t="shared" si="24"/>
        <v>33040</v>
      </c>
    </row>
    <row r="284" spans="1:19" x14ac:dyDescent="0.35">
      <c r="A284" s="93">
        <v>284</v>
      </c>
      <c r="B284" s="93" t="s">
        <v>432</v>
      </c>
      <c r="C284" s="94">
        <v>43470</v>
      </c>
      <c r="D284" s="95">
        <v>34</v>
      </c>
      <c r="E284" s="95" t="s">
        <v>468</v>
      </c>
      <c r="F284" s="95" t="s">
        <v>464</v>
      </c>
      <c r="G284" s="95" t="s">
        <v>193</v>
      </c>
      <c r="H284" s="95" t="s">
        <v>475</v>
      </c>
      <c r="I284" s="116" t="s">
        <v>363</v>
      </c>
      <c r="J284" s="95" t="s">
        <v>63</v>
      </c>
      <c r="K284" s="97">
        <v>300000</v>
      </c>
      <c r="L284" s="110"/>
      <c r="M284" s="97">
        <f t="shared" si="20"/>
        <v>300000</v>
      </c>
      <c r="N284" s="110"/>
      <c r="O284" s="98">
        <v>0.18</v>
      </c>
      <c r="P284" s="95" t="str">
        <f t="shared" si="21"/>
        <v>0</v>
      </c>
      <c r="Q284" s="97">
        <f t="shared" si="22"/>
        <v>27000</v>
      </c>
      <c r="R284" s="97">
        <f t="shared" si="23"/>
        <v>27000</v>
      </c>
      <c r="S284" s="97">
        <f t="shared" si="24"/>
        <v>354000</v>
      </c>
    </row>
    <row r="285" spans="1:19" x14ac:dyDescent="0.35">
      <c r="A285" s="93">
        <v>285</v>
      </c>
      <c r="B285" s="93" t="s">
        <v>432</v>
      </c>
      <c r="C285" s="99">
        <v>43472</v>
      </c>
      <c r="D285" s="93" t="s">
        <v>58</v>
      </c>
      <c r="E285" s="95" t="s">
        <v>468</v>
      </c>
      <c r="F285" s="95" t="s">
        <v>464</v>
      </c>
      <c r="G285" s="93" t="s">
        <v>59</v>
      </c>
      <c r="H285" s="95" t="s">
        <v>475</v>
      </c>
      <c r="I285" s="117" t="s">
        <v>60</v>
      </c>
      <c r="J285" s="93">
        <v>9984</v>
      </c>
      <c r="K285" s="97">
        <v>5000</v>
      </c>
      <c r="L285" s="95"/>
      <c r="M285" s="97">
        <f t="shared" si="20"/>
        <v>5000</v>
      </c>
      <c r="N285" s="95"/>
      <c r="O285" s="100">
        <v>0.18</v>
      </c>
      <c r="P285" s="95" t="str">
        <f t="shared" si="21"/>
        <v>0</v>
      </c>
      <c r="Q285" s="97">
        <f t="shared" si="22"/>
        <v>450</v>
      </c>
      <c r="R285" s="97">
        <f t="shared" si="23"/>
        <v>450</v>
      </c>
      <c r="S285" s="97">
        <f t="shared" si="24"/>
        <v>5900</v>
      </c>
    </row>
    <row r="286" spans="1:19" x14ac:dyDescent="0.35">
      <c r="A286" s="93">
        <v>286</v>
      </c>
      <c r="B286" s="93" t="s">
        <v>432</v>
      </c>
      <c r="C286" s="99">
        <v>43472</v>
      </c>
      <c r="D286" s="93" t="s">
        <v>58</v>
      </c>
      <c r="E286" s="95" t="s">
        <v>468</v>
      </c>
      <c r="F286" s="95" t="s">
        <v>464</v>
      </c>
      <c r="G286" s="93" t="s">
        <v>59</v>
      </c>
      <c r="H286" s="95" t="s">
        <v>475</v>
      </c>
      <c r="I286" s="117" t="s">
        <v>60</v>
      </c>
      <c r="J286" s="93">
        <v>9984</v>
      </c>
      <c r="K286" s="97">
        <v>1902.17</v>
      </c>
      <c r="L286" s="95"/>
      <c r="M286" s="97">
        <f t="shared" si="20"/>
        <v>1902.17</v>
      </c>
      <c r="N286" s="95"/>
      <c r="O286" s="100">
        <v>0.18</v>
      </c>
      <c r="P286" s="95" t="str">
        <f t="shared" si="21"/>
        <v>0</v>
      </c>
      <c r="Q286" s="97">
        <f t="shared" si="22"/>
        <v>171.1953</v>
      </c>
      <c r="R286" s="97">
        <f t="shared" si="23"/>
        <v>171.1953</v>
      </c>
      <c r="S286" s="97">
        <f t="shared" si="24"/>
        <v>2244.5605999999998</v>
      </c>
    </row>
    <row r="287" spans="1:19" x14ac:dyDescent="0.35">
      <c r="A287" s="93">
        <v>287</v>
      </c>
      <c r="B287" s="93" t="s">
        <v>432</v>
      </c>
      <c r="C287" s="99">
        <v>43472</v>
      </c>
      <c r="D287" s="93" t="s">
        <v>61</v>
      </c>
      <c r="E287" s="95" t="s">
        <v>468</v>
      </c>
      <c r="F287" s="95" t="s">
        <v>464</v>
      </c>
      <c r="G287" s="93" t="s">
        <v>59</v>
      </c>
      <c r="H287" s="95" t="s">
        <v>475</v>
      </c>
      <c r="I287" s="117" t="s">
        <v>60</v>
      </c>
      <c r="J287" s="93">
        <v>9984</v>
      </c>
      <c r="K287" s="97">
        <v>35000</v>
      </c>
      <c r="L287" s="95"/>
      <c r="M287" s="97">
        <f t="shared" si="20"/>
        <v>35000</v>
      </c>
      <c r="N287" s="95"/>
      <c r="O287" s="100">
        <v>0.18</v>
      </c>
      <c r="P287" s="95" t="str">
        <f t="shared" si="21"/>
        <v>0</v>
      </c>
      <c r="Q287" s="97">
        <f t="shared" si="22"/>
        <v>3150</v>
      </c>
      <c r="R287" s="97">
        <f t="shared" si="23"/>
        <v>3150</v>
      </c>
      <c r="S287" s="97">
        <f t="shared" si="24"/>
        <v>41300</v>
      </c>
    </row>
    <row r="288" spans="1:19" x14ac:dyDescent="0.35">
      <c r="A288" s="93">
        <v>288</v>
      </c>
      <c r="B288" s="93" t="s">
        <v>432</v>
      </c>
      <c r="C288" s="94">
        <v>43473</v>
      </c>
      <c r="D288" s="107">
        <v>331711173189</v>
      </c>
      <c r="E288" s="95" t="s">
        <v>468</v>
      </c>
      <c r="F288" s="95" t="s">
        <v>464</v>
      </c>
      <c r="G288" s="95" t="s">
        <v>34</v>
      </c>
      <c r="H288" s="95" t="s">
        <v>475</v>
      </c>
      <c r="I288" s="116" t="s">
        <v>33</v>
      </c>
      <c r="J288" s="95">
        <v>997134</v>
      </c>
      <c r="K288" s="97">
        <f>36304+125+100+75</f>
        <v>36604</v>
      </c>
      <c r="L288" s="95"/>
      <c r="M288" s="97">
        <f t="shared" si="20"/>
        <v>36604</v>
      </c>
      <c r="N288" s="95"/>
      <c r="O288" s="98">
        <v>0.18</v>
      </c>
      <c r="P288" s="95" t="str">
        <f t="shared" si="21"/>
        <v>0</v>
      </c>
      <c r="Q288" s="97">
        <f t="shared" si="22"/>
        <v>3294.3599999999997</v>
      </c>
      <c r="R288" s="97">
        <f t="shared" si="23"/>
        <v>3294.3599999999997</v>
      </c>
      <c r="S288" s="97">
        <f t="shared" si="24"/>
        <v>43192.72</v>
      </c>
    </row>
    <row r="289" spans="1:19" x14ac:dyDescent="0.35">
      <c r="A289" s="93">
        <v>289</v>
      </c>
      <c r="B289" s="93" t="s">
        <v>432</v>
      </c>
      <c r="C289" s="94">
        <v>43473</v>
      </c>
      <c r="D289" s="107">
        <v>331711173189</v>
      </c>
      <c r="E289" s="95" t="s">
        <v>468</v>
      </c>
      <c r="F289" s="95" t="s">
        <v>464</v>
      </c>
      <c r="G289" s="95" t="s">
        <v>34</v>
      </c>
      <c r="H289" s="95" t="s">
        <v>475</v>
      </c>
      <c r="I289" s="116" t="s">
        <v>33</v>
      </c>
      <c r="J289" s="95">
        <v>997134</v>
      </c>
      <c r="K289" s="97">
        <v>38308</v>
      </c>
      <c r="L289" s="95"/>
      <c r="M289" s="97">
        <f t="shared" si="20"/>
        <v>38308</v>
      </c>
      <c r="N289" s="95"/>
      <c r="O289" s="98">
        <v>0.12</v>
      </c>
      <c r="P289" s="95" t="str">
        <f t="shared" si="21"/>
        <v>0</v>
      </c>
      <c r="Q289" s="97">
        <f t="shared" si="22"/>
        <v>2298.48</v>
      </c>
      <c r="R289" s="97">
        <f t="shared" si="23"/>
        <v>2298.48</v>
      </c>
      <c r="S289" s="97">
        <f t="shared" si="24"/>
        <v>42904.960000000006</v>
      </c>
    </row>
    <row r="290" spans="1:19" x14ac:dyDescent="0.35">
      <c r="A290" s="93">
        <v>290</v>
      </c>
      <c r="B290" s="93" t="s">
        <v>432</v>
      </c>
      <c r="C290" s="94">
        <v>43475</v>
      </c>
      <c r="D290" s="107" t="s">
        <v>320</v>
      </c>
      <c r="E290" s="95" t="s">
        <v>468</v>
      </c>
      <c r="F290" s="95" t="s">
        <v>464</v>
      </c>
      <c r="G290" s="95" t="s">
        <v>321</v>
      </c>
      <c r="H290" s="95" t="s">
        <v>475</v>
      </c>
      <c r="I290" s="116" t="s">
        <v>322</v>
      </c>
      <c r="J290" s="95" t="s">
        <v>63</v>
      </c>
      <c r="K290" s="97">
        <v>11950</v>
      </c>
      <c r="L290" s="95"/>
      <c r="M290" s="97">
        <f t="shared" si="20"/>
        <v>11950</v>
      </c>
      <c r="N290" s="95"/>
      <c r="O290" s="98">
        <v>0.18</v>
      </c>
      <c r="P290" s="95" t="str">
        <f t="shared" si="21"/>
        <v>0</v>
      </c>
      <c r="Q290" s="97">
        <f t="shared" si="22"/>
        <v>1075.5</v>
      </c>
      <c r="R290" s="97">
        <f t="shared" si="23"/>
        <v>1075.5</v>
      </c>
      <c r="S290" s="97">
        <f t="shared" si="24"/>
        <v>14101</v>
      </c>
    </row>
    <row r="291" spans="1:19" x14ac:dyDescent="0.35">
      <c r="A291" s="93">
        <v>291</v>
      </c>
      <c r="B291" s="93" t="s">
        <v>432</v>
      </c>
      <c r="C291" s="94">
        <v>43475</v>
      </c>
      <c r="D291" s="95">
        <v>207</v>
      </c>
      <c r="E291" s="95" t="s">
        <v>468</v>
      </c>
      <c r="F291" s="95" t="s">
        <v>464</v>
      </c>
      <c r="G291" s="95" t="s">
        <v>52</v>
      </c>
      <c r="H291" s="95" t="s">
        <v>475</v>
      </c>
      <c r="I291" s="116" t="s">
        <v>53</v>
      </c>
      <c r="J291" s="95" t="s">
        <v>63</v>
      </c>
      <c r="K291" s="97">
        <v>16668</v>
      </c>
      <c r="L291" s="95"/>
      <c r="M291" s="97">
        <f t="shared" si="20"/>
        <v>16668</v>
      </c>
      <c r="N291" s="95"/>
      <c r="O291" s="98">
        <v>0.18</v>
      </c>
      <c r="P291" s="95" t="str">
        <f t="shared" si="21"/>
        <v>0</v>
      </c>
      <c r="Q291" s="97">
        <f t="shared" si="22"/>
        <v>1500.12</v>
      </c>
      <c r="R291" s="97">
        <f t="shared" si="23"/>
        <v>1500.12</v>
      </c>
      <c r="S291" s="97">
        <f t="shared" si="24"/>
        <v>19668.239999999998</v>
      </c>
    </row>
    <row r="292" spans="1:19" x14ac:dyDescent="0.35">
      <c r="A292" s="93">
        <v>292</v>
      </c>
      <c r="B292" s="93" t="s">
        <v>432</v>
      </c>
      <c r="C292" s="94">
        <v>43475</v>
      </c>
      <c r="D292" s="95">
        <v>35</v>
      </c>
      <c r="E292" s="95" t="s">
        <v>468</v>
      </c>
      <c r="F292" s="95" t="s">
        <v>464</v>
      </c>
      <c r="G292" s="95" t="s">
        <v>193</v>
      </c>
      <c r="H292" s="95" t="s">
        <v>475</v>
      </c>
      <c r="I292" s="116" t="s">
        <v>363</v>
      </c>
      <c r="J292" s="95" t="s">
        <v>63</v>
      </c>
      <c r="K292" s="97">
        <v>300000</v>
      </c>
      <c r="L292" s="95"/>
      <c r="M292" s="97">
        <f t="shared" si="20"/>
        <v>300000</v>
      </c>
      <c r="N292" s="95"/>
      <c r="O292" s="98">
        <v>0.18</v>
      </c>
      <c r="P292" s="95" t="str">
        <f t="shared" si="21"/>
        <v>0</v>
      </c>
      <c r="Q292" s="97">
        <f t="shared" si="22"/>
        <v>27000</v>
      </c>
      <c r="R292" s="97">
        <f t="shared" si="23"/>
        <v>27000</v>
      </c>
      <c r="S292" s="97">
        <f t="shared" si="24"/>
        <v>354000</v>
      </c>
    </row>
    <row r="293" spans="1:19" x14ac:dyDescent="0.35">
      <c r="A293" s="93">
        <v>293</v>
      </c>
      <c r="B293" s="93" t="s">
        <v>432</v>
      </c>
      <c r="C293" s="94">
        <v>43476</v>
      </c>
      <c r="D293" s="93" t="s">
        <v>39</v>
      </c>
      <c r="E293" s="95" t="s">
        <v>468</v>
      </c>
      <c r="F293" s="95" t="s">
        <v>464</v>
      </c>
      <c r="G293" s="93" t="s">
        <v>40</v>
      </c>
      <c r="H293" s="95" t="s">
        <v>475</v>
      </c>
      <c r="I293" s="117" t="s">
        <v>41</v>
      </c>
      <c r="J293" s="93">
        <v>998729</v>
      </c>
      <c r="K293" s="97">
        <v>9000</v>
      </c>
      <c r="L293" s="95"/>
      <c r="M293" s="97">
        <f t="shared" si="20"/>
        <v>9000</v>
      </c>
      <c r="N293" s="95"/>
      <c r="O293" s="100">
        <v>0.18</v>
      </c>
      <c r="P293" s="95" t="str">
        <f t="shared" si="21"/>
        <v>0</v>
      </c>
      <c r="Q293" s="97">
        <f t="shared" si="22"/>
        <v>810</v>
      </c>
      <c r="R293" s="97">
        <f t="shared" si="23"/>
        <v>810</v>
      </c>
      <c r="S293" s="97">
        <f t="shared" si="24"/>
        <v>10620</v>
      </c>
    </row>
    <row r="294" spans="1:19" x14ac:dyDescent="0.35">
      <c r="A294" s="93">
        <v>294</v>
      </c>
      <c r="B294" s="93" t="s">
        <v>432</v>
      </c>
      <c r="C294" s="94">
        <v>43484</v>
      </c>
      <c r="D294" s="93" t="s">
        <v>326</v>
      </c>
      <c r="E294" s="95" t="s">
        <v>468</v>
      </c>
      <c r="F294" s="95" t="s">
        <v>464</v>
      </c>
      <c r="G294" s="93" t="s">
        <v>327</v>
      </c>
      <c r="H294" s="95" t="s">
        <v>475</v>
      </c>
      <c r="I294" s="117" t="s">
        <v>328</v>
      </c>
      <c r="J294" s="93">
        <v>9984</v>
      </c>
      <c r="K294" s="97">
        <v>32500</v>
      </c>
      <c r="L294" s="95"/>
      <c r="M294" s="97">
        <f t="shared" si="20"/>
        <v>32500</v>
      </c>
      <c r="N294" s="95"/>
      <c r="O294" s="100">
        <v>0.18</v>
      </c>
      <c r="P294" s="95" t="str">
        <f t="shared" si="21"/>
        <v>0</v>
      </c>
      <c r="Q294" s="97">
        <f t="shared" si="22"/>
        <v>2925</v>
      </c>
      <c r="R294" s="97">
        <f t="shared" si="23"/>
        <v>2925</v>
      </c>
      <c r="S294" s="97">
        <f t="shared" si="24"/>
        <v>38350</v>
      </c>
    </row>
    <row r="295" spans="1:19" x14ac:dyDescent="0.35">
      <c r="A295" s="93">
        <v>295</v>
      </c>
      <c r="B295" s="93" t="s">
        <v>432</v>
      </c>
      <c r="C295" s="99">
        <v>43487</v>
      </c>
      <c r="D295" s="108">
        <v>331711211893</v>
      </c>
      <c r="E295" s="95" t="s">
        <v>468</v>
      </c>
      <c r="F295" s="95" t="s">
        <v>464</v>
      </c>
      <c r="G295" s="93" t="s">
        <v>34</v>
      </c>
      <c r="H295" s="95" t="s">
        <v>475</v>
      </c>
      <c r="I295" s="117" t="s">
        <v>33</v>
      </c>
      <c r="J295" s="93">
        <v>997134</v>
      </c>
      <c r="K295" s="97">
        <v>29846</v>
      </c>
      <c r="L295" s="95"/>
      <c r="M295" s="97">
        <f t="shared" si="20"/>
        <v>29846</v>
      </c>
      <c r="N295" s="95"/>
      <c r="O295" s="98">
        <v>0.18</v>
      </c>
      <c r="P295" s="95" t="str">
        <f t="shared" si="21"/>
        <v>0</v>
      </c>
      <c r="Q295" s="97">
        <f t="shared" si="22"/>
        <v>2686.14</v>
      </c>
      <c r="R295" s="97">
        <f t="shared" si="23"/>
        <v>2686.14</v>
      </c>
      <c r="S295" s="97">
        <f t="shared" si="24"/>
        <v>35218.28</v>
      </c>
    </row>
    <row r="296" spans="1:19" x14ac:dyDescent="0.35">
      <c r="A296" s="93">
        <v>296</v>
      </c>
      <c r="B296" s="93" t="s">
        <v>432</v>
      </c>
      <c r="C296" s="99">
        <v>43487</v>
      </c>
      <c r="D296" s="108">
        <v>331711211893</v>
      </c>
      <c r="E296" s="95" t="s">
        <v>468</v>
      </c>
      <c r="F296" s="95" t="s">
        <v>464</v>
      </c>
      <c r="G296" s="93" t="s">
        <v>34</v>
      </c>
      <c r="H296" s="95" t="s">
        <v>475</v>
      </c>
      <c r="I296" s="117" t="s">
        <v>33</v>
      </c>
      <c r="J296" s="93">
        <v>997134</v>
      </c>
      <c r="K296" s="97">
        <v>38308</v>
      </c>
      <c r="L296" s="95"/>
      <c r="M296" s="97">
        <f t="shared" si="20"/>
        <v>38308</v>
      </c>
      <c r="N296" s="95"/>
      <c r="O296" s="98">
        <v>0.12</v>
      </c>
      <c r="P296" s="95" t="str">
        <f t="shared" si="21"/>
        <v>0</v>
      </c>
      <c r="Q296" s="97">
        <f t="shared" si="22"/>
        <v>2298.48</v>
      </c>
      <c r="R296" s="97">
        <f t="shared" si="23"/>
        <v>2298.48</v>
      </c>
      <c r="S296" s="97">
        <f t="shared" si="24"/>
        <v>42904.960000000006</v>
      </c>
    </row>
    <row r="297" spans="1:19" x14ac:dyDescent="0.35">
      <c r="A297" s="93">
        <v>297</v>
      </c>
      <c r="B297" s="93" t="s">
        <v>432</v>
      </c>
      <c r="C297" s="99">
        <v>43487</v>
      </c>
      <c r="D297" s="108">
        <v>36</v>
      </c>
      <c r="E297" s="95" t="s">
        <v>468</v>
      </c>
      <c r="F297" s="95" t="s">
        <v>464</v>
      </c>
      <c r="G297" s="93" t="s">
        <v>193</v>
      </c>
      <c r="H297" s="95" t="s">
        <v>475</v>
      </c>
      <c r="I297" s="117" t="s">
        <v>363</v>
      </c>
      <c r="J297" s="95" t="s">
        <v>63</v>
      </c>
      <c r="K297" s="97">
        <v>410000</v>
      </c>
      <c r="L297" s="95"/>
      <c r="M297" s="97">
        <f t="shared" si="20"/>
        <v>410000</v>
      </c>
      <c r="N297" s="95"/>
      <c r="O297" s="98">
        <v>0.18</v>
      </c>
      <c r="P297" s="95" t="str">
        <f t="shared" si="21"/>
        <v>0</v>
      </c>
      <c r="Q297" s="97">
        <f t="shared" si="22"/>
        <v>36900</v>
      </c>
      <c r="R297" s="97">
        <f t="shared" si="23"/>
        <v>36900</v>
      </c>
      <c r="S297" s="97">
        <f t="shared" si="24"/>
        <v>483800</v>
      </c>
    </row>
    <row r="298" spans="1:19" x14ac:dyDescent="0.35">
      <c r="A298" s="93">
        <v>298</v>
      </c>
      <c r="B298" s="93" t="s">
        <v>432</v>
      </c>
      <c r="C298" s="99">
        <v>43489</v>
      </c>
      <c r="D298" s="108">
        <v>19513424</v>
      </c>
      <c r="E298" s="95" t="s">
        <v>469</v>
      </c>
      <c r="F298" s="95" t="s">
        <v>464</v>
      </c>
      <c r="G298" s="95" t="s">
        <v>332</v>
      </c>
      <c r="H298" s="95" t="s">
        <v>475</v>
      </c>
      <c r="I298" s="117" t="s">
        <v>333</v>
      </c>
      <c r="J298" s="93">
        <v>998719</v>
      </c>
      <c r="K298" s="97">
        <v>32000</v>
      </c>
      <c r="L298" s="95"/>
      <c r="M298" s="97">
        <f t="shared" si="20"/>
        <v>32000</v>
      </c>
      <c r="N298" s="95"/>
      <c r="O298" s="98">
        <v>0.18</v>
      </c>
      <c r="P298" s="95">
        <f t="shared" si="21"/>
        <v>5760</v>
      </c>
      <c r="Q298" s="97" t="str">
        <f t="shared" si="22"/>
        <v>0</v>
      </c>
      <c r="R298" s="97" t="str">
        <f t="shared" si="23"/>
        <v>0</v>
      </c>
      <c r="S298" s="97">
        <f t="shared" si="24"/>
        <v>37760</v>
      </c>
    </row>
    <row r="299" spans="1:19" x14ac:dyDescent="0.35">
      <c r="A299" s="93">
        <v>299</v>
      </c>
      <c r="B299" s="93" t="s">
        <v>432</v>
      </c>
      <c r="C299" s="99">
        <v>43496</v>
      </c>
      <c r="D299" s="93">
        <v>189</v>
      </c>
      <c r="E299" s="95" t="s">
        <v>468</v>
      </c>
      <c r="F299" s="95" t="s">
        <v>464</v>
      </c>
      <c r="G299" s="109" t="s">
        <v>329</v>
      </c>
      <c r="H299" s="95" t="s">
        <v>475</v>
      </c>
      <c r="I299" s="117" t="s">
        <v>330</v>
      </c>
      <c r="J299" s="93" t="s">
        <v>63</v>
      </c>
      <c r="K299" s="97">
        <v>40000</v>
      </c>
      <c r="L299" s="95"/>
      <c r="M299" s="97">
        <f t="shared" si="20"/>
        <v>40000</v>
      </c>
      <c r="N299" s="95"/>
      <c r="O299" s="98">
        <v>0.18</v>
      </c>
      <c r="P299" s="95" t="str">
        <f t="shared" si="21"/>
        <v>0</v>
      </c>
      <c r="Q299" s="97">
        <f t="shared" si="22"/>
        <v>3600</v>
      </c>
      <c r="R299" s="97">
        <f t="shared" si="23"/>
        <v>3600</v>
      </c>
      <c r="S299" s="97">
        <f t="shared" si="24"/>
        <v>47200</v>
      </c>
    </row>
    <row r="300" spans="1:19" x14ac:dyDescent="0.35">
      <c r="A300" s="93">
        <v>300</v>
      </c>
      <c r="B300" s="93" t="s">
        <v>432</v>
      </c>
      <c r="C300" s="99">
        <v>43496</v>
      </c>
      <c r="D300" s="102" t="s">
        <v>345</v>
      </c>
      <c r="E300" s="95" t="s">
        <v>468</v>
      </c>
      <c r="F300" s="95" t="s">
        <v>464</v>
      </c>
      <c r="G300" s="109" t="s">
        <v>344</v>
      </c>
      <c r="H300" s="95" t="s">
        <v>475</v>
      </c>
      <c r="I300" s="117" t="s">
        <v>341</v>
      </c>
      <c r="J300" s="95" t="s">
        <v>63</v>
      </c>
      <c r="K300" s="97">
        <v>1374560</v>
      </c>
      <c r="L300" s="95"/>
      <c r="M300" s="97">
        <f t="shared" si="20"/>
        <v>1374560</v>
      </c>
      <c r="N300" s="95"/>
      <c r="O300" s="98">
        <v>0.18</v>
      </c>
      <c r="P300" s="95" t="str">
        <f t="shared" si="21"/>
        <v>0</v>
      </c>
      <c r="Q300" s="97">
        <f t="shared" si="22"/>
        <v>123710.39999999999</v>
      </c>
      <c r="R300" s="97">
        <f t="shared" si="23"/>
        <v>123710.39999999999</v>
      </c>
      <c r="S300" s="97">
        <f t="shared" si="24"/>
        <v>1621980.7999999998</v>
      </c>
    </row>
    <row r="301" spans="1:19" x14ac:dyDescent="0.35">
      <c r="A301" s="93">
        <v>301</v>
      </c>
      <c r="B301" s="93" t="s">
        <v>432</v>
      </c>
      <c r="C301" s="99">
        <v>43496</v>
      </c>
      <c r="D301" s="102" t="s">
        <v>346</v>
      </c>
      <c r="E301" s="95" t="s">
        <v>468</v>
      </c>
      <c r="F301" s="95" t="s">
        <v>464</v>
      </c>
      <c r="G301" s="109" t="s">
        <v>347</v>
      </c>
      <c r="H301" s="95" t="s">
        <v>475</v>
      </c>
      <c r="I301" s="117" t="s">
        <v>342</v>
      </c>
      <c r="J301" s="95" t="s">
        <v>63</v>
      </c>
      <c r="K301" s="97">
        <v>1084150</v>
      </c>
      <c r="L301" s="95"/>
      <c r="M301" s="97">
        <f t="shared" si="20"/>
        <v>1084150</v>
      </c>
      <c r="N301" s="95"/>
      <c r="O301" s="98">
        <v>0.18</v>
      </c>
      <c r="P301" s="95" t="str">
        <f t="shared" si="21"/>
        <v>0</v>
      </c>
      <c r="Q301" s="97">
        <f t="shared" si="22"/>
        <v>97573.5</v>
      </c>
      <c r="R301" s="97">
        <f t="shared" si="23"/>
        <v>97573.5</v>
      </c>
      <c r="S301" s="97">
        <f t="shared" si="24"/>
        <v>1279297</v>
      </c>
    </row>
    <row r="302" spans="1:19" x14ac:dyDescent="0.35">
      <c r="A302" s="93">
        <v>302</v>
      </c>
      <c r="B302" s="93" t="s">
        <v>432</v>
      </c>
      <c r="C302" s="99">
        <v>43496</v>
      </c>
      <c r="D302" s="102" t="s">
        <v>348</v>
      </c>
      <c r="E302" s="95" t="s">
        <v>468</v>
      </c>
      <c r="F302" s="95" t="s">
        <v>464</v>
      </c>
      <c r="G302" s="109" t="s">
        <v>349</v>
      </c>
      <c r="H302" s="95" t="s">
        <v>475</v>
      </c>
      <c r="I302" s="117" t="s">
        <v>343</v>
      </c>
      <c r="J302" s="95" t="s">
        <v>63</v>
      </c>
      <c r="K302" s="97">
        <v>1168530</v>
      </c>
      <c r="L302" s="95"/>
      <c r="M302" s="97">
        <f t="shared" si="20"/>
        <v>1168530</v>
      </c>
      <c r="N302" s="95"/>
      <c r="O302" s="98">
        <v>0.18</v>
      </c>
      <c r="P302" s="95" t="str">
        <f t="shared" si="21"/>
        <v>0</v>
      </c>
      <c r="Q302" s="97">
        <f t="shared" si="22"/>
        <v>105167.7</v>
      </c>
      <c r="R302" s="97">
        <f t="shared" si="23"/>
        <v>105167.7</v>
      </c>
      <c r="S302" s="97">
        <f t="shared" si="24"/>
        <v>1378865.4</v>
      </c>
    </row>
    <row r="303" spans="1:19" x14ac:dyDescent="0.35">
      <c r="A303" s="93">
        <v>303</v>
      </c>
      <c r="B303" s="93" t="s">
        <v>432</v>
      </c>
      <c r="C303" s="99">
        <v>43496</v>
      </c>
      <c r="D303" s="93" t="s">
        <v>350</v>
      </c>
      <c r="E303" s="95" t="s">
        <v>468</v>
      </c>
      <c r="F303" s="95" t="s">
        <v>464</v>
      </c>
      <c r="G303" s="93" t="s">
        <v>351</v>
      </c>
      <c r="H303" s="95" t="s">
        <v>475</v>
      </c>
      <c r="I303" s="117" t="s">
        <v>352</v>
      </c>
      <c r="J303" s="93">
        <v>998622</v>
      </c>
      <c r="K303" s="97">
        <v>123648.64</v>
      </c>
      <c r="L303" s="95"/>
      <c r="M303" s="97">
        <f t="shared" si="20"/>
        <v>123648.64</v>
      </c>
      <c r="N303" s="95"/>
      <c r="O303" s="98">
        <v>0.18</v>
      </c>
      <c r="P303" s="95" t="str">
        <f t="shared" si="21"/>
        <v>0</v>
      </c>
      <c r="Q303" s="97">
        <f t="shared" si="22"/>
        <v>11128.3776</v>
      </c>
      <c r="R303" s="97">
        <f t="shared" si="23"/>
        <v>11128.3776</v>
      </c>
      <c r="S303" s="97">
        <f t="shared" si="24"/>
        <v>145905.3952</v>
      </c>
    </row>
    <row r="304" spans="1:19" x14ac:dyDescent="0.35">
      <c r="A304" s="93">
        <v>304</v>
      </c>
      <c r="B304" s="93" t="s">
        <v>432</v>
      </c>
      <c r="C304" s="99">
        <v>43496</v>
      </c>
      <c r="D304" s="93">
        <v>37</v>
      </c>
      <c r="E304" s="95" t="s">
        <v>468</v>
      </c>
      <c r="F304" s="95" t="s">
        <v>464</v>
      </c>
      <c r="G304" s="93" t="s">
        <v>193</v>
      </c>
      <c r="H304" s="95" t="s">
        <v>475</v>
      </c>
      <c r="I304" s="117" t="s">
        <v>363</v>
      </c>
      <c r="J304" s="93" t="s">
        <v>63</v>
      </c>
      <c r="K304" s="97">
        <v>393458</v>
      </c>
      <c r="L304" s="95"/>
      <c r="M304" s="97">
        <f t="shared" si="20"/>
        <v>393458</v>
      </c>
      <c r="N304" s="95"/>
      <c r="O304" s="98">
        <v>0.18</v>
      </c>
      <c r="P304" s="95" t="str">
        <f t="shared" si="21"/>
        <v>0</v>
      </c>
      <c r="Q304" s="97">
        <f t="shared" si="22"/>
        <v>35411.22</v>
      </c>
      <c r="R304" s="97">
        <f t="shared" si="23"/>
        <v>35411.22</v>
      </c>
      <c r="S304" s="97">
        <f t="shared" si="24"/>
        <v>464280.43999999994</v>
      </c>
    </row>
    <row r="305" spans="1:19" x14ac:dyDescent="0.35">
      <c r="A305" s="93">
        <v>305</v>
      </c>
      <c r="B305" s="93" t="s">
        <v>432</v>
      </c>
      <c r="C305" s="99">
        <v>43496</v>
      </c>
      <c r="D305" s="93">
        <v>6</v>
      </c>
      <c r="E305" s="95" t="s">
        <v>468</v>
      </c>
      <c r="F305" s="95" t="s">
        <v>464</v>
      </c>
      <c r="G305" s="93" t="s">
        <v>425</v>
      </c>
      <c r="H305" s="95" t="s">
        <v>475</v>
      </c>
      <c r="I305" s="117" t="s">
        <v>426</v>
      </c>
      <c r="J305" s="93" t="s">
        <v>63</v>
      </c>
      <c r="K305" s="97">
        <v>280757</v>
      </c>
      <c r="L305" s="95"/>
      <c r="M305" s="97">
        <f t="shared" si="20"/>
        <v>280757</v>
      </c>
      <c r="N305" s="95"/>
      <c r="O305" s="98">
        <v>0.18</v>
      </c>
      <c r="P305" s="95" t="str">
        <f t="shared" si="21"/>
        <v>0</v>
      </c>
      <c r="Q305" s="97">
        <f t="shared" si="22"/>
        <v>25268.129999999997</v>
      </c>
      <c r="R305" s="97">
        <f t="shared" si="23"/>
        <v>25268.129999999997</v>
      </c>
      <c r="S305" s="97">
        <f t="shared" si="24"/>
        <v>331293.26</v>
      </c>
    </row>
    <row r="306" spans="1:19" x14ac:dyDescent="0.35">
      <c r="A306" s="93">
        <v>306</v>
      </c>
      <c r="B306" s="93" t="s">
        <v>432</v>
      </c>
      <c r="C306" s="99">
        <v>43496</v>
      </c>
      <c r="D306" s="93">
        <v>37</v>
      </c>
      <c r="E306" s="95" t="s">
        <v>468</v>
      </c>
      <c r="F306" s="95" t="s">
        <v>464</v>
      </c>
      <c r="G306" s="93" t="s">
        <v>353</v>
      </c>
      <c r="H306" s="95" t="s">
        <v>475</v>
      </c>
      <c r="I306" s="117" t="s">
        <v>354</v>
      </c>
      <c r="J306" s="93" t="s">
        <v>63</v>
      </c>
      <c r="K306" s="97">
        <v>40216</v>
      </c>
      <c r="L306" s="95"/>
      <c r="M306" s="97">
        <f t="shared" si="20"/>
        <v>40216</v>
      </c>
      <c r="N306" s="95"/>
      <c r="O306" s="98">
        <v>0.18</v>
      </c>
      <c r="P306" s="95" t="str">
        <f t="shared" si="21"/>
        <v>0</v>
      </c>
      <c r="Q306" s="97">
        <f t="shared" si="22"/>
        <v>3619.44</v>
      </c>
      <c r="R306" s="97">
        <f t="shared" si="23"/>
        <v>3619.44</v>
      </c>
      <c r="S306" s="97">
        <f t="shared" si="24"/>
        <v>47454.880000000005</v>
      </c>
    </row>
    <row r="307" spans="1:19" ht="15.5" x14ac:dyDescent="0.35">
      <c r="A307" s="93">
        <v>307</v>
      </c>
      <c r="B307" s="93" t="s">
        <v>472</v>
      </c>
      <c r="C307" s="94">
        <v>43489</v>
      </c>
      <c r="D307" s="95">
        <v>19513580</v>
      </c>
      <c r="E307" s="95" t="s">
        <v>469</v>
      </c>
      <c r="F307" s="95" t="s">
        <v>464</v>
      </c>
      <c r="G307" s="95" t="s">
        <v>332</v>
      </c>
      <c r="H307" s="95" t="s">
        <v>475</v>
      </c>
      <c r="I307" s="116" t="s">
        <v>333</v>
      </c>
      <c r="J307" s="95">
        <v>998719</v>
      </c>
      <c r="K307" s="97">
        <v>40000</v>
      </c>
      <c r="L307" s="111"/>
      <c r="M307" s="97">
        <f t="shared" si="20"/>
        <v>40000</v>
      </c>
      <c r="N307" s="112"/>
      <c r="O307" s="98">
        <v>0.18</v>
      </c>
      <c r="P307" s="95">
        <f t="shared" si="21"/>
        <v>7200</v>
      </c>
      <c r="Q307" s="97" t="str">
        <f t="shared" si="22"/>
        <v>0</v>
      </c>
      <c r="R307" s="97" t="str">
        <f t="shared" si="23"/>
        <v>0</v>
      </c>
      <c r="S307" s="97">
        <f t="shared" si="24"/>
        <v>47200</v>
      </c>
    </row>
  </sheetData>
  <autoFilter ref="A1:S307" xr:uid="{EF1A7A94-8FDB-49E5-9A0D-E18F5079A103}"/>
  <dataValidations disablePrompts="1" count="3">
    <dataValidation type="list" allowBlank="1" showInputMessage="1" showErrorMessage="1" sqref="E2:E307" xr:uid="{B3A37CDC-51CD-42C5-A487-8AF433848B3F}">
      <formula1>Purchase_Type</formula1>
    </dataValidation>
    <dataValidation type="list" allowBlank="1" showInputMessage="1" showErrorMessage="1" sqref="F2:F307" xr:uid="{0000F746-8C1D-4D4E-8E7C-A3E6D9A4AC26}">
      <formula1>Party_Type</formula1>
    </dataValidation>
    <dataValidation type="list" allowBlank="1" showInputMessage="1" showErrorMessage="1" sqref="H2:H307" xr:uid="{59E32E51-7120-4185-9E17-E704C19E231D}">
      <formula1>RCM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DF5E9D2-5B44-4C52-908B-038718A62A0B}">
          <x14:formula1>
            <xm:f>'Naming Sheet'!$C$2:$C$4</xm:f>
          </x14:formula1>
          <xm:sqref>B2:B307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5"/>
  <sheetViews>
    <sheetView workbookViewId="0">
      <pane ySplit="1" topLeftCell="A155" activePane="bottomLeft" state="frozen"/>
      <selection pane="bottomLeft" activeCell="A155" sqref="A155"/>
    </sheetView>
  </sheetViews>
  <sheetFormatPr defaultRowHeight="14.5" x14ac:dyDescent="0.35"/>
  <cols>
    <col min="1" max="1" width="9.90625" bestFit="1" customWidth="1"/>
    <col min="2" max="2" width="9.90625" customWidth="1"/>
    <col min="3" max="3" width="12.90625" style="12" bestFit="1" customWidth="1"/>
    <col min="4" max="4" width="16.54296875" bestFit="1" customWidth="1"/>
    <col min="5" max="5" width="21.54296875" style="16" bestFit="1" customWidth="1"/>
    <col min="6" max="6" width="56" style="67" bestFit="1" customWidth="1"/>
    <col min="7" max="7" width="20.453125" customWidth="1"/>
    <col min="8" max="8" width="27.08984375" style="25" bestFit="1" customWidth="1"/>
    <col min="9" max="9" width="21.54296875" style="25" bestFit="1" customWidth="1"/>
    <col min="10" max="10" width="26.90625" style="39" bestFit="1" customWidth="1"/>
    <col min="11" max="11" width="19.08984375" style="25" bestFit="1" customWidth="1"/>
    <col min="12" max="13" width="17.54296875" style="25" bestFit="1" customWidth="1"/>
    <col min="14" max="14" width="20.36328125" style="25" bestFit="1" customWidth="1"/>
    <col min="15" max="15" width="17.90625" bestFit="1" customWidth="1"/>
  </cols>
  <sheetData>
    <row r="1" spans="1:14" s="10" customFormat="1" ht="15.5" x14ac:dyDescent="0.3">
      <c r="A1" s="7" t="s">
        <v>0</v>
      </c>
      <c r="B1" s="17" t="s">
        <v>434</v>
      </c>
      <c r="C1" s="45" t="s">
        <v>1</v>
      </c>
      <c r="D1" s="8" t="s">
        <v>2</v>
      </c>
      <c r="E1" s="8" t="s">
        <v>3</v>
      </c>
      <c r="F1" s="62" t="s">
        <v>4</v>
      </c>
      <c r="G1" s="8" t="s">
        <v>5</v>
      </c>
      <c r="H1" s="9" t="s">
        <v>476</v>
      </c>
      <c r="I1" s="9" t="s">
        <v>6</v>
      </c>
      <c r="J1" s="41" t="s">
        <v>7</v>
      </c>
      <c r="K1" s="9" t="s">
        <v>8</v>
      </c>
      <c r="L1" s="9" t="s">
        <v>9</v>
      </c>
      <c r="M1" s="9" t="s">
        <v>10</v>
      </c>
      <c r="N1" s="9" t="s">
        <v>74</v>
      </c>
    </row>
    <row r="2" spans="1:14" ht="15.5" x14ac:dyDescent="0.35">
      <c r="A2" s="22">
        <v>1</v>
      </c>
      <c r="B2" s="22" t="s">
        <v>433</v>
      </c>
      <c r="C2" s="46">
        <v>43471</v>
      </c>
      <c r="D2" s="21" t="s">
        <v>75</v>
      </c>
      <c r="E2" s="20" t="s">
        <v>177</v>
      </c>
      <c r="F2" s="63" t="s">
        <v>203</v>
      </c>
      <c r="G2" s="29">
        <v>25171010</v>
      </c>
      <c r="H2" s="27">
        <f>N2</f>
        <v>1123920</v>
      </c>
      <c r="I2" s="28">
        <v>1070400</v>
      </c>
      <c r="J2" s="42">
        <v>0.05</v>
      </c>
      <c r="K2" s="27"/>
      <c r="L2" s="27">
        <f>I2*J2/2</f>
        <v>26760</v>
      </c>
      <c r="M2" s="27">
        <f>I2*J2/2</f>
        <v>26760</v>
      </c>
      <c r="N2" s="27">
        <f>I2+L2+M2</f>
        <v>1123920</v>
      </c>
    </row>
    <row r="3" spans="1:14" ht="15.5" x14ac:dyDescent="0.35">
      <c r="A3" s="22">
        <v>2</v>
      </c>
      <c r="B3" s="22" t="s">
        <v>433</v>
      </c>
      <c r="C3" s="46">
        <v>43472</v>
      </c>
      <c r="D3" s="21" t="s">
        <v>76</v>
      </c>
      <c r="E3" s="20" t="s">
        <v>178</v>
      </c>
      <c r="F3" s="63" t="s">
        <v>204</v>
      </c>
      <c r="G3" s="29">
        <v>25171010</v>
      </c>
      <c r="H3" s="27">
        <f t="shared" ref="H3:H66" si="0">N3</f>
        <v>320107.91400000005</v>
      </c>
      <c r="I3" s="28">
        <v>304864.68</v>
      </c>
      <c r="J3" s="42">
        <v>0.05</v>
      </c>
      <c r="K3" s="27"/>
      <c r="L3" s="27">
        <f>I3*J3/2</f>
        <v>7621.6170000000002</v>
      </c>
      <c r="M3" s="27">
        <f>I3*J3/2</f>
        <v>7621.6170000000002</v>
      </c>
      <c r="N3" s="27">
        <f>I3+L3+M3</f>
        <v>320107.91400000005</v>
      </c>
    </row>
    <row r="4" spans="1:14" ht="15.5" x14ac:dyDescent="0.35">
      <c r="A4" s="22">
        <v>3</v>
      </c>
      <c r="B4" s="22" t="s">
        <v>433</v>
      </c>
      <c r="C4" s="46">
        <v>43472</v>
      </c>
      <c r="D4" s="21" t="s">
        <v>77</v>
      </c>
      <c r="E4" s="20" t="s">
        <v>178</v>
      </c>
      <c r="F4" s="63" t="s">
        <v>204</v>
      </c>
      <c r="G4" s="29">
        <v>25171010</v>
      </c>
      <c r="H4" s="27">
        <f t="shared" si="0"/>
        <v>233779.90650000001</v>
      </c>
      <c r="I4" s="28">
        <v>222647.53</v>
      </c>
      <c r="J4" s="42">
        <v>0.05</v>
      </c>
      <c r="K4" s="27"/>
      <c r="L4" s="27">
        <f t="shared" ref="L4:L67" si="1">I4*J4/2</f>
        <v>5566.1882500000002</v>
      </c>
      <c r="M4" s="27">
        <f t="shared" ref="M4:M67" si="2">I4*J4/2</f>
        <v>5566.1882500000002</v>
      </c>
      <c r="N4" s="27">
        <f t="shared" ref="N4:N67" si="3">I4+L4+M4</f>
        <v>233779.90650000001</v>
      </c>
    </row>
    <row r="5" spans="1:14" ht="15.5" x14ac:dyDescent="0.35">
      <c r="A5" s="22">
        <v>4</v>
      </c>
      <c r="B5" s="22" t="s">
        <v>433</v>
      </c>
      <c r="C5" s="46">
        <v>43472</v>
      </c>
      <c r="D5" s="21" t="s">
        <v>78</v>
      </c>
      <c r="E5" s="20" t="s">
        <v>178</v>
      </c>
      <c r="F5" s="63" t="s">
        <v>204</v>
      </c>
      <c r="G5" s="29">
        <v>25171010</v>
      </c>
      <c r="H5" s="27">
        <f t="shared" si="0"/>
        <v>86328.7215</v>
      </c>
      <c r="I5" s="28">
        <v>82217.83</v>
      </c>
      <c r="J5" s="42">
        <v>0.05</v>
      </c>
      <c r="K5" s="27"/>
      <c r="L5" s="27">
        <f t="shared" si="1"/>
        <v>2055.4457500000003</v>
      </c>
      <c r="M5" s="27">
        <f t="shared" si="2"/>
        <v>2055.4457500000003</v>
      </c>
      <c r="N5" s="27">
        <f t="shared" si="3"/>
        <v>86328.7215</v>
      </c>
    </row>
    <row r="6" spans="1:14" ht="15.5" x14ac:dyDescent="0.35">
      <c r="A6" s="22">
        <v>5</v>
      </c>
      <c r="B6" s="22" t="s">
        <v>433</v>
      </c>
      <c r="C6" s="46">
        <v>43472</v>
      </c>
      <c r="D6" s="21" t="s">
        <v>79</v>
      </c>
      <c r="E6" s="20" t="s">
        <v>179</v>
      </c>
      <c r="F6" s="63" t="s">
        <v>205</v>
      </c>
      <c r="G6" s="29">
        <v>25171010</v>
      </c>
      <c r="H6" s="27">
        <f t="shared" si="0"/>
        <v>18553.5</v>
      </c>
      <c r="I6" s="28">
        <v>17670</v>
      </c>
      <c r="J6" s="42">
        <v>0.05</v>
      </c>
      <c r="K6" s="27"/>
      <c r="L6" s="27">
        <f t="shared" si="1"/>
        <v>441.75</v>
      </c>
      <c r="M6" s="27">
        <f t="shared" si="2"/>
        <v>441.75</v>
      </c>
      <c r="N6" s="27">
        <f t="shared" si="3"/>
        <v>18553.5</v>
      </c>
    </row>
    <row r="7" spans="1:14" ht="15.5" x14ac:dyDescent="0.35">
      <c r="A7" s="22">
        <v>6</v>
      </c>
      <c r="B7" s="22" t="s">
        <v>433</v>
      </c>
      <c r="C7" s="46">
        <v>43472</v>
      </c>
      <c r="D7" s="21" t="s">
        <v>80</v>
      </c>
      <c r="E7" s="20" t="s">
        <v>179</v>
      </c>
      <c r="F7" s="63" t="s">
        <v>205</v>
      </c>
      <c r="G7" s="29">
        <v>25171010</v>
      </c>
      <c r="H7" s="27">
        <f t="shared" si="0"/>
        <v>42673.05</v>
      </c>
      <c r="I7" s="28">
        <v>40641</v>
      </c>
      <c r="J7" s="42">
        <v>0.05</v>
      </c>
      <c r="K7" s="27"/>
      <c r="L7" s="27">
        <f t="shared" si="1"/>
        <v>1016.0250000000001</v>
      </c>
      <c r="M7" s="27">
        <f t="shared" si="2"/>
        <v>1016.0250000000001</v>
      </c>
      <c r="N7" s="27">
        <f t="shared" si="3"/>
        <v>42673.05</v>
      </c>
    </row>
    <row r="8" spans="1:14" ht="15.5" x14ac:dyDescent="0.35">
      <c r="A8" s="22">
        <v>7</v>
      </c>
      <c r="B8" s="22" t="s">
        <v>433</v>
      </c>
      <c r="C8" s="46">
        <v>43472</v>
      </c>
      <c r="D8" s="21" t="s">
        <v>81</v>
      </c>
      <c r="E8" s="20" t="s">
        <v>179</v>
      </c>
      <c r="F8" s="63" t="s">
        <v>205</v>
      </c>
      <c r="G8" s="29">
        <v>25171010</v>
      </c>
      <c r="H8" s="27">
        <f t="shared" si="0"/>
        <v>48304.2</v>
      </c>
      <c r="I8" s="28">
        <v>46004</v>
      </c>
      <c r="J8" s="42">
        <v>0.05</v>
      </c>
      <c r="K8" s="27"/>
      <c r="L8" s="27">
        <f t="shared" si="1"/>
        <v>1150.1000000000001</v>
      </c>
      <c r="M8" s="27">
        <f t="shared" si="2"/>
        <v>1150.1000000000001</v>
      </c>
      <c r="N8" s="27">
        <f t="shared" si="3"/>
        <v>48304.2</v>
      </c>
    </row>
    <row r="9" spans="1:14" ht="15.5" x14ac:dyDescent="0.35">
      <c r="A9" s="22">
        <v>8</v>
      </c>
      <c r="B9" s="22" t="s">
        <v>433</v>
      </c>
      <c r="C9" s="46">
        <v>43473</v>
      </c>
      <c r="D9" s="21" t="s">
        <v>82</v>
      </c>
      <c r="E9" s="20" t="s">
        <v>180</v>
      </c>
      <c r="F9" s="63" t="s">
        <v>206</v>
      </c>
      <c r="G9" s="29">
        <v>25171010</v>
      </c>
      <c r="H9" s="27">
        <f t="shared" si="0"/>
        <v>63787.5</v>
      </c>
      <c r="I9" s="28">
        <v>60750</v>
      </c>
      <c r="J9" s="42">
        <v>0.05</v>
      </c>
      <c r="K9" s="27"/>
      <c r="L9" s="27">
        <f t="shared" si="1"/>
        <v>1518.75</v>
      </c>
      <c r="M9" s="27">
        <f t="shared" si="2"/>
        <v>1518.75</v>
      </c>
      <c r="N9" s="27">
        <f t="shared" si="3"/>
        <v>63787.5</v>
      </c>
    </row>
    <row r="10" spans="1:14" ht="15.5" x14ac:dyDescent="0.35">
      <c r="A10" s="22">
        <v>9</v>
      </c>
      <c r="B10" s="22" t="s">
        <v>433</v>
      </c>
      <c r="C10" s="46">
        <v>43473</v>
      </c>
      <c r="D10" s="21" t="s">
        <v>83</v>
      </c>
      <c r="E10" s="20" t="s">
        <v>181</v>
      </c>
      <c r="F10" s="63" t="s">
        <v>207</v>
      </c>
      <c r="G10" s="29">
        <v>25171010</v>
      </c>
      <c r="H10" s="27">
        <f t="shared" si="0"/>
        <v>81983.580000000016</v>
      </c>
      <c r="I10" s="28">
        <v>78079.600000000006</v>
      </c>
      <c r="J10" s="42">
        <v>0.05</v>
      </c>
      <c r="K10" s="27"/>
      <c r="L10" s="27">
        <f t="shared" si="1"/>
        <v>1951.9900000000002</v>
      </c>
      <c r="M10" s="27">
        <f t="shared" si="2"/>
        <v>1951.9900000000002</v>
      </c>
      <c r="N10" s="27">
        <f t="shared" si="3"/>
        <v>81983.580000000016</v>
      </c>
    </row>
    <row r="11" spans="1:14" ht="15.5" x14ac:dyDescent="0.35">
      <c r="A11" s="22">
        <v>10</v>
      </c>
      <c r="B11" s="22" t="s">
        <v>433</v>
      </c>
      <c r="C11" s="46">
        <v>43473</v>
      </c>
      <c r="D11" s="21" t="s">
        <v>84</v>
      </c>
      <c r="E11" s="20" t="s">
        <v>177</v>
      </c>
      <c r="F11" s="63" t="s">
        <v>203</v>
      </c>
      <c r="G11" s="29">
        <v>25171010</v>
      </c>
      <c r="H11" s="27">
        <f t="shared" si="0"/>
        <v>325500</v>
      </c>
      <c r="I11" s="28">
        <v>310000</v>
      </c>
      <c r="J11" s="42">
        <v>0.05</v>
      </c>
      <c r="K11" s="27"/>
      <c r="L11" s="27">
        <f t="shared" si="1"/>
        <v>7750</v>
      </c>
      <c r="M11" s="27">
        <f t="shared" si="2"/>
        <v>7750</v>
      </c>
      <c r="N11" s="27">
        <f t="shared" si="3"/>
        <v>325500</v>
      </c>
    </row>
    <row r="12" spans="1:14" ht="15.5" x14ac:dyDescent="0.35">
      <c r="A12" s="4">
        <v>11</v>
      </c>
      <c r="B12" s="22" t="s">
        <v>433</v>
      </c>
      <c r="C12" s="47">
        <v>43474</v>
      </c>
      <c r="D12" s="5" t="s">
        <v>85</v>
      </c>
      <c r="E12" s="91" t="s">
        <v>429</v>
      </c>
      <c r="F12" s="64"/>
      <c r="G12" s="6"/>
      <c r="H12" s="35"/>
      <c r="I12" s="36"/>
      <c r="J12" s="43"/>
      <c r="K12" s="35"/>
      <c r="L12" s="35"/>
      <c r="M12" s="35"/>
      <c r="N12" s="35"/>
    </row>
    <row r="13" spans="1:14" ht="15.5" x14ac:dyDescent="0.35">
      <c r="A13" s="4">
        <v>12</v>
      </c>
      <c r="B13" s="22" t="s">
        <v>433</v>
      </c>
      <c r="C13" s="47">
        <v>43474</v>
      </c>
      <c r="D13" s="5" t="s">
        <v>86</v>
      </c>
      <c r="E13" s="92"/>
      <c r="F13" s="64"/>
      <c r="G13" s="6"/>
      <c r="H13" s="35"/>
      <c r="I13" s="36"/>
      <c r="J13" s="43"/>
      <c r="K13" s="35"/>
      <c r="L13" s="35"/>
      <c r="M13" s="35"/>
      <c r="N13" s="35"/>
    </row>
    <row r="14" spans="1:14" ht="15.5" x14ac:dyDescent="0.35">
      <c r="A14" s="22">
        <v>13</v>
      </c>
      <c r="B14" s="22" t="s">
        <v>433</v>
      </c>
      <c r="C14" s="46">
        <v>43474</v>
      </c>
      <c r="D14" s="21" t="s">
        <v>87</v>
      </c>
      <c r="E14" s="20" t="s">
        <v>183</v>
      </c>
      <c r="F14" s="63" t="s">
        <v>209</v>
      </c>
      <c r="G14" s="29">
        <v>25171010</v>
      </c>
      <c r="H14" s="27">
        <f t="shared" si="0"/>
        <v>116466</v>
      </c>
      <c r="I14" s="28">
        <v>110920</v>
      </c>
      <c r="J14" s="42">
        <v>0.05</v>
      </c>
      <c r="K14" s="27"/>
      <c r="L14" s="27">
        <f t="shared" si="1"/>
        <v>2773</v>
      </c>
      <c r="M14" s="27">
        <f t="shared" si="2"/>
        <v>2773</v>
      </c>
      <c r="N14" s="27">
        <f t="shared" si="3"/>
        <v>116466</v>
      </c>
    </row>
    <row r="15" spans="1:14" ht="15.5" x14ac:dyDescent="0.35">
      <c r="A15" s="22">
        <v>14</v>
      </c>
      <c r="B15" s="22" t="s">
        <v>433</v>
      </c>
      <c r="C15" s="46">
        <v>43475</v>
      </c>
      <c r="D15" s="21" t="s">
        <v>88</v>
      </c>
      <c r="E15" s="20" t="s">
        <v>52</v>
      </c>
      <c r="F15" s="63" t="s">
        <v>53</v>
      </c>
      <c r="G15" s="29">
        <v>25171010</v>
      </c>
      <c r="H15" s="27">
        <f t="shared" si="0"/>
        <v>37333.800000000003</v>
      </c>
      <c r="I15" s="28">
        <v>35556</v>
      </c>
      <c r="J15" s="42">
        <v>0.05</v>
      </c>
      <c r="K15" s="27"/>
      <c r="L15" s="27">
        <f t="shared" si="1"/>
        <v>888.90000000000009</v>
      </c>
      <c r="M15" s="27">
        <f t="shared" si="2"/>
        <v>888.90000000000009</v>
      </c>
      <c r="N15" s="27">
        <f t="shared" si="3"/>
        <v>37333.800000000003</v>
      </c>
    </row>
    <row r="16" spans="1:14" ht="15.5" x14ac:dyDescent="0.35">
      <c r="A16" s="22">
        <v>15</v>
      </c>
      <c r="B16" s="22" t="s">
        <v>433</v>
      </c>
      <c r="C16" s="46">
        <v>43476</v>
      </c>
      <c r="D16" s="21" t="s">
        <v>89</v>
      </c>
      <c r="E16" s="20" t="s">
        <v>184</v>
      </c>
      <c r="F16" s="63" t="s">
        <v>210</v>
      </c>
      <c r="G16" s="29">
        <v>25171010</v>
      </c>
      <c r="H16" s="27">
        <f t="shared" si="0"/>
        <v>496085.625</v>
      </c>
      <c r="I16" s="28">
        <v>472462.5</v>
      </c>
      <c r="J16" s="42">
        <v>0.05</v>
      </c>
      <c r="K16" s="27"/>
      <c r="L16" s="27">
        <f t="shared" si="1"/>
        <v>11811.5625</v>
      </c>
      <c r="M16" s="27">
        <f t="shared" si="2"/>
        <v>11811.5625</v>
      </c>
      <c r="N16" s="27">
        <f t="shared" si="3"/>
        <v>496085.625</v>
      </c>
    </row>
    <row r="17" spans="1:14" ht="15.5" x14ac:dyDescent="0.35">
      <c r="A17" s="22">
        <v>16</v>
      </c>
      <c r="B17" s="22" t="s">
        <v>433</v>
      </c>
      <c r="C17" s="46">
        <v>43476</v>
      </c>
      <c r="D17" s="21" t="s">
        <v>90</v>
      </c>
      <c r="E17" s="20" t="s">
        <v>180</v>
      </c>
      <c r="F17" s="63" t="s">
        <v>206</v>
      </c>
      <c r="G17" s="29">
        <v>25171010</v>
      </c>
      <c r="H17" s="27">
        <f t="shared" si="0"/>
        <v>78697.5</v>
      </c>
      <c r="I17" s="28">
        <v>74950</v>
      </c>
      <c r="J17" s="42">
        <v>0.05</v>
      </c>
      <c r="K17" s="27"/>
      <c r="L17" s="27">
        <f t="shared" si="1"/>
        <v>1873.75</v>
      </c>
      <c r="M17" s="27">
        <f t="shared" si="2"/>
        <v>1873.75</v>
      </c>
      <c r="N17" s="27">
        <f t="shared" si="3"/>
        <v>78697.5</v>
      </c>
    </row>
    <row r="18" spans="1:14" ht="15.5" x14ac:dyDescent="0.35">
      <c r="A18" s="22">
        <v>17</v>
      </c>
      <c r="B18" s="22" t="s">
        <v>433</v>
      </c>
      <c r="C18" s="46">
        <v>43476</v>
      </c>
      <c r="D18" s="21" t="s">
        <v>91</v>
      </c>
      <c r="E18" s="20" t="s">
        <v>177</v>
      </c>
      <c r="F18" s="63" t="s">
        <v>203</v>
      </c>
      <c r="G18" s="29">
        <v>25171010</v>
      </c>
      <c r="H18" s="27">
        <f t="shared" si="0"/>
        <v>275157.53999999998</v>
      </c>
      <c r="I18" s="28">
        <v>262054.8</v>
      </c>
      <c r="J18" s="42">
        <v>0.05</v>
      </c>
      <c r="K18" s="27"/>
      <c r="L18" s="27">
        <f t="shared" si="1"/>
        <v>6551.37</v>
      </c>
      <c r="M18" s="27">
        <f t="shared" si="2"/>
        <v>6551.37</v>
      </c>
      <c r="N18" s="27">
        <f t="shared" si="3"/>
        <v>275157.53999999998</v>
      </c>
    </row>
    <row r="19" spans="1:14" ht="15.5" x14ac:dyDescent="0.35">
      <c r="A19" s="22">
        <v>18</v>
      </c>
      <c r="B19" s="22" t="s">
        <v>433</v>
      </c>
      <c r="C19" s="46">
        <v>43476</v>
      </c>
      <c r="D19" s="21" t="s">
        <v>92</v>
      </c>
      <c r="E19" s="20" t="s">
        <v>185</v>
      </c>
      <c r="F19" s="63" t="s">
        <v>211</v>
      </c>
      <c r="G19" s="29">
        <v>25171010</v>
      </c>
      <c r="H19" s="27">
        <f t="shared" si="0"/>
        <v>105160.23000000001</v>
      </c>
      <c r="I19" s="28">
        <v>100152.6</v>
      </c>
      <c r="J19" s="42">
        <v>0.05</v>
      </c>
      <c r="K19" s="27"/>
      <c r="L19" s="27">
        <f t="shared" si="1"/>
        <v>2503.8150000000005</v>
      </c>
      <c r="M19" s="27">
        <f t="shared" si="2"/>
        <v>2503.8150000000005</v>
      </c>
      <c r="N19" s="27">
        <f t="shared" si="3"/>
        <v>105160.23000000001</v>
      </c>
    </row>
    <row r="20" spans="1:14" ht="15.5" x14ac:dyDescent="0.35">
      <c r="A20" s="22">
        <v>19</v>
      </c>
      <c r="B20" s="22" t="s">
        <v>433</v>
      </c>
      <c r="C20" s="46">
        <v>43476</v>
      </c>
      <c r="D20" s="21" t="s">
        <v>93</v>
      </c>
      <c r="E20" s="20" t="s">
        <v>185</v>
      </c>
      <c r="F20" s="63" t="s">
        <v>211</v>
      </c>
      <c r="G20" s="29">
        <v>25171010</v>
      </c>
      <c r="H20" s="27">
        <f t="shared" si="0"/>
        <v>163343.35500000001</v>
      </c>
      <c r="I20" s="28">
        <v>155565.1</v>
      </c>
      <c r="J20" s="42">
        <v>0.05</v>
      </c>
      <c r="K20" s="27"/>
      <c r="L20" s="27">
        <f t="shared" si="1"/>
        <v>3889.1275000000005</v>
      </c>
      <c r="M20" s="27">
        <f t="shared" si="2"/>
        <v>3889.1275000000005</v>
      </c>
      <c r="N20" s="27">
        <f t="shared" si="3"/>
        <v>163343.35500000001</v>
      </c>
    </row>
    <row r="21" spans="1:14" ht="15.5" x14ac:dyDescent="0.35">
      <c r="A21" s="22">
        <v>20</v>
      </c>
      <c r="B21" s="22" t="s">
        <v>433</v>
      </c>
      <c r="C21" s="46">
        <v>43476</v>
      </c>
      <c r="D21" s="21" t="s">
        <v>94</v>
      </c>
      <c r="E21" s="20" t="s">
        <v>178</v>
      </c>
      <c r="F21" s="63" t="s">
        <v>204</v>
      </c>
      <c r="G21" s="29">
        <v>25171010</v>
      </c>
      <c r="H21" s="27">
        <f t="shared" si="0"/>
        <v>445478.103</v>
      </c>
      <c r="I21" s="28">
        <v>424264.86</v>
      </c>
      <c r="J21" s="42">
        <v>0.05</v>
      </c>
      <c r="K21" s="27"/>
      <c r="L21" s="27">
        <f t="shared" si="1"/>
        <v>10606.621500000001</v>
      </c>
      <c r="M21" s="27">
        <f t="shared" si="2"/>
        <v>10606.621500000001</v>
      </c>
      <c r="N21" s="27">
        <f t="shared" si="3"/>
        <v>445478.103</v>
      </c>
    </row>
    <row r="22" spans="1:14" ht="15.5" x14ac:dyDescent="0.35">
      <c r="A22" s="22">
        <v>21</v>
      </c>
      <c r="B22" s="22" t="s">
        <v>433</v>
      </c>
      <c r="C22" s="46">
        <v>43476</v>
      </c>
      <c r="D22" s="21" t="s">
        <v>95</v>
      </c>
      <c r="E22" s="20" t="s">
        <v>178</v>
      </c>
      <c r="F22" s="63" t="s">
        <v>204</v>
      </c>
      <c r="G22" s="29">
        <v>25171010</v>
      </c>
      <c r="H22" s="27">
        <f t="shared" si="0"/>
        <v>176924.03400000001</v>
      </c>
      <c r="I22" s="28">
        <v>168499.08</v>
      </c>
      <c r="J22" s="42">
        <v>0.05</v>
      </c>
      <c r="K22" s="27"/>
      <c r="L22" s="27">
        <f t="shared" si="1"/>
        <v>4212.4769999999999</v>
      </c>
      <c r="M22" s="27">
        <f t="shared" si="2"/>
        <v>4212.4769999999999</v>
      </c>
      <c r="N22" s="27">
        <f t="shared" si="3"/>
        <v>176924.03400000001</v>
      </c>
    </row>
    <row r="23" spans="1:14" ht="15.5" x14ac:dyDescent="0.35">
      <c r="A23" s="22">
        <v>22</v>
      </c>
      <c r="B23" s="22" t="s">
        <v>433</v>
      </c>
      <c r="C23" s="46">
        <v>43476</v>
      </c>
      <c r="D23" s="21" t="s">
        <v>96</v>
      </c>
      <c r="E23" s="20" t="s">
        <v>178</v>
      </c>
      <c r="F23" s="63" t="s">
        <v>204</v>
      </c>
      <c r="G23" s="29">
        <v>25171010</v>
      </c>
      <c r="H23" s="27">
        <f t="shared" si="0"/>
        <v>181787.1195</v>
      </c>
      <c r="I23" s="28">
        <v>173130.59</v>
      </c>
      <c r="J23" s="42">
        <v>0.05</v>
      </c>
      <c r="K23" s="27"/>
      <c r="L23" s="27">
        <f t="shared" si="1"/>
        <v>4328.2647500000003</v>
      </c>
      <c r="M23" s="27">
        <f t="shared" si="2"/>
        <v>4328.2647500000003</v>
      </c>
      <c r="N23" s="27">
        <f t="shared" si="3"/>
        <v>181787.1195</v>
      </c>
    </row>
    <row r="24" spans="1:14" ht="15.5" x14ac:dyDescent="0.35">
      <c r="A24" s="22">
        <v>23</v>
      </c>
      <c r="B24" s="22" t="s">
        <v>433</v>
      </c>
      <c r="C24" s="46">
        <v>43484</v>
      </c>
      <c r="D24" s="21" t="s">
        <v>97</v>
      </c>
      <c r="E24" s="20" t="s">
        <v>180</v>
      </c>
      <c r="F24" s="63" t="s">
        <v>206</v>
      </c>
      <c r="G24" s="29">
        <v>25171010</v>
      </c>
      <c r="H24" s="27">
        <f t="shared" si="0"/>
        <v>147210</v>
      </c>
      <c r="I24" s="28">
        <v>140200</v>
      </c>
      <c r="J24" s="42">
        <v>0.05</v>
      </c>
      <c r="K24" s="27"/>
      <c r="L24" s="27">
        <f t="shared" si="1"/>
        <v>3505</v>
      </c>
      <c r="M24" s="27">
        <f t="shared" si="2"/>
        <v>3505</v>
      </c>
      <c r="N24" s="27">
        <f t="shared" si="3"/>
        <v>147210</v>
      </c>
    </row>
    <row r="25" spans="1:14" ht="15.5" x14ac:dyDescent="0.35">
      <c r="A25" s="22">
        <v>24</v>
      </c>
      <c r="B25" s="22" t="s">
        <v>433</v>
      </c>
      <c r="C25" s="46">
        <v>43484</v>
      </c>
      <c r="D25" s="21" t="s">
        <v>98</v>
      </c>
      <c r="E25" s="20" t="s">
        <v>177</v>
      </c>
      <c r="F25" s="63" t="s">
        <v>203</v>
      </c>
      <c r="G25" s="29">
        <v>25171010</v>
      </c>
      <c r="H25" s="27">
        <f t="shared" si="0"/>
        <v>259476</v>
      </c>
      <c r="I25" s="28">
        <v>247120</v>
      </c>
      <c r="J25" s="42">
        <v>0.05</v>
      </c>
      <c r="K25" s="27"/>
      <c r="L25" s="27">
        <f t="shared" si="1"/>
        <v>6178</v>
      </c>
      <c r="M25" s="27">
        <f t="shared" si="2"/>
        <v>6178</v>
      </c>
      <c r="N25" s="27">
        <f t="shared" si="3"/>
        <v>259476</v>
      </c>
    </row>
    <row r="26" spans="1:14" ht="15.5" x14ac:dyDescent="0.35">
      <c r="A26" s="22">
        <v>25</v>
      </c>
      <c r="B26" s="22" t="s">
        <v>433</v>
      </c>
      <c r="C26" s="46">
        <v>43486</v>
      </c>
      <c r="D26" s="21" t="s">
        <v>99</v>
      </c>
      <c r="E26" s="20" t="s">
        <v>183</v>
      </c>
      <c r="F26" s="63" t="s">
        <v>209</v>
      </c>
      <c r="G26" s="29">
        <v>25171010</v>
      </c>
      <c r="H26" s="27">
        <f t="shared" si="0"/>
        <v>105474.07500000001</v>
      </c>
      <c r="I26" s="28">
        <v>100451.5</v>
      </c>
      <c r="J26" s="42">
        <v>0.05</v>
      </c>
      <c r="K26" s="27"/>
      <c r="L26" s="27">
        <f t="shared" si="1"/>
        <v>2511.2875000000004</v>
      </c>
      <c r="M26" s="27">
        <f t="shared" si="2"/>
        <v>2511.2875000000004</v>
      </c>
      <c r="N26" s="27">
        <f t="shared" si="3"/>
        <v>105474.07500000001</v>
      </c>
    </row>
    <row r="27" spans="1:14" ht="15.5" x14ac:dyDescent="0.35">
      <c r="A27" s="22">
        <v>26</v>
      </c>
      <c r="B27" s="22" t="s">
        <v>433</v>
      </c>
      <c r="C27" s="46">
        <v>43486</v>
      </c>
      <c r="D27" s="21" t="s">
        <v>100</v>
      </c>
      <c r="E27" s="20" t="s">
        <v>52</v>
      </c>
      <c r="F27" s="63" t="s">
        <v>53</v>
      </c>
      <c r="G27" s="29">
        <v>25171010</v>
      </c>
      <c r="H27" s="27">
        <f t="shared" si="0"/>
        <v>37119.600000000006</v>
      </c>
      <c r="I27" s="28">
        <v>35352</v>
      </c>
      <c r="J27" s="42">
        <v>0.05</v>
      </c>
      <c r="K27" s="27"/>
      <c r="L27" s="27">
        <f t="shared" si="1"/>
        <v>883.80000000000007</v>
      </c>
      <c r="M27" s="27">
        <f t="shared" si="2"/>
        <v>883.80000000000007</v>
      </c>
      <c r="N27" s="27">
        <f t="shared" si="3"/>
        <v>37119.600000000006</v>
      </c>
    </row>
    <row r="28" spans="1:14" ht="15.5" x14ac:dyDescent="0.35">
      <c r="A28" s="22">
        <v>27</v>
      </c>
      <c r="B28" s="22" t="s">
        <v>433</v>
      </c>
      <c r="C28" s="46">
        <v>43486</v>
      </c>
      <c r="D28" s="21" t="s">
        <v>101</v>
      </c>
      <c r="E28" s="20" t="s">
        <v>186</v>
      </c>
      <c r="F28" s="63" t="s">
        <v>212</v>
      </c>
      <c r="G28" s="29">
        <v>25171010</v>
      </c>
      <c r="H28" s="27">
        <f t="shared" si="0"/>
        <v>181265.7</v>
      </c>
      <c r="I28" s="28">
        <v>172634</v>
      </c>
      <c r="J28" s="42">
        <v>0.05</v>
      </c>
      <c r="K28" s="27"/>
      <c r="L28" s="27">
        <f t="shared" si="1"/>
        <v>4315.8500000000004</v>
      </c>
      <c r="M28" s="27">
        <f t="shared" si="2"/>
        <v>4315.8500000000004</v>
      </c>
      <c r="N28" s="27">
        <f t="shared" si="3"/>
        <v>181265.7</v>
      </c>
    </row>
    <row r="29" spans="1:14" ht="15.5" x14ac:dyDescent="0.35">
      <c r="A29" s="22">
        <v>28</v>
      </c>
      <c r="B29" s="22" t="s">
        <v>433</v>
      </c>
      <c r="C29" s="46">
        <v>43486</v>
      </c>
      <c r="D29" s="21" t="s">
        <v>102</v>
      </c>
      <c r="E29" s="20" t="s">
        <v>182</v>
      </c>
      <c r="F29" s="63" t="s">
        <v>213</v>
      </c>
      <c r="G29" s="29">
        <v>25171010</v>
      </c>
      <c r="H29" s="27">
        <f t="shared" si="0"/>
        <v>27430.199999999997</v>
      </c>
      <c r="I29" s="28">
        <v>26124</v>
      </c>
      <c r="J29" s="42">
        <v>0.05</v>
      </c>
      <c r="K29" s="27"/>
      <c r="L29" s="27">
        <f t="shared" si="1"/>
        <v>653.1</v>
      </c>
      <c r="M29" s="27">
        <f t="shared" si="2"/>
        <v>653.1</v>
      </c>
      <c r="N29" s="27">
        <f t="shared" si="3"/>
        <v>27430.199999999997</v>
      </c>
    </row>
    <row r="30" spans="1:14" ht="15.5" x14ac:dyDescent="0.35">
      <c r="A30" s="22">
        <v>29</v>
      </c>
      <c r="B30" s="22" t="s">
        <v>433</v>
      </c>
      <c r="C30" s="46">
        <v>43486</v>
      </c>
      <c r="D30" s="21" t="s">
        <v>103</v>
      </c>
      <c r="E30" s="20" t="s">
        <v>184</v>
      </c>
      <c r="F30" s="63" t="s">
        <v>210</v>
      </c>
      <c r="G30" s="29">
        <v>25171010</v>
      </c>
      <c r="H30" s="27">
        <f t="shared" si="0"/>
        <v>155137.5</v>
      </c>
      <c r="I30" s="28">
        <v>147750</v>
      </c>
      <c r="J30" s="42">
        <v>0.05</v>
      </c>
      <c r="K30" s="27"/>
      <c r="L30" s="27">
        <f t="shared" si="1"/>
        <v>3693.75</v>
      </c>
      <c r="M30" s="27">
        <f t="shared" si="2"/>
        <v>3693.75</v>
      </c>
      <c r="N30" s="27">
        <f t="shared" si="3"/>
        <v>155137.5</v>
      </c>
    </row>
    <row r="31" spans="1:14" ht="15.5" x14ac:dyDescent="0.35">
      <c r="A31" s="22">
        <v>30</v>
      </c>
      <c r="B31" s="22" t="s">
        <v>433</v>
      </c>
      <c r="C31" s="46">
        <v>43486</v>
      </c>
      <c r="D31" s="21" t="s">
        <v>104</v>
      </c>
      <c r="E31" s="20" t="s">
        <v>187</v>
      </c>
      <c r="F31" s="63" t="s">
        <v>214</v>
      </c>
      <c r="G31" s="29">
        <v>25171010</v>
      </c>
      <c r="H31" s="27">
        <f t="shared" si="0"/>
        <v>81081</v>
      </c>
      <c r="I31" s="28">
        <v>77220</v>
      </c>
      <c r="J31" s="42">
        <v>0.05</v>
      </c>
      <c r="K31" s="27"/>
      <c r="L31" s="27">
        <f t="shared" si="1"/>
        <v>1930.5</v>
      </c>
      <c r="M31" s="27">
        <f t="shared" si="2"/>
        <v>1930.5</v>
      </c>
      <c r="N31" s="27">
        <f t="shared" si="3"/>
        <v>81081</v>
      </c>
    </row>
    <row r="32" spans="1:14" ht="15.5" x14ac:dyDescent="0.35">
      <c r="A32" s="22">
        <v>31</v>
      </c>
      <c r="B32" s="22" t="s">
        <v>433</v>
      </c>
      <c r="C32" s="46">
        <v>43486</v>
      </c>
      <c r="D32" s="21" t="s">
        <v>105</v>
      </c>
      <c r="E32" s="20" t="s">
        <v>188</v>
      </c>
      <c r="F32" s="63" t="s">
        <v>215</v>
      </c>
      <c r="G32" s="29">
        <v>25171010</v>
      </c>
      <c r="H32" s="27">
        <f t="shared" si="0"/>
        <v>140922.49499999997</v>
      </c>
      <c r="I32" s="28">
        <v>134211.9</v>
      </c>
      <c r="J32" s="42">
        <v>0.05</v>
      </c>
      <c r="K32" s="27"/>
      <c r="L32" s="27">
        <f t="shared" si="1"/>
        <v>3355.2975000000001</v>
      </c>
      <c r="M32" s="27">
        <f t="shared" si="2"/>
        <v>3355.2975000000001</v>
      </c>
      <c r="N32" s="27">
        <f t="shared" si="3"/>
        <v>140922.49499999997</v>
      </c>
    </row>
    <row r="33" spans="1:14" ht="15.5" x14ac:dyDescent="0.35">
      <c r="A33" s="22">
        <v>32</v>
      </c>
      <c r="B33" s="22" t="s">
        <v>433</v>
      </c>
      <c r="C33" s="46">
        <v>43486</v>
      </c>
      <c r="D33" s="21" t="s">
        <v>106</v>
      </c>
      <c r="E33" s="20" t="s">
        <v>189</v>
      </c>
      <c r="F33" s="63" t="s">
        <v>216</v>
      </c>
      <c r="G33" s="29">
        <v>25171010</v>
      </c>
      <c r="H33" s="27">
        <f t="shared" si="0"/>
        <v>94376.625</v>
      </c>
      <c r="I33" s="28">
        <v>89882.5</v>
      </c>
      <c r="J33" s="42">
        <v>0.05</v>
      </c>
      <c r="K33" s="27"/>
      <c r="L33" s="27">
        <f t="shared" si="1"/>
        <v>2247.0625</v>
      </c>
      <c r="M33" s="27">
        <f t="shared" si="2"/>
        <v>2247.0625</v>
      </c>
      <c r="N33" s="27">
        <f t="shared" si="3"/>
        <v>94376.625</v>
      </c>
    </row>
    <row r="34" spans="1:14" ht="15.5" x14ac:dyDescent="0.35">
      <c r="A34" s="22">
        <v>33</v>
      </c>
      <c r="B34" s="22" t="s">
        <v>433</v>
      </c>
      <c r="C34" s="46">
        <v>43486</v>
      </c>
      <c r="D34" s="21" t="s">
        <v>107</v>
      </c>
      <c r="E34" s="20" t="s">
        <v>190</v>
      </c>
      <c r="F34" s="63" t="s">
        <v>217</v>
      </c>
      <c r="G34" s="29">
        <v>25171010</v>
      </c>
      <c r="H34" s="27">
        <f t="shared" si="0"/>
        <v>13969.2</v>
      </c>
      <c r="I34" s="28">
        <v>13304</v>
      </c>
      <c r="J34" s="42">
        <v>0.05</v>
      </c>
      <c r="K34" s="27"/>
      <c r="L34" s="27">
        <f t="shared" si="1"/>
        <v>332.6</v>
      </c>
      <c r="M34" s="27">
        <f t="shared" si="2"/>
        <v>332.6</v>
      </c>
      <c r="N34" s="27">
        <f t="shared" si="3"/>
        <v>13969.2</v>
      </c>
    </row>
    <row r="35" spans="1:14" ht="15.5" x14ac:dyDescent="0.35">
      <c r="A35" s="22">
        <v>34</v>
      </c>
      <c r="B35" s="22" t="s">
        <v>433</v>
      </c>
      <c r="C35" s="46">
        <v>43486</v>
      </c>
      <c r="D35" s="21" t="s">
        <v>108</v>
      </c>
      <c r="E35" s="20" t="s">
        <v>190</v>
      </c>
      <c r="F35" s="63" t="s">
        <v>217</v>
      </c>
      <c r="G35" s="29">
        <v>25171010</v>
      </c>
      <c r="H35" s="27">
        <f t="shared" si="0"/>
        <v>24357.9</v>
      </c>
      <c r="I35" s="28">
        <v>23198</v>
      </c>
      <c r="J35" s="42">
        <v>0.05</v>
      </c>
      <c r="K35" s="27"/>
      <c r="L35" s="27">
        <f t="shared" si="1"/>
        <v>579.95000000000005</v>
      </c>
      <c r="M35" s="27">
        <f t="shared" si="2"/>
        <v>579.95000000000005</v>
      </c>
      <c r="N35" s="27">
        <f t="shared" si="3"/>
        <v>24357.9</v>
      </c>
    </row>
    <row r="36" spans="1:14" ht="15.5" x14ac:dyDescent="0.35">
      <c r="A36" s="22">
        <v>35</v>
      </c>
      <c r="B36" s="22" t="s">
        <v>433</v>
      </c>
      <c r="C36" s="46">
        <v>43486</v>
      </c>
      <c r="D36" s="21" t="s">
        <v>109</v>
      </c>
      <c r="E36" s="20" t="s">
        <v>190</v>
      </c>
      <c r="F36" s="63" t="s">
        <v>217</v>
      </c>
      <c r="G36" s="29">
        <v>25171010</v>
      </c>
      <c r="H36" s="27">
        <f t="shared" si="0"/>
        <v>41393.100000000006</v>
      </c>
      <c r="I36" s="28">
        <v>39422</v>
      </c>
      <c r="J36" s="42">
        <v>0.05</v>
      </c>
      <c r="K36" s="27"/>
      <c r="L36" s="27">
        <f t="shared" si="1"/>
        <v>985.55000000000007</v>
      </c>
      <c r="M36" s="27">
        <f t="shared" si="2"/>
        <v>985.55000000000007</v>
      </c>
      <c r="N36" s="27">
        <f t="shared" si="3"/>
        <v>41393.100000000006</v>
      </c>
    </row>
    <row r="37" spans="1:14" ht="15.5" x14ac:dyDescent="0.35">
      <c r="A37" s="22">
        <v>36</v>
      </c>
      <c r="B37" s="22" t="s">
        <v>433</v>
      </c>
      <c r="C37" s="46">
        <v>43486</v>
      </c>
      <c r="D37" s="21" t="s">
        <v>110</v>
      </c>
      <c r="E37" s="20" t="s">
        <v>178</v>
      </c>
      <c r="F37" s="63" t="s">
        <v>204</v>
      </c>
      <c r="G37" s="29">
        <v>25171010</v>
      </c>
      <c r="H37" s="27">
        <f t="shared" si="0"/>
        <v>209441.52600000001</v>
      </c>
      <c r="I37" s="28">
        <v>199468.12</v>
      </c>
      <c r="J37" s="42">
        <v>0.05</v>
      </c>
      <c r="K37" s="27"/>
      <c r="L37" s="27">
        <f t="shared" si="1"/>
        <v>4986.7030000000004</v>
      </c>
      <c r="M37" s="27">
        <f t="shared" si="2"/>
        <v>4986.7030000000004</v>
      </c>
      <c r="N37" s="27">
        <f t="shared" si="3"/>
        <v>209441.52600000001</v>
      </c>
    </row>
    <row r="38" spans="1:14" ht="15.5" x14ac:dyDescent="0.35">
      <c r="A38" s="22">
        <v>37</v>
      </c>
      <c r="B38" s="22" t="s">
        <v>433</v>
      </c>
      <c r="C38" s="46">
        <v>43486</v>
      </c>
      <c r="D38" s="21" t="s">
        <v>111</v>
      </c>
      <c r="E38" s="20" t="s">
        <v>178</v>
      </c>
      <c r="F38" s="63" t="s">
        <v>204</v>
      </c>
      <c r="G38" s="29">
        <v>25171010</v>
      </c>
      <c r="H38" s="27">
        <f t="shared" si="0"/>
        <v>108742.64099999999</v>
      </c>
      <c r="I38" s="28">
        <v>103564.42</v>
      </c>
      <c r="J38" s="42">
        <v>0.05</v>
      </c>
      <c r="K38" s="27"/>
      <c r="L38" s="27">
        <f t="shared" si="1"/>
        <v>2589.1105000000002</v>
      </c>
      <c r="M38" s="27">
        <f t="shared" si="2"/>
        <v>2589.1105000000002</v>
      </c>
      <c r="N38" s="27">
        <f t="shared" si="3"/>
        <v>108742.64099999999</v>
      </c>
    </row>
    <row r="39" spans="1:14" ht="15.5" x14ac:dyDescent="0.35">
      <c r="A39" s="22">
        <v>38</v>
      </c>
      <c r="B39" s="22" t="s">
        <v>433</v>
      </c>
      <c r="C39" s="46">
        <v>43486</v>
      </c>
      <c r="D39" s="21" t="s">
        <v>112</v>
      </c>
      <c r="E39" s="20" t="s">
        <v>178</v>
      </c>
      <c r="F39" s="63" t="s">
        <v>204</v>
      </c>
      <c r="G39" s="29">
        <v>25171010</v>
      </c>
      <c r="H39" s="27">
        <f t="shared" si="0"/>
        <v>86071.65</v>
      </c>
      <c r="I39" s="28">
        <v>81973</v>
      </c>
      <c r="J39" s="42">
        <v>0.05</v>
      </c>
      <c r="K39" s="27"/>
      <c r="L39" s="27">
        <f t="shared" si="1"/>
        <v>2049.3250000000003</v>
      </c>
      <c r="M39" s="27">
        <f t="shared" si="2"/>
        <v>2049.3250000000003</v>
      </c>
      <c r="N39" s="27">
        <f t="shared" si="3"/>
        <v>86071.65</v>
      </c>
    </row>
    <row r="40" spans="1:14" ht="15.5" x14ac:dyDescent="0.35">
      <c r="A40" s="22">
        <v>39</v>
      </c>
      <c r="B40" s="22" t="s">
        <v>433</v>
      </c>
      <c r="C40" s="46">
        <v>43486</v>
      </c>
      <c r="D40" s="21" t="s">
        <v>113</v>
      </c>
      <c r="E40" s="20" t="s">
        <v>178</v>
      </c>
      <c r="F40" s="63" t="s">
        <v>204</v>
      </c>
      <c r="G40" s="29">
        <v>25171010</v>
      </c>
      <c r="H40" s="27">
        <f t="shared" si="0"/>
        <v>92483.212499999994</v>
      </c>
      <c r="I40" s="28">
        <v>88079.25</v>
      </c>
      <c r="J40" s="42">
        <v>0.05</v>
      </c>
      <c r="K40" s="27"/>
      <c r="L40" s="27">
        <f t="shared" si="1"/>
        <v>2201.9812500000003</v>
      </c>
      <c r="M40" s="27">
        <f t="shared" si="2"/>
        <v>2201.9812500000003</v>
      </c>
      <c r="N40" s="27">
        <f t="shared" si="3"/>
        <v>92483.212499999994</v>
      </c>
    </row>
    <row r="41" spans="1:14" ht="15.5" x14ac:dyDescent="0.35">
      <c r="A41" s="22">
        <v>40</v>
      </c>
      <c r="B41" s="22" t="s">
        <v>433</v>
      </c>
      <c r="C41" s="46">
        <v>43486</v>
      </c>
      <c r="D41" s="21" t="s">
        <v>114</v>
      </c>
      <c r="E41" s="20" t="s">
        <v>178</v>
      </c>
      <c r="F41" s="63" t="s">
        <v>204</v>
      </c>
      <c r="G41" s="29">
        <v>25171010</v>
      </c>
      <c r="H41" s="27">
        <f t="shared" si="0"/>
        <v>110267.53499999999</v>
      </c>
      <c r="I41" s="28">
        <v>105016.7</v>
      </c>
      <c r="J41" s="42">
        <v>0.05</v>
      </c>
      <c r="K41" s="27"/>
      <c r="L41" s="27">
        <f t="shared" si="1"/>
        <v>2625.4175</v>
      </c>
      <c r="M41" s="27">
        <f t="shared" si="2"/>
        <v>2625.4175</v>
      </c>
      <c r="N41" s="27">
        <f t="shared" si="3"/>
        <v>110267.53499999999</v>
      </c>
    </row>
    <row r="42" spans="1:14" ht="15.5" x14ac:dyDescent="0.35">
      <c r="A42" s="22">
        <v>41</v>
      </c>
      <c r="B42" s="22" t="s">
        <v>433</v>
      </c>
      <c r="C42" s="46">
        <v>43486</v>
      </c>
      <c r="D42" s="21" t="s">
        <v>115</v>
      </c>
      <c r="E42" s="20" t="s">
        <v>179</v>
      </c>
      <c r="F42" s="63" t="s">
        <v>205</v>
      </c>
      <c r="G42" s="29">
        <v>25171010</v>
      </c>
      <c r="H42" s="27">
        <f t="shared" si="0"/>
        <v>92767.5</v>
      </c>
      <c r="I42" s="28">
        <v>88350</v>
      </c>
      <c r="J42" s="42">
        <v>0.05</v>
      </c>
      <c r="K42" s="27"/>
      <c r="L42" s="27">
        <f t="shared" si="1"/>
        <v>2208.75</v>
      </c>
      <c r="M42" s="27">
        <f t="shared" si="2"/>
        <v>2208.75</v>
      </c>
      <c r="N42" s="27">
        <f t="shared" si="3"/>
        <v>92767.5</v>
      </c>
    </row>
    <row r="43" spans="1:14" ht="15.5" x14ac:dyDescent="0.35">
      <c r="A43" s="22">
        <v>42</v>
      </c>
      <c r="B43" s="22" t="s">
        <v>433</v>
      </c>
      <c r="C43" s="46">
        <v>43486</v>
      </c>
      <c r="D43" s="21" t="s">
        <v>116</v>
      </c>
      <c r="E43" s="20" t="s">
        <v>179</v>
      </c>
      <c r="F43" s="63" t="s">
        <v>205</v>
      </c>
      <c r="G43" s="29">
        <v>25171010</v>
      </c>
      <c r="H43" s="27">
        <f t="shared" si="0"/>
        <v>73222.799999999988</v>
      </c>
      <c r="I43" s="28">
        <v>69736</v>
      </c>
      <c r="J43" s="42">
        <v>0.05</v>
      </c>
      <c r="K43" s="27"/>
      <c r="L43" s="27">
        <f t="shared" si="1"/>
        <v>1743.4</v>
      </c>
      <c r="M43" s="27">
        <f t="shared" si="2"/>
        <v>1743.4</v>
      </c>
      <c r="N43" s="27">
        <f t="shared" si="3"/>
        <v>73222.799999999988</v>
      </c>
    </row>
    <row r="44" spans="1:14" ht="15.5" x14ac:dyDescent="0.35">
      <c r="A44" s="22">
        <v>43</v>
      </c>
      <c r="B44" s="22" t="s">
        <v>433</v>
      </c>
      <c r="C44" s="46">
        <v>43486</v>
      </c>
      <c r="D44" s="21" t="s">
        <v>117</v>
      </c>
      <c r="E44" s="20" t="s">
        <v>179</v>
      </c>
      <c r="F44" s="63" t="s">
        <v>205</v>
      </c>
      <c r="G44" s="29">
        <v>25171010</v>
      </c>
      <c r="H44" s="27">
        <f t="shared" si="0"/>
        <v>13605.900000000001</v>
      </c>
      <c r="I44" s="28">
        <v>12958</v>
      </c>
      <c r="J44" s="42">
        <v>0.05</v>
      </c>
      <c r="K44" s="27"/>
      <c r="L44" s="27">
        <f t="shared" si="1"/>
        <v>323.95000000000005</v>
      </c>
      <c r="M44" s="27">
        <f t="shared" si="2"/>
        <v>323.95000000000005</v>
      </c>
      <c r="N44" s="27">
        <f t="shared" si="3"/>
        <v>13605.900000000001</v>
      </c>
    </row>
    <row r="45" spans="1:14" ht="15.5" x14ac:dyDescent="0.35">
      <c r="A45" s="22">
        <v>44</v>
      </c>
      <c r="B45" s="22" t="s">
        <v>433</v>
      </c>
      <c r="C45" s="46">
        <v>43486</v>
      </c>
      <c r="D45" s="21" t="s">
        <v>118</v>
      </c>
      <c r="E45" s="20" t="s">
        <v>179</v>
      </c>
      <c r="F45" s="63" t="s">
        <v>205</v>
      </c>
      <c r="G45" s="29">
        <v>25171010</v>
      </c>
      <c r="H45" s="27">
        <f t="shared" si="0"/>
        <v>66662.399999999994</v>
      </c>
      <c r="I45" s="28">
        <v>63488</v>
      </c>
      <c r="J45" s="42">
        <v>0.05</v>
      </c>
      <c r="K45" s="27"/>
      <c r="L45" s="27">
        <f t="shared" si="1"/>
        <v>1587.2</v>
      </c>
      <c r="M45" s="27">
        <f t="shared" si="2"/>
        <v>1587.2</v>
      </c>
      <c r="N45" s="27">
        <f t="shared" si="3"/>
        <v>66662.399999999994</v>
      </c>
    </row>
    <row r="46" spans="1:14" ht="15.5" x14ac:dyDescent="0.35">
      <c r="A46" s="22">
        <v>45</v>
      </c>
      <c r="B46" s="22" t="s">
        <v>433</v>
      </c>
      <c r="C46" s="46">
        <v>43488</v>
      </c>
      <c r="D46" s="21" t="s">
        <v>119</v>
      </c>
      <c r="E46" s="20" t="s">
        <v>182</v>
      </c>
      <c r="F46" s="63" t="s">
        <v>208</v>
      </c>
      <c r="G46" s="29">
        <v>25171010</v>
      </c>
      <c r="H46" s="27">
        <f t="shared" si="0"/>
        <v>436501.80000000005</v>
      </c>
      <c r="I46" s="28">
        <v>415716</v>
      </c>
      <c r="J46" s="42">
        <v>0.05</v>
      </c>
      <c r="K46" s="27"/>
      <c r="L46" s="27">
        <f t="shared" si="1"/>
        <v>10392.900000000001</v>
      </c>
      <c r="M46" s="27">
        <f t="shared" si="2"/>
        <v>10392.900000000001</v>
      </c>
      <c r="N46" s="27">
        <f t="shared" si="3"/>
        <v>436501.80000000005</v>
      </c>
    </row>
    <row r="47" spans="1:14" ht="15.5" x14ac:dyDescent="0.35">
      <c r="A47" s="22">
        <v>46</v>
      </c>
      <c r="B47" s="22" t="s">
        <v>433</v>
      </c>
      <c r="C47" s="46">
        <v>43488</v>
      </c>
      <c r="D47" s="21" t="s">
        <v>120</v>
      </c>
      <c r="E47" s="20" t="s">
        <v>182</v>
      </c>
      <c r="F47" s="63" t="s">
        <v>208</v>
      </c>
      <c r="G47" s="29">
        <v>25171010</v>
      </c>
      <c r="H47" s="27">
        <f t="shared" si="0"/>
        <v>151830</v>
      </c>
      <c r="I47" s="28">
        <v>144600</v>
      </c>
      <c r="J47" s="42">
        <v>0.05</v>
      </c>
      <c r="K47" s="27"/>
      <c r="L47" s="27">
        <f t="shared" si="1"/>
        <v>3615</v>
      </c>
      <c r="M47" s="27">
        <f t="shared" si="2"/>
        <v>3615</v>
      </c>
      <c r="N47" s="27">
        <f t="shared" si="3"/>
        <v>151830</v>
      </c>
    </row>
    <row r="48" spans="1:14" ht="15.5" x14ac:dyDescent="0.35">
      <c r="A48" s="22">
        <v>47</v>
      </c>
      <c r="B48" s="22" t="s">
        <v>433</v>
      </c>
      <c r="C48" s="46">
        <v>43488</v>
      </c>
      <c r="D48" s="21" t="s">
        <v>121</v>
      </c>
      <c r="E48" s="20" t="s">
        <v>179</v>
      </c>
      <c r="F48" s="63" t="s">
        <v>205</v>
      </c>
      <c r="G48" s="29">
        <v>25171010</v>
      </c>
      <c r="H48" s="27">
        <f t="shared" si="0"/>
        <v>14152.32</v>
      </c>
      <c r="I48" s="28">
        <v>13478.4</v>
      </c>
      <c r="J48" s="42">
        <v>0.05</v>
      </c>
      <c r="K48" s="27"/>
      <c r="L48" s="27">
        <f t="shared" si="1"/>
        <v>336.96000000000004</v>
      </c>
      <c r="M48" s="27">
        <f t="shared" si="2"/>
        <v>336.96000000000004</v>
      </c>
      <c r="N48" s="27">
        <f t="shared" si="3"/>
        <v>14152.32</v>
      </c>
    </row>
    <row r="49" spans="1:14" ht="15.5" x14ac:dyDescent="0.35">
      <c r="A49" s="22">
        <v>48</v>
      </c>
      <c r="B49" s="22" t="s">
        <v>433</v>
      </c>
      <c r="C49" s="46">
        <v>43488</v>
      </c>
      <c r="D49" s="21" t="s">
        <v>122</v>
      </c>
      <c r="E49" s="20" t="s">
        <v>180</v>
      </c>
      <c r="F49" s="63" t="s">
        <v>206</v>
      </c>
      <c r="G49" s="29">
        <v>25171010</v>
      </c>
      <c r="H49" s="27">
        <f t="shared" si="0"/>
        <v>59062.5</v>
      </c>
      <c r="I49" s="28">
        <v>56250</v>
      </c>
      <c r="J49" s="42">
        <v>0.05</v>
      </c>
      <c r="K49" s="27"/>
      <c r="L49" s="27">
        <f t="shared" si="1"/>
        <v>1406.25</v>
      </c>
      <c r="M49" s="27">
        <f t="shared" si="2"/>
        <v>1406.25</v>
      </c>
      <c r="N49" s="27">
        <f t="shared" si="3"/>
        <v>59062.5</v>
      </c>
    </row>
    <row r="50" spans="1:14" ht="15.5" x14ac:dyDescent="0.35">
      <c r="A50" s="22">
        <v>49</v>
      </c>
      <c r="B50" s="22" t="s">
        <v>433</v>
      </c>
      <c r="C50" s="46">
        <v>43489</v>
      </c>
      <c r="D50" s="21" t="s">
        <v>123</v>
      </c>
      <c r="E50" s="20" t="s">
        <v>191</v>
      </c>
      <c r="F50" s="63" t="s">
        <v>218</v>
      </c>
      <c r="G50" s="29">
        <v>25171010</v>
      </c>
      <c r="H50" s="27">
        <f t="shared" si="0"/>
        <v>706482.52499999991</v>
      </c>
      <c r="I50" s="28">
        <v>672840.5</v>
      </c>
      <c r="J50" s="42">
        <v>0.05</v>
      </c>
      <c r="K50" s="27"/>
      <c r="L50" s="27">
        <f t="shared" si="1"/>
        <v>16821.012500000001</v>
      </c>
      <c r="M50" s="27">
        <f t="shared" si="2"/>
        <v>16821.012500000001</v>
      </c>
      <c r="N50" s="27">
        <f t="shared" si="3"/>
        <v>706482.52499999991</v>
      </c>
    </row>
    <row r="51" spans="1:14" ht="15.5" x14ac:dyDescent="0.35">
      <c r="A51" s="22">
        <v>50</v>
      </c>
      <c r="B51" s="22" t="s">
        <v>433</v>
      </c>
      <c r="C51" s="46">
        <v>43489</v>
      </c>
      <c r="D51" s="21" t="s">
        <v>124</v>
      </c>
      <c r="E51" s="20" t="s">
        <v>191</v>
      </c>
      <c r="F51" s="63" t="s">
        <v>218</v>
      </c>
      <c r="G51" s="29">
        <v>25171010</v>
      </c>
      <c r="H51" s="27">
        <f t="shared" si="0"/>
        <v>488074.54500000004</v>
      </c>
      <c r="I51" s="28">
        <v>464832.9</v>
      </c>
      <c r="J51" s="42">
        <v>0.05</v>
      </c>
      <c r="K51" s="27"/>
      <c r="L51" s="27">
        <f t="shared" si="1"/>
        <v>11620.822500000002</v>
      </c>
      <c r="M51" s="27">
        <f t="shared" si="2"/>
        <v>11620.822500000002</v>
      </c>
      <c r="N51" s="27">
        <f t="shared" si="3"/>
        <v>488074.54500000004</v>
      </c>
    </row>
    <row r="52" spans="1:14" ht="15.5" x14ac:dyDescent="0.35">
      <c r="A52" s="22">
        <v>51</v>
      </c>
      <c r="B52" s="22" t="s">
        <v>433</v>
      </c>
      <c r="C52" s="46">
        <v>43489</v>
      </c>
      <c r="D52" s="21" t="s">
        <v>125</v>
      </c>
      <c r="E52" s="20" t="s">
        <v>191</v>
      </c>
      <c r="F52" s="63" t="s">
        <v>218</v>
      </c>
      <c r="G52" s="29">
        <v>25171010</v>
      </c>
      <c r="H52" s="27">
        <f t="shared" si="0"/>
        <v>251761.02</v>
      </c>
      <c r="I52" s="28">
        <v>239772.4</v>
      </c>
      <c r="J52" s="42">
        <v>0.05</v>
      </c>
      <c r="K52" s="27"/>
      <c r="L52" s="27">
        <f t="shared" si="1"/>
        <v>5994.31</v>
      </c>
      <c r="M52" s="27">
        <f t="shared" si="2"/>
        <v>5994.31</v>
      </c>
      <c r="N52" s="27">
        <f t="shared" si="3"/>
        <v>251761.02</v>
      </c>
    </row>
    <row r="53" spans="1:14" ht="15.5" x14ac:dyDescent="0.35">
      <c r="A53" s="22">
        <v>52</v>
      </c>
      <c r="B53" s="22" t="s">
        <v>433</v>
      </c>
      <c r="C53" s="46">
        <v>43489</v>
      </c>
      <c r="D53" s="21" t="s">
        <v>126</v>
      </c>
      <c r="E53" s="20" t="s">
        <v>191</v>
      </c>
      <c r="F53" s="63" t="s">
        <v>218</v>
      </c>
      <c r="G53" s="29">
        <v>25171010</v>
      </c>
      <c r="H53" s="27">
        <f t="shared" si="0"/>
        <v>128066.06399999998</v>
      </c>
      <c r="I53" s="28">
        <v>121967.67999999999</v>
      </c>
      <c r="J53" s="42">
        <v>0.05</v>
      </c>
      <c r="K53" s="27"/>
      <c r="L53" s="27">
        <f t="shared" si="1"/>
        <v>3049.192</v>
      </c>
      <c r="M53" s="27">
        <f t="shared" si="2"/>
        <v>3049.192</v>
      </c>
      <c r="N53" s="27">
        <f t="shared" si="3"/>
        <v>128066.06399999998</v>
      </c>
    </row>
    <row r="54" spans="1:14" ht="15.5" x14ac:dyDescent="0.35">
      <c r="A54" s="22">
        <v>53</v>
      </c>
      <c r="B54" s="22" t="s">
        <v>433</v>
      </c>
      <c r="C54" s="46">
        <v>43491</v>
      </c>
      <c r="D54" s="21" t="s">
        <v>127</v>
      </c>
      <c r="E54" s="20" t="s">
        <v>192</v>
      </c>
      <c r="F54" s="63" t="s">
        <v>219</v>
      </c>
      <c r="G54" s="29">
        <v>25171010</v>
      </c>
      <c r="H54" s="27">
        <f t="shared" si="0"/>
        <v>19095.300000000003</v>
      </c>
      <c r="I54" s="28">
        <v>18186</v>
      </c>
      <c r="J54" s="42">
        <v>0.05</v>
      </c>
      <c r="K54" s="27"/>
      <c r="L54" s="27">
        <f t="shared" si="1"/>
        <v>454.65000000000003</v>
      </c>
      <c r="M54" s="27">
        <f t="shared" si="2"/>
        <v>454.65000000000003</v>
      </c>
      <c r="N54" s="27">
        <f t="shared" si="3"/>
        <v>19095.300000000003</v>
      </c>
    </row>
    <row r="55" spans="1:14" ht="15.5" x14ac:dyDescent="0.35">
      <c r="A55" s="22">
        <v>54</v>
      </c>
      <c r="B55" s="22" t="s">
        <v>433</v>
      </c>
      <c r="C55" s="46">
        <v>43491</v>
      </c>
      <c r="D55" s="21" t="s">
        <v>128</v>
      </c>
      <c r="E55" s="20" t="s">
        <v>178</v>
      </c>
      <c r="F55" s="63" t="s">
        <v>204</v>
      </c>
      <c r="G55" s="29">
        <v>25171010</v>
      </c>
      <c r="H55" s="27">
        <f t="shared" si="0"/>
        <v>525859.446</v>
      </c>
      <c r="I55" s="28">
        <v>500818.52</v>
      </c>
      <c r="J55" s="42">
        <v>0.05</v>
      </c>
      <c r="K55" s="27"/>
      <c r="L55" s="27">
        <f t="shared" si="1"/>
        <v>12520.463000000002</v>
      </c>
      <c r="M55" s="27">
        <f t="shared" si="2"/>
        <v>12520.463000000002</v>
      </c>
      <c r="N55" s="27">
        <f t="shared" si="3"/>
        <v>525859.446</v>
      </c>
    </row>
    <row r="56" spans="1:14" ht="15.5" x14ac:dyDescent="0.35">
      <c r="A56" s="22">
        <v>55</v>
      </c>
      <c r="B56" s="22" t="s">
        <v>433</v>
      </c>
      <c r="C56" s="46">
        <v>43491</v>
      </c>
      <c r="D56" s="21" t="s">
        <v>129</v>
      </c>
      <c r="E56" s="20" t="s">
        <v>178</v>
      </c>
      <c r="F56" s="63" t="s">
        <v>204</v>
      </c>
      <c r="G56" s="29">
        <v>25171010</v>
      </c>
      <c r="H56" s="27">
        <f t="shared" si="0"/>
        <v>194702.48700000002</v>
      </c>
      <c r="I56" s="28">
        <v>185430.94</v>
      </c>
      <c r="J56" s="42">
        <v>0.05</v>
      </c>
      <c r="K56" s="27"/>
      <c r="L56" s="27">
        <f t="shared" si="1"/>
        <v>4635.7735000000002</v>
      </c>
      <c r="M56" s="27">
        <f t="shared" si="2"/>
        <v>4635.7735000000002</v>
      </c>
      <c r="N56" s="27">
        <f t="shared" si="3"/>
        <v>194702.48700000002</v>
      </c>
    </row>
    <row r="57" spans="1:14" ht="15.5" x14ac:dyDescent="0.35">
      <c r="A57" s="22">
        <v>56</v>
      </c>
      <c r="B57" s="22" t="s">
        <v>433</v>
      </c>
      <c r="C57" s="46">
        <v>43491</v>
      </c>
      <c r="D57" s="21" t="s">
        <v>130</v>
      </c>
      <c r="E57" s="20" t="s">
        <v>178</v>
      </c>
      <c r="F57" s="63" t="s">
        <v>204</v>
      </c>
      <c r="G57" s="29">
        <v>25171010</v>
      </c>
      <c r="H57" s="27">
        <f t="shared" si="0"/>
        <v>135071.7795</v>
      </c>
      <c r="I57" s="28">
        <v>128639.79</v>
      </c>
      <c r="J57" s="42">
        <v>0.05</v>
      </c>
      <c r="K57" s="27"/>
      <c r="L57" s="27">
        <f t="shared" si="1"/>
        <v>3215.9947499999998</v>
      </c>
      <c r="M57" s="27">
        <f t="shared" si="2"/>
        <v>3215.9947499999998</v>
      </c>
      <c r="N57" s="27">
        <f t="shared" si="3"/>
        <v>135071.7795</v>
      </c>
    </row>
    <row r="58" spans="1:14" ht="15.5" x14ac:dyDescent="0.35">
      <c r="A58" s="22">
        <v>57</v>
      </c>
      <c r="B58" s="22" t="s">
        <v>433</v>
      </c>
      <c r="C58" s="46">
        <v>43491</v>
      </c>
      <c r="D58" s="21" t="s">
        <v>131</v>
      </c>
      <c r="E58" s="20" t="s">
        <v>178</v>
      </c>
      <c r="F58" s="63" t="s">
        <v>204</v>
      </c>
      <c r="G58" s="29">
        <v>25171010</v>
      </c>
      <c r="H58" s="27">
        <f t="shared" si="0"/>
        <v>163887.74849999999</v>
      </c>
      <c r="I58" s="28">
        <v>156083.57</v>
      </c>
      <c r="J58" s="42">
        <v>0.05</v>
      </c>
      <c r="K58" s="27"/>
      <c r="L58" s="27">
        <f t="shared" si="1"/>
        <v>3902.0892500000004</v>
      </c>
      <c r="M58" s="27">
        <f t="shared" si="2"/>
        <v>3902.0892500000004</v>
      </c>
      <c r="N58" s="27">
        <f t="shared" si="3"/>
        <v>163887.74849999999</v>
      </c>
    </row>
    <row r="59" spans="1:14" ht="15.5" x14ac:dyDescent="0.35">
      <c r="A59" s="22">
        <v>58</v>
      </c>
      <c r="B59" s="22" t="s">
        <v>433</v>
      </c>
      <c r="C59" s="46">
        <v>43491</v>
      </c>
      <c r="D59" s="21" t="s">
        <v>132</v>
      </c>
      <c r="E59" s="20" t="s">
        <v>180</v>
      </c>
      <c r="F59" s="63" t="s">
        <v>206</v>
      </c>
      <c r="G59" s="29">
        <v>25171010</v>
      </c>
      <c r="H59" s="27">
        <f t="shared" si="0"/>
        <v>117180</v>
      </c>
      <c r="I59" s="28">
        <v>111600</v>
      </c>
      <c r="J59" s="42">
        <v>0.05</v>
      </c>
      <c r="K59" s="27"/>
      <c r="L59" s="27">
        <f t="shared" si="1"/>
        <v>2790</v>
      </c>
      <c r="M59" s="27">
        <f t="shared" si="2"/>
        <v>2790</v>
      </c>
      <c r="N59" s="27">
        <f t="shared" si="3"/>
        <v>117180</v>
      </c>
    </row>
    <row r="60" spans="1:14" ht="15.5" x14ac:dyDescent="0.35">
      <c r="A60" s="22">
        <v>59</v>
      </c>
      <c r="B60" s="22" t="s">
        <v>433</v>
      </c>
      <c r="C60" s="46">
        <v>43491</v>
      </c>
      <c r="D60" s="21" t="s">
        <v>133</v>
      </c>
      <c r="E60" s="20" t="s">
        <v>177</v>
      </c>
      <c r="F60" s="63" t="s">
        <v>203</v>
      </c>
      <c r="G60" s="29">
        <v>25171010</v>
      </c>
      <c r="H60" s="27">
        <f t="shared" si="0"/>
        <v>223441.68000000002</v>
      </c>
      <c r="I60" s="28">
        <v>212801.6</v>
      </c>
      <c r="J60" s="42">
        <v>0.05</v>
      </c>
      <c r="K60" s="27"/>
      <c r="L60" s="27">
        <f t="shared" si="1"/>
        <v>5320.0400000000009</v>
      </c>
      <c r="M60" s="27">
        <f t="shared" si="2"/>
        <v>5320.0400000000009</v>
      </c>
      <c r="N60" s="27">
        <f t="shared" si="3"/>
        <v>223441.68000000002</v>
      </c>
    </row>
    <row r="61" spans="1:14" ht="15.5" x14ac:dyDescent="0.35">
      <c r="A61" s="22">
        <v>60</v>
      </c>
      <c r="B61" s="22" t="s">
        <v>433</v>
      </c>
      <c r="C61" s="46">
        <v>43494</v>
      </c>
      <c r="D61" s="21" t="s">
        <v>134</v>
      </c>
      <c r="E61" s="20" t="s">
        <v>180</v>
      </c>
      <c r="F61" s="63" t="s">
        <v>206</v>
      </c>
      <c r="G61" s="29">
        <v>25171010</v>
      </c>
      <c r="H61" s="27">
        <f t="shared" si="0"/>
        <v>287017.5</v>
      </c>
      <c r="I61" s="28">
        <v>273350</v>
      </c>
      <c r="J61" s="42">
        <v>0.05</v>
      </c>
      <c r="K61" s="27"/>
      <c r="L61" s="27">
        <f t="shared" si="1"/>
        <v>6833.75</v>
      </c>
      <c r="M61" s="27">
        <f t="shared" si="2"/>
        <v>6833.75</v>
      </c>
      <c r="N61" s="27">
        <f t="shared" si="3"/>
        <v>287017.5</v>
      </c>
    </row>
    <row r="62" spans="1:14" ht="15.5" x14ac:dyDescent="0.35">
      <c r="A62" s="22">
        <v>61</v>
      </c>
      <c r="B62" s="22" t="s">
        <v>433</v>
      </c>
      <c r="C62" s="46">
        <v>43494</v>
      </c>
      <c r="D62" s="21" t="s">
        <v>135</v>
      </c>
      <c r="E62" s="20" t="s">
        <v>188</v>
      </c>
      <c r="F62" s="63" t="s">
        <v>215</v>
      </c>
      <c r="G62" s="29">
        <v>25171010</v>
      </c>
      <c r="H62" s="27">
        <f t="shared" si="0"/>
        <v>68581.904999999999</v>
      </c>
      <c r="I62" s="28">
        <v>65316.1</v>
      </c>
      <c r="J62" s="42">
        <v>0.05</v>
      </c>
      <c r="K62" s="27"/>
      <c r="L62" s="27">
        <f t="shared" si="1"/>
        <v>1632.9025000000001</v>
      </c>
      <c r="M62" s="27">
        <f t="shared" si="2"/>
        <v>1632.9025000000001</v>
      </c>
      <c r="N62" s="27">
        <f t="shared" si="3"/>
        <v>68581.904999999999</v>
      </c>
    </row>
    <row r="63" spans="1:14" ht="15.5" x14ac:dyDescent="0.35">
      <c r="A63" s="22">
        <v>62</v>
      </c>
      <c r="B63" s="22" t="s">
        <v>433</v>
      </c>
      <c r="C63" s="46">
        <v>43494</v>
      </c>
      <c r="D63" s="21" t="s">
        <v>136</v>
      </c>
      <c r="E63" s="20" t="s">
        <v>181</v>
      </c>
      <c r="F63" s="63" t="s">
        <v>207</v>
      </c>
      <c r="G63" s="29">
        <v>25171010</v>
      </c>
      <c r="H63" s="27">
        <f t="shared" si="0"/>
        <v>78412.950000000012</v>
      </c>
      <c r="I63" s="28">
        <v>74679</v>
      </c>
      <c r="J63" s="42">
        <v>0.05</v>
      </c>
      <c r="K63" s="27"/>
      <c r="L63" s="27">
        <f t="shared" si="1"/>
        <v>1866.9750000000001</v>
      </c>
      <c r="M63" s="27">
        <f t="shared" si="2"/>
        <v>1866.9750000000001</v>
      </c>
      <c r="N63" s="27">
        <f t="shared" si="3"/>
        <v>78412.950000000012</v>
      </c>
    </row>
    <row r="64" spans="1:14" ht="15.5" x14ac:dyDescent="0.35">
      <c r="A64" s="22">
        <v>63</v>
      </c>
      <c r="B64" s="22" t="s">
        <v>433</v>
      </c>
      <c r="C64" s="46">
        <v>43494</v>
      </c>
      <c r="D64" s="21" t="s">
        <v>137</v>
      </c>
      <c r="E64" s="20" t="s">
        <v>52</v>
      </c>
      <c r="F64" s="63" t="s">
        <v>53</v>
      </c>
      <c r="G64" s="29">
        <v>25171010</v>
      </c>
      <c r="H64" s="27">
        <f t="shared" si="0"/>
        <v>56385</v>
      </c>
      <c r="I64" s="28">
        <v>53700</v>
      </c>
      <c r="J64" s="42">
        <v>0.05</v>
      </c>
      <c r="K64" s="27"/>
      <c r="L64" s="27">
        <f t="shared" si="1"/>
        <v>1342.5</v>
      </c>
      <c r="M64" s="27">
        <f t="shared" si="2"/>
        <v>1342.5</v>
      </c>
      <c r="N64" s="27">
        <f t="shared" si="3"/>
        <v>56385</v>
      </c>
    </row>
    <row r="65" spans="1:14" ht="15.5" x14ac:dyDescent="0.35">
      <c r="A65" s="22">
        <v>64</v>
      </c>
      <c r="B65" s="22" t="s">
        <v>433</v>
      </c>
      <c r="C65" s="46">
        <v>43494</v>
      </c>
      <c r="D65" s="21" t="s">
        <v>138</v>
      </c>
      <c r="E65" s="20" t="s">
        <v>184</v>
      </c>
      <c r="F65" s="63" t="s">
        <v>210</v>
      </c>
      <c r="G65" s="29">
        <v>25171010</v>
      </c>
      <c r="H65" s="27">
        <f t="shared" si="0"/>
        <v>275220.75</v>
      </c>
      <c r="I65" s="28">
        <v>262115</v>
      </c>
      <c r="J65" s="42">
        <v>0.05</v>
      </c>
      <c r="K65" s="27"/>
      <c r="L65" s="27">
        <f t="shared" si="1"/>
        <v>6552.875</v>
      </c>
      <c r="M65" s="27">
        <f t="shared" si="2"/>
        <v>6552.875</v>
      </c>
      <c r="N65" s="27">
        <f t="shared" si="3"/>
        <v>275220.75</v>
      </c>
    </row>
    <row r="66" spans="1:14" ht="15.5" x14ac:dyDescent="0.35">
      <c r="A66" s="22">
        <v>65</v>
      </c>
      <c r="B66" s="22" t="s">
        <v>433</v>
      </c>
      <c r="C66" s="46">
        <v>43496</v>
      </c>
      <c r="D66" s="21" t="s">
        <v>139</v>
      </c>
      <c r="E66" s="20" t="s">
        <v>193</v>
      </c>
      <c r="F66" s="63" t="s">
        <v>220</v>
      </c>
      <c r="G66" s="29">
        <v>25171010</v>
      </c>
      <c r="H66" s="27">
        <f t="shared" si="0"/>
        <v>15611.400000000001</v>
      </c>
      <c r="I66" s="28">
        <v>14868</v>
      </c>
      <c r="J66" s="42">
        <v>0.05</v>
      </c>
      <c r="K66" s="27"/>
      <c r="L66" s="27">
        <f t="shared" si="1"/>
        <v>371.70000000000005</v>
      </c>
      <c r="M66" s="27">
        <f t="shared" si="2"/>
        <v>371.70000000000005</v>
      </c>
      <c r="N66" s="27">
        <f t="shared" si="3"/>
        <v>15611.400000000001</v>
      </c>
    </row>
    <row r="67" spans="1:14" ht="15.5" x14ac:dyDescent="0.35">
      <c r="A67" s="22">
        <v>66</v>
      </c>
      <c r="B67" s="22" t="s">
        <v>433</v>
      </c>
      <c r="C67" s="46">
        <v>43496</v>
      </c>
      <c r="D67" s="21" t="s">
        <v>140</v>
      </c>
      <c r="E67" s="20" t="s">
        <v>194</v>
      </c>
      <c r="F67" s="63" t="s">
        <v>221</v>
      </c>
      <c r="G67" s="29">
        <v>25171010</v>
      </c>
      <c r="H67" s="27">
        <f t="shared" ref="H67:H104" si="4">N67</f>
        <v>12002.55</v>
      </c>
      <c r="I67" s="28">
        <v>11431</v>
      </c>
      <c r="J67" s="42">
        <v>0.05</v>
      </c>
      <c r="K67" s="27"/>
      <c r="L67" s="27">
        <f t="shared" si="1"/>
        <v>285.77500000000003</v>
      </c>
      <c r="M67" s="27">
        <f t="shared" si="2"/>
        <v>285.77500000000003</v>
      </c>
      <c r="N67" s="27">
        <f t="shared" si="3"/>
        <v>12002.55</v>
      </c>
    </row>
    <row r="68" spans="1:14" ht="15.5" x14ac:dyDescent="0.35">
      <c r="A68" s="22">
        <v>67</v>
      </c>
      <c r="B68" s="22" t="s">
        <v>433</v>
      </c>
      <c r="C68" s="46">
        <v>43496</v>
      </c>
      <c r="D68" s="21" t="s">
        <v>141</v>
      </c>
      <c r="E68" s="20" t="s">
        <v>195</v>
      </c>
      <c r="F68" s="63" t="s">
        <v>222</v>
      </c>
      <c r="G68" s="29">
        <v>25171010</v>
      </c>
      <c r="H68" s="27">
        <f t="shared" si="4"/>
        <v>219615.48</v>
      </c>
      <c r="I68" s="28">
        <v>209157.6</v>
      </c>
      <c r="J68" s="42">
        <v>0.05</v>
      </c>
      <c r="K68" s="27"/>
      <c r="L68" s="27">
        <f t="shared" ref="L68:L104" si="5">I68*J68/2</f>
        <v>5228.9400000000005</v>
      </c>
      <c r="M68" s="27">
        <f t="shared" ref="M68:M104" si="6">I68*J68/2</f>
        <v>5228.9400000000005</v>
      </c>
      <c r="N68" s="27">
        <f t="shared" ref="N68:N104" si="7">I68+L68+M68</f>
        <v>219615.48</v>
      </c>
    </row>
    <row r="69" spans="1:14" ht="15.5" x14ac:dyDescent="0.35">
      <c r="A69" s="22">
        <v>68</v>
      </c>
      <c r="B69" s="22" t="s">
        <v>433</v>
      </c>
      <c r="C69" s="46">
        <v>43496</v>
      </c>
      <c r="D69" s="21" t="s">
        <v>142</v>
      </c>
      <c r="E69" s="20" t="s">
        <v>196</v>
      </c>
      <c r="F69" s="63" t="s">
        <v>223</v>
      </c>
      <c r="G69" s="29">
        <v>25171010</v>
      </c>
      <c r="H69" s="27">
        <f t="shared" si="4"/>
        <v>100545.606</v>
      </c>
      <c r="I69" s="28">
        <v>95757.72</v>
      </c>
      <c r="J69" s="42">
        <v>0.05</v>
      </c>
      <c r="K69" s="27"/>
      <c r="L69" s="27">
        <f t="shared" si="5"/>
        <v>2393.9430000000002</v>
      </c>
      <c r="M69" s="27">
        <f t="shared" si="6"/>
        <v>2393.9430000000002</v>
      </c>
      <c r="N69" s="27">
        <f t="shared" si="7"/>
        <v>100545.606</v>
      </c>
    </row>
    <row r="70" spans="1:14" ht="15.5" x14ac:dyDescent="0.35">
      <c r="A70" s="22">
        <v>69</v>
      </c>
      <c r="B70" s="22" t="s">
        <v>433</v>
      </c>
      <c r="C70" s="46">
        <v>43496</v>
      </c>
      <c r="D70" s="21" t="s">
        <v>143</v>
      </c>
      <c r="E70" s="20" t="s">
        <v>182</v>
      </c>
      <c r="F70" s="63" t="s">
        <v>213</v>
      </c>
      <c r="G70" s="29">
        <v>25171010</v>
      </c>
      <c r="H70" s="27">
        <f t="shared" si="4"/>
        <v>56436.975000000006</v>
      </c>
      <c r="I70" s="28">
        <v>53749.5</v>
      </c>
      <c r="J70" s="42">
        <v>0.05</v>
      </c>
      <c r="K70" s="27"/>
      <c r="L70" s="27">
        <f t="shared" si="5"/>
        <v>1343.7375000000002</v>
      </c>
      <c r="M70" s="27">
        <f t="shared" si="6"/>
        <v>1343.7375000000002</v>
      </c>
      <c r="N70" s="27">
        <f t="shared" si="7"/>
        <v>56436.975000000006</v>
      </c>
    </row>
    <row r="71" spans="1:14" ht="15.5" x14ac:dyDescent="0.35">
      <c r="A71" s="22">
        <v>70</v>
      </c>
      <c r="B71" s="22" t="s">
        <v>433</v>
      </c>
      <c r="C71" s="46">
        <v>43496</v>
      </c>
      <c r="D71" s="21" t="s">
        <v>144</v>
      </c>
      <c r="E71" s="20" t="s">
        <v>187</v>
      </c>
      <c r="F71" s="63" t="s">
        <v>214</v>
      </c>
      <c r="G71" s="29">
        <v>25171010</v>
      </c>
      <c r="H71" s="27">
        <f t="shared" si="4"/>
        <v>144635.40000000002</v>
      </c>
      <c r="I71" s="28">
        <v>137748</v>
      </c>
      <c r="J71" s="42">
        <v>0.05</v>
      </c>
      <c r="K71" s="27"/>
      <c r="L71" s="27">
        <f t="shared" si="5"/>
        <v>3443.7000000000003</v>
      </c>
      <c r="M71" s="27">
        <f t="shared" si="6"/>
        <v>3443.7000000000003</v>
      </c>
      <c r="N71" s="27">
        <f t="shared" si="7"/>
        <v>144635.40000000002</v>
      </c>
    </row>
    <row r="72" spans="1:14" ht="15.5" x14ac:dyDescent="0.35">
      <c r="A72" s="22">
        <v>71</v>
      </c>
      <c r="B72" s="22" t="s">
        <v>433</v>
      </c>
      <c r="C72" s="46">
        <v>43496</v>
      </c>
      <c r="D72" s="21" t="s">
        <v>145</v>
      </c>
      <c r="E72" s="20" t="s">
        <v>186</v>
      </c>
      <c r="F72" s="63" t="s">
        <v>212</v>
      </c>
      <c r="G72" s="29">
        <v>25171010</v>
      </c>
      <c r="H72" s="27">
        <f t="shared" si="4"/>
        <v>96271.875</v>
      </c>
      <c r="I72" s="28">
        <v>91687.5</v>
      </c>
      <c r="J72" s="42">
        <v>0.05</v>
      </c>
      <c r="K72" s="27"/>
      <c r="L72" s="27">
        <f t="shared" si="5"/>
        <v>2292.1875</v>
      </c>
      <c r="M72" s="27">
        <f t="shared" si="6"/>
        <v>2292.1875</v>
      </c>
      <c r="N72" s="27">
        <f t="shared" si="7"/>
        <v>96271.875</v>
      </c>
    </row>
    <row r="73" spans="1:14" ht="15.5" x14ac:dyDescent="0.35">
      <c r="A73" s="22">
        <v>72</v>
      </c>
      <c r="B73" s="22" t="s">
        <v>433</v>
      </c>
      <c r="C73" s="46">
        <v>43496</v>
      </c>
      <c r="D73" s="21" t="s">
        <v>146</v>
      </c>
      <c r="E73" s="20" t="s">
        <v>197</v>
      </c>
      <c r="F73" s="63" t="s">
        <v>224</v>
      </c>
      <c r="G73" s="29">
        <v>25171010</v>
      </c>
      <c r="H73" s="27">
        <f t="shared" si="4"/>
        <v>210525</v>
      </c>
      <c r="I73" s="28">
        <v>200500</v>
      </c>
      <c r="J73" s="42">
        <v>0.05</v>
      </c>
      <c r="K73" s="27"/>
      <c r="L73" s="27">
        <f t="shared" si="5"/>
        <v>5012.5</v>
      </c>
      <c r="M73" s="27">
        <f t="shared" si="6"/>
        <v>5012.5</v>
      </c>
      <c r="N73" s="27">
        <f t="shared" si="7"/>
        <v>210525</v>
      </c>
    </row>
    <row r="74" spans="1:14" ht="15.5" x14ac:dyDescent="0.35">
      <c r="A74" s="22">
        <v>73</v>
      </c>
      <c r="B74" s="22" t="s">
        <v>433</v>
      </c>
      <c r="C74" s="46">
        <v>43496</v>
      </c>
      <c r="D74" s="21" t="s">
        <v>147</v>
      </c>
      <c r="E74" s="20" t="s">
        <v>198</v>
      </c>
      <c r="F74" s="63" t="s">
        <v>225</v>
      </c>
      <c r="G74" s="29">
        <v>25171010</v>
      </c>
      <c r="H74" s="27">
        <f t="shared" si="4"/>
        <v>11432.400000000001</v>
      </c>
      <c r="I74" s="28">
        <v>10888</v>
      </c>
      <c r="J74" s="42">
        <v>0.05</v>
      </c>
      <c r="K74" s="27"/>
      <c r="L74" s="27">
        <f t="shared" si="5"/>
        <v>272.2</v>
      </c>
      <c r="M74" s="27">
        <f t="shared" si="6"/>
        <v>272.2</v>
      </c>
      <c r="N74" s="27">
        <f t="shared" si="7"/>
        <v>11432.400000000001</v>
      </c>
    </row>
    <row r="75" spans="1:14" ht="15.5" x14ac:dyDescent="0.35">
      <c r="A75" s="22">
        <v>74</v>
      </c>
      <c r="B75" s="22" t="s">
        <v>433</v>
      </c>
      <c r="C75" s="46">
        <v>43496</v>
      </c>
      <c r="D75" s="21" t="s">
        <v>148</v>
      </c>
      <c r="E75" s="20" t="s">
        <v>199</v>
      </c>
      <c r="F75" s="63" t="s">
        <v>226</v>
      </c>
      <c r="G75" s="29">
        <v>25171010</v>
      </c>
      <c r="H75" s="27">
        <f t="shared" si="4"/>
        <v>53550</v>
      </c>
      <c r="I75" s="28">
        <v>51000</v>
      </c>
      <c r="J75" s="42">
        <v>0.05</v>
      </c>
      <c r="K75" s="27"/>
      <c r="L75" s="27">
        <f t="shared" si="5"/>
        <v>1275</v>
      </c>
      <c r="M75" s="27">
        <f t="shared" si="6"/>
        <v>1275</v>
      </c>
      <c r="N75" s="27">
        <f t="shared" si="7"/>
        <v>53550</v>
      </c>
    </row>
    <row r="76" spans="1:14" ht="15.5" x14ac:dyDescent="0.35">
      <c r="A76" s="22">
        <v>75</v>
      </c>
      <c r="B76" s="22" t="s">
        <v>433</v>
      </c>
      <c r="C76" s="46">
        <v>43496</v>
      </c>
      <c r="D76" s="21" t="s">
        <v>149</v>
      </c>
      <c r="E76" s="20" t="s">
        <v>183</v>
      </c>
      <c r="F76" s="63" t="s">
        <v>209</v>
      </c>
      <c r="G76" s="29">
        <v>25171010</v>
      </c>
      <c r="H76" s="27">
        <f t="shared" si="4"/>
        <v>17798.550000000003</v>
      </c>
      <c r="I76" s="28">
        <v>16951</v>
      </c>
      <c r="J76" s="42">
        <v>0.05</v>
      </c>
      <c r="K76" s="27"/>
      <c r="L76" s="27">
        <f t="shared" si="5"/>
        <v>423.77500000000003</v>
      </c>
      <c r="M76" s="27">
        <f t="shared" si="6"/>
        <v>423.77500000000003</v>
      </c>
      <c r="N76" s="27">
        <f t="shared" si="7"/>
        <v>17798.550000000003</v>
      </c>
    </row>
    <row r="77" spans="1:14" ht="15.5" x14ac:dyDescent="0.35">
      <c r="A77" s="22">
        <v>76</v>
      </c>
      <c r="B77" s="22" t="s">
        <v>433</v>
      </c>
      <c r="C77" s="46">
        <v>43496</v>
      </c>
      <c r="D77" s="21" t="s">
        <v>150</v>
      </c>
      <c r="E77" s="20" t="s">
        <v>200</v>
      </c>
      <c r="F77" s="63" t="s">
        <v>227</v>
      </c>
      <c r="G77" s="29">
        <v>25171010</v>
      </c>
      <c r="H77" s="27">
        <f t="shared" si="4"/>
        <v>67212.600000000006</v>
      </c>
      <c r="I77" s="28">
        <v>64012</v>
      </c>
      <c r="J77" s="42">
        <v>0.05</v>
      </c>
      <c r="K77" s="27"/>
      <c r="L77" s="27">
        <f t="shared" si="5"/>
        <v>1600.3000000000002</v>
      </c>
      <c r="M77" s="27">
        <f t="shared" si="6"/>
        <v>1600.3000000000002</v>
      </c>
      <c r="N77" s="27">
        <f t="shared" si="7"/>
        <v>67212.600000000006</v>
      </c>
    </row>
    <row r="78" spans="1:14" ht="15.5" x14ac:dyDescent="0.35">
      <c r="A78" s="22">
        <v>77</v>
      </c>
      <c r="B78" s="22" t="s">
        <v>433</v>
      </c>
      <c r="C78" s="46">
        <v>43496</v>
      </c>
      <c r="D78" s="21" t="s">
        <v>151</v>
      </c>
      <c r="E78" s="20" t="s">
        <v>177</v>
      </c>
      <c r="F78" s="63" t="s">
        <v>203</v>
      </c>
      <c r="G78" s="29">
        <v>25171010</v>
      </c>
      <c r="H78" s="27">
        <f t="shared" si="4"/>
        <v>558348</v>
      </c>
      <c r="I78" s="28">
        <v>531760</v>
      </c>
      <c r="J78" s="42">
        <v>0.05</v>
      </c>
      <c r="K78" s="27"/>
      <c r="L78" s="27">
        <f t="shared" si="5"/>
        <v>13294</v>
      </c>
      <c r="M78" s="27">
        <f t="shared" si="6"/>
        <v>13294</v>
      </c>
      <c r="N78" s="27">
        <f t="shared" si="7"/>
        <v>558348</v>
      </c>
    </row>
    <row r="79" spans="1:14" ht="15.5" x14ac:dyDescent="0.35">
      <c r="A79" s="22">
        <v>78</v>
      </c>
      <c r="B79" s="22" t="s">
        <v>433</v>
      </c>
      <c r="C79" s="46">
        <v>43496</v>
      </c>
      <c r="D79" s="21" t="s">
        <v>152</v>
      </c>
      <c r="E79" s="20" t="s">
        <v>180</v>
      </c>
      <c r="F79" s="63" t="s">
        <v>206</v>
      </c>
      <c r="G79" s="29">
        <v>25171010</v>
      </c>
      <c r="H79" s="27">
        <f t="shared" si="4"/>
        <v>67620</v>
      </c>
      <c r="I79" s="28">
        <v>64400</v>
      </c>
      <c r="J79" s="42">
        <v>0.05</v>
      </c>
      <c r="K79" s="27"/>
      <c r="L79" s="27">
        <f t="shared" si="5"/>
        <v>1610</v>
      </c>
      <c r="M79" s="27">
        <f t="shared" si="6"/>
        <v>1610</v>
      </c>
      <c r="N79" s="27">
        <f t="shared" si="7"/>
        <v>67620</v>
      </c>
    </row>
    <row r="80" spans="1:14" ht="15.5" x14ac:dyDescent="0.35">
      <c r="A80" s="22">
        <v>79</v>
      </c>
      <c r="B80" s="22" t="s">
        <v>433</v>
      </c>
      <c r="C80" s="46">
        <v>43496</v>
      </c>
      <c r="D80" s="21" t="s">
        <v>153</v>
      </c>
      <c r="E80" s="20" t="s">
        <v>190</v>
      </c>
      <c r="F80" s="63" t="s">
        <v>217</v>
      </c>
      <c r="G80" s="29">
        <v>25171010</v>
      </c>
      <c r="H80" s="27">
        <f t="shared" si="4"/>
        <v>39822.300000000003</v>
      </c>
      <c r="I80" s="28">
        <v>37926</v>
      </c>
      <c r="J80" s="42">
        <v>0.05</v>
      </c>
      <c r="K80" s="27"/>
      <c r="L80" s="27">
        <f t="shared" si="5"/>
        <v>948.15000000000009</v>
      </c>
      <c r="M80" s="27">
        <f t="shared" si="6"/>
        <v>948.15000000000009</v>
      </c>
      <c r="N80" s="27">
        <f t="shared" si="7"/>
        <v>39822.300000000003</v>
      </c>
    </row>
    <row r="81" spans="1:14" ht="15.5" x14ac:dyDescent="0.35">
      <c r="A81" s="22">
        <v>80</v>
      </c>
      <c r="B81" s="22" t="s">
        <v>433</v>
      </c>
      <c r="C81" s="46">
        <v>43496</v>
      </c>
      <c r="D81" s="21" t="s">
        <v>154</v>
      </c>
      <c r="E81" s="20" t="s">
        <v>190</v>
      </c>
      <c r="F81" s="63" t="s">
        <v>217</v>
      </c>
      <c r="G81" s="29">
        <v>25171010</v>
      </c>
      <c r="H81" s="27">
        <f t="shared" si="4"/>
        <v>73152.450000000012</v>
      </c>
      <c r="I81" s="28">
        <v>69669</v>
      </c>
      <c r="J81" s="42">
        <v>0.05</v>
      </c>
      <c r="K81" s="27"/>
      <c r="L81" s="27">
        <f t="shared" si="5"/>
        <v>1741.7250000000001</v>
      </c>
      <c r="M81" s="27">
        <f t="shared" si="6"/>
        <v>1741.7250000000001</v>
      </c>
      <c r="N81" s="27">
        <f t="shared" si="7"/>
        <v>73152.450000000012</v>
      </c>
    </row>
    <row r="82" spans="1:14" ht="15.5" x14ac:dyDescent="0.35">
      <c r="A82" s="22">
        <v>81</v>
      </c>
      <c r="B82" s="22" t="s">
        <v>433</v>
      </c>
      <c r="C82" s="46">
        <v>43496</v>
      </c>
      <c r="D82" s="21" t="s">
        <v>155</v>
      </c>
      <c r="E82" s="20" t="s">
        <v>185</v>
      </c>
      <c r="F82" s="63" t="s">
        <v>211</v>
      </c>
      <c r="G82" s="29">
        <v>25171010</v>
      </c>
      <c r="H82" s="27">
        <f t="shared" si="4"/>
        <v>238701.53999999998</v>
      </c>
      <c r="I82" s="28">
        <v>227334.8</v>
      </c>
      <c r="J82" s="42">
        <v>0.05</v>
      </c>
      <c r="K82" s="27"/>
      <c r="L82" s="27">
        <f t="shared" si="5"/>
        <v>5683.37</v>
      </c>
      <c r="M82" s="27">
        <f t="shared" si="6"/>
        <v>5683.37</v>
      </c>
      <c r="N82" s="27">
        <f t="shared" si="7"/>
        <v>238701.53999999998</v>
      </c>
    </row>
    <row r="83" spans="1:14" ht="15.5" x14ac:dyDescent="0.35">
      <c r="A83" s="22">
        <v>82</v>
      </c>
      <c r="B83" s="22" t="s">
        <v>433</v>
      </c>
      <c r="C83" s="46">
        <v>43496</v>
      </c>
      <c r="D83" s="21" t="s">
        <v>156</v>
      </c>
      <c r="E83" s="20" t="s">
        <v>185</v>
      </c>
      <c r="F83" s="63" t="s">
        <v>211</v>
      </c>
      <c r="G83" s="29">
        <v>25171010</v>
      </c>
      <c r="H83" s="27">
        <f t="shared" si="4"/>
        <v>338311.36499999993</v>
      </c>
      <c r="I83" s="28">
        <v>322201.3</v>
      </c>
      <c r="J83" s="42">
        <v>0.05</v>
      </c>
      <c r="K83" s="27"/>
      <c r="L83" s="27">
        <f t="shared" si="5"/>
        <v>8055.0325000000003</v>
      </c>
      <c r="M83" s="27">
        <f t="shared" si="6"/>
        <v>8055.0325000000003</v>
      </c>
      <c r="N83" s="27">
        <f t="shared" si="7"/>
        <v>338311.36499999993</v>
      </c>
    </row>
    <row r="84" spans="1:14" ht="15.5" x14ac:dyDescent="0.35">
      <c r="A84" s="22">
        <v>83</v>
      </c>
      <c r="B84" s="22" t="s">
        <v>433</v>
      </c>
      <c r="C84" s="46">
        <v>43496</v>
      </c>
      <c r="D84" s="21" t="s">
        <v>157</v>
      </c>
      <c r="E84" s="20" t="s">
        <v>188</v>
      </c>
      <c r="F84" s="63" t="s">
        <v>215</v>
      </c>
      <c r="G84" s="29">
        <v>25171010</v>
      </c>
      <c r="H84" s="27">
        <f t="shared" si="4"/>
        <v>35966.595000000008</v>
      </c>
      <c r="I84" s="28">
        <v>34253.9</v>
      </c>
      <c r="J84" s="42">
        <v>0.05</v>
      </c>
      <c r="K84" s="27"/>
      <c r="L84" s="27">
        <f t="shared" si="5"/>
        <v>856.34750000000008</v>
      </c>
      <c r="M84" s="27">
        <f t="shared" si="6"/>
        <v>856.34750000000008</v>
      </c>
      <c r="N84" s="27">
        <f t="shared" si="7"/>
        <v>35966.595000000008</v>
      </c>
    </row>
    <row r="85" spans="1:14" ht="15.5" x14ac:dyDescent="0.35">
      <c r="A85" s="22">
        <v>84</v>
      </c>
      <c r="B85" s="22" t="s">
        <v>433</v>
      </c>
      <c r="C85" s="46">
        <v>43496</v>
      </c>
      <c r="D85" s="21" t="s">
        <v>158</v>
      </c>
      <c r="E85" s="20" t="s">
        <v>182</v>
      </c>
      <c r="F85" s="63" t="s">
        <v>208</v>
      </c>
      <c r="G85" s="29">
        <v>25171010</v>
      </c>
      <c r="H85" s="27">
        <f t="shared" si="4"/>
        <v>247290.75</v>
      </c>
      <c r="I85" s="28">
        <v>235515</v>
      </c>
      <c r="J85" s="42">
        <v>0.05</v>
      </c>
      <c r="K85" s="27"/>
      <c r="L85" s="27">
        <f t="shared" si="5"/>
        <v>5887.875</v>
      </c>
      <c r="M85" s="27">
        <f t="shared" si="6"/>
        <v>5887.875</v>
      </c>
      <c r="N85" s="27">
        <f t="shared" si="7"/>
        <v>247290.75</v>
      </c>
    </row>
    <row r="86" spans="1:14" ht="15.5" x14ac:dyDescent="0.35">
      <c r="A86" s="22">
        <v>85</v>
      </c>
      <c r="B86" s="22" t="s">
        <v>433</v>
      </c>
      <c r="C86" s="46">
        <v>43496</v>
      </c>
      <c r="D86" s="21" t="s">
        <v>159</v>
      </c>
      <c r="E86" s="20" t="s">
        <v>182</v>
      </c>
      <c r="F86" s="63" t="s">
        <v>208</v>
      </c>
      <c r="G86" s="29">
        <v>25171010</v>
      </c>
      <c r="H86" s="27">
        <f t="shared" si="4"/>
        <v>115746.75</v>
      </c>
      <c r="I86" s="28">
        <v>110235</v>
      </c>
      <c r="J86" s="42">
        <v>0.05</v>
      </c>
      <c r="K86" s="27"/>
      <c r="L86" s="27">
        <f t="shared" si="5"/>
        <v>2755.875</v>
      </c>
      <c r="M86" s="27">
        <f t="shared" si="6"/>
        <v>2755.875</v>
      </c>
      <c r="N86" s="27">
        <f t="shared" si="7"/>
        <v>115746.75</v>
      </c>
    </row>
    <row r="87" spans="1:14" ht="15.5" x14ac:dyDescent="0.35">
      <c r="A87" s="22">
        <v>86</v>
      </c>
      <c r="B87" s="22" t="s">
        <v>433</v>
      </c>
      <c r="C87" s="46">
        <v>43496</v>
      </c>
      <c r="D87" s="21" t="s">
        <v>160</v>
      </c>
      <c r="E87" s="20" t="s">
        <v>178</v>
      </c>
      <c r="F87" s="63" t="s">
        <v>204</v>
      </c>
      <c r="G87" s="29">
        <v>25171010</v>
      </c>
      <c r="H87" s="27">
        <f t="shared" si="4"/>
        <v>79071.058499999999</v>
      </c>
      <c r="I87" s="28">
        <v>75305.77</v>
      </c>
      <c r="J87" s="42">
        <v>0.05</v>
      </c>
      <c r="K87" s="27"/>
      <c r="L87" s="27">
        <f t="shared" si="5"/>
        <v>1882.6442500000003</v>
      </c>
      <c r="M87" s="27">
        <f t="shared" si="6"/>
        <v>1882.6442500000003</v>
      </c>
      <c r="N87" s="27">
        <f t="shared" si="7"/>
        <v>79071.058499999999</v>
      </c>
    </row>
    <row r="88" spans="1:14" ht="15.5" x14ac:dyDescent="0.35">
      <c r="A88" s="22">
        <v>87</v>
      </c>
      <c r="B88" s="22" t="s">
        <v>433</v>
      </c>
      <c r="C88" s="46">
        <v>43496</v>
      </c>
      <c r="D88" s="21" t="s">
        <v>161</v>
      </c>
      <c r="E88" s="20" t="s">
        <v>178</v>
      </c>
      <c r="F88" s="63" t="s">
        <v>204</v>
      </c>
      <c r="G88" s="29">
        <v>25171010</v>
      </c>
      <c r="H88" s="27">
        <f t="shared" si="4"/>
        <v>68704.544999999998</v>
      </c>
      <c r="I88" s="28">
        <v>65432.9</v>
      </c>
      <c r="J88" s="42">
        <v>0.05</v>
      </c>
      <c r="K88" s="27"/>
      <c r="L88" s="27">
        <f t="shared" si="5"/>
        <v>1635.8225000000002</v>
      </c>
      <c r="M88" s="27">
        <f t="shared" si="6"/>
        <v>1635.8225000000002</v>
      </c>
      <c r="N88" s="27">
        <f t="shared" si="7"/>
        <v>68704.544999999998</v>
      </c>
    </row>
    <row r="89" spans="1:14" ht="15.5" x14ac:dyDescent="0.35">
      <c r="A89" s="22">
        <v>88</v>
      </c>
      <c r="B89" s="22" t="s">
        <v>433</v>
      </c>
      <c r="C89" s="46">
        <v>43496</v>
      </c>
      <c r="D89" s="21" t="s">
        <v>162</v>
      </c>
      <c r="E89" s="20" t="s">
        <v>178</v>
      </c>
      <c r="F89" s="63" t="s">
        <v>204</v>
      </c>
      <c r="G89" s="29">
        <v>25171010</v>
      </c>
      <c r="H89" s="27">
        <f t="shared" si="4"/>
        <v>38144.463000000003</v>
      </c>
      <c r="I89" s="28">
        <v>36328.06</v>
      </c>
      <c r="J89" s="42">
        <v>0.05</v>
      </c>
      <c r="K89" s="27"/>
      <c r="L89" s="27">
        <f t="shared" si="5"/>
        <v>908.20150000000001</v>
      </c>
      <c r="M89" s="27">
        <f t="shared" si="6"/>
        <v>908.20150000000001</v>
      </c>
      <c r="N89" s="27">
        <f t="shared" si="7"/>
        <v>38144.463000000003</v>
      </c>
    </row>
    <row r="90" spans="1:14" ht="15.5" x14ac:dyDescent="0.35">
      <c r="A90" s="22">
        <v>89</v>
      </c>
      <c r="B90" s="22" t="s">
        <v>433</v>
      </c>
      <c r="C90" s="46">
        <v>43496</v>
      </c>
      <c r="D90" s="21" t="s">
        <v>163</v>
      </c>
      <c r="E90" s="20" t="s">
        <v>178</v>
      </c>
      <c r="F90" s="63" t="s">
        <v>204</v>
      </c>
      <c r="G90" s="29">
        <v>25171010</v>
      </c>
      <c r="H90" s="27">
        <f t="shared" si="4"/>
        <v>70762.198499999999</v>
      </c>
      <c r="I90" s="28">
        <v>67392.570000000007</v>
      </c>
      <c r="J90" s="42">
        <v>0.05</v>
      </c>
      <c r="K90" s="27"/>
      <c r="L90" s="27">
        <f t="shared" si="5"/>
        <v>1684.8142500000004</v>
      </c>
      <c r="M90" s="27">
        <f t="shared" si="6"/>
        <v>1684.8142500000004</v>
      </c>
      <c r="N90" s="27">
        <f t="shared" si="7"/>
        <v>70762.198499999999</v>
      </c>
    </row>
    <row r="91" spans="1:14" ht="15.5" x14ac:dyDescent="0.35">
      <c r="A91" s="22">
        <v>90</v>
      </c>
      <c r="B91" s="22" t="s">
        <v>433</v>
      </c>
      <c r="C91" s="46">
        <v>43496</v>
      </c>
      <c r="D91" s="21" t="s">
        <v>164</v>
      </c>
      <c r="E91" s="20" t="s">
        <v>178</v>
      </c>
      <c r="F91" s="63" t="s">
        <v>204</v>
      </c>
      <c r="G91" s="29">
        <v>25171010</v>
      </c>
      <c r="H91" s="27">
        <f t="shared" si="4"/>
        <v>35476.098000000005</v>
      </c>
      <c r="I91" s="28">
        <v>33786.76</v>
      </c>
      <c r="J91" s="42">
        <v>0.05</v>
      </c>
      <c r="K91" s="27"/>
      <c r="L91" s="27">
        <f t="shared" si="5"/>
        <v>844.6690000000001</v>
      </c>
      <c r="M91" s="27">
        <f t="shared" si="6"/>
        <v>844.6690000000001</v>
      </c>
      <c r="N91" s="27">
        <f t="shared" si="7"/>
        <v>35476.098000000005</v>
      </c>
    </row>
    <row r="92" spans="1:14" ht="15.5" x14ac:dyDescent="0.35">
      <c r="A92" s="22">
        <v>91</v>
      </c>
      <c r="B92" s="22" t="s">
        <v>433</v>
      </c>
      <c r="C92" s="46">
        <v>43496</v>
      </c>
      <c r="D92" s="21" t="s">
        <v>165</v>
      </c>
      <c r="E92" s="20" t="s">
        <v>178</v>
      </c>
      <c r="F92" s="63" t="s">
        <v>204</v>
      </c>
      <c r="G92" s="29">
        <v>25171010</v>
      </c>
      <c r="H92" s="27">
        <f t="shared" si="4"/>
        <v>52802.399999999994</v>
      </c>
      <c r="I92" s="28">
        <v>50288</v>
      </c>
      <c r="J92" s="42">
        <v>0.05</v>
      </c>
      <c r="K92" s="27"/>
      <c r="L92" s="27">
        <f t="shared" si="5"/>
        <v>1257.2</v>
      </c>
      <c r="M92" s="27">
        <f t="shared" si="6"/>
        <v>1257.2</v>
      </c>
      <c r="N92" s="27">
        <f t="shared" si="7"/>
        <v>52802.399999999994</v>
      </c>
    </row>
    <row r="93" spans="1:14" ht="15.5" x14ac:dyDescent="0.35">
      <c r="A93" s="22">
        <v>92</v>
      </c>
      <c r="B93" s="22" t="s">
        <v>433</v>
      </c>
      <c r="C93" s="46">
        <v>43496</v>
      </c>
      <c r="D93" s="21" t="s">
        <v>166</v>
      </c>
      <c r="E93" s="20" t="s">
        <v>178</v>
      </c>
      <c r="F93" s="63" t="s">
        <v>204</v>
      </c>
      <c r="G93" s="29">
        <v>25171010</v>
      </c>
      <c r="H93" s="27">
        <f t="shared" si="4"/>
        <v>40749.313499999997</v>
      </c>
      <c r="I93" s="28">
        <v>38808.870000000003</v>
      </c>
      <c r="J93" s="42">
        <v>0.05</v>
      </c>
      <c r="K93" s="27"/>
      <c r="L93" s="27">
        <f t="shared" si="5"/>
        <v>970.22175000000016</v>
      </c>
      <c r="M93" s="27">
        <f t="shared" si="6"/>
        <v>970.22175000000016</v>
      </c>
      <c r="N93" s="27">
        <f t="shared" si="7"/>
        <v>40749.313499999997</v>
      </c>
    </row>
    <row r="94" spans="1:14" ht="15.5" x14ac:dyDescent="0.35">
      <c r="A94" s="22">
        <v>93</v>
      </c>
      <c r="B94" s="22" t="s">
        <v>433</v>
      </c>
      <c r="C94" s="46">
        <v>43496</v>
      </c>
      <c r="D94" s="21" t="s">
        <v>167</v>
      </c>
      <c r="E94" s="20" t="s">
        <v>178</v>
      </c>
      <c r="F94" s="63" t="s">
        <v>204</v>
      </c>
      <c r="G94" s="29">
        <v>25171010</v>
      </c>
      <c r="H94" s="27">
        <f t="shared" si="4"/>
        <v>543465.72000000009</v>
      </c>
      <c r="I94" s="28">
        <v>517586.4</v>
      </c>
      <c r="J94" s="42">
        <v>0.05</v>
      </c>
      <c r="K94" s="27"/>
      <c r="L94" s="27">
        <f t="shared" si="5"/>
        <v>12939.660000000002</v>
      </c>
      <c r="M94" s="27">
        <f t="shared" si="6"/>
        <v>12939.660000000002</v>
      </c>
      <c r="N94" s="27">
        <f t="shared" si="7"/>
        <v>543465.72000000009</v>
      </c>
    </row>
    <row r="95" spans="1:14" ht="15.5" x14ac:dyDescent="0.35">
      <c r="A95" s="22">
        <v>94</v>
      </c>
      <c r="B95" s="22" t="s">
        <v>433</v>
      </c>
      <c r="C95" s="46">
        <v>43496</v>
      </c>
      <c r="D95" s="21" t="s">
        <v>168</v>
      </c>
      <c r="E95" s="20" t="s">
        <v>178</v>
      </c>
      <c r="F95" s="63" t="s">
        <v>204</v>
      </c>
      <c r="G95" s="29">
        <v>25171010</v>
      </c>
      <c r="H95" s="27">
        <f t="shared" si="4"/>
        <v>218610.29400000002</v>
      </c>
      <c r="I95" s="28">
        <v>208200.28</v>
      </c>
      <c r="J95" s="42">
        <v>0.05</v>
      </c>
      <c r="K95" s="27"/>
      <c r="L95" s="27">
        <f t="shared" si="5"/>
        <v>5205.0070000000005</v>
      </c>
      <c r="M95" s="27">
        <f t="shared" si="6"/>
        <v>5205.0070000000005</v>
      </c>
      <c r="N95" s="27">
        <f t="shared" si="7"/>
        <v>218610.29400000002</v>
      </c>
    </row>
    <row r="96" spans="1:14" ht="15.5" x14ac:dyDescent="0.35">
      <c r="A96" s="22">
        <v>95</v>
      </c>
      <c r="B96" s="22" t="s">
        <v>433</v>
      </c>
      <c r="C96" s="46">
        <v>43496</v>
      </c>
      <c r="D96" s="21" t="s">
        <v>169</v>
      </c>
      <c r="E96" s="20" t="s">
        <v>184</v>
      </c>
      <c r="F96" s="63" t="s">
        <v>210</v>
      </c>
      <c r="G96" s="29">
        <v>25171010</v>
      </c>
      <c r="H96" s="27">
        <f t="shared" si="4"/>
        <v>224857.5</v>
      </c>
      <c r="I96" s="28">
        <v>214150</v>
      </c>
      <c r="J96" s="42">
        <v>0.05</v>
      </c>
      <c r="K96" s="27"/>
      <c r="L96" s="27">
        <f t="shared" si="5"/>
        <v>5353.75</v>
      </c>
      <c r="M96" s="27">
        <f t="shared" si="6"/>
        <v>5353.75</v>
      </c>
      <c r="N96" s="27">
        <f t="shared" si="7"/>
        <v>224857.5</v>
      </c>
    </row>
    <row r="97" spans="1:14" ht="15.5" x14ac:dyDescent="0.35">
      <c r="A97" s="22">
        <v>96</v>
      </c>
      <c r="B97" s="22" t="s">
        <v>433</v>
      </c>
      <c r="C97" s="46">
        <v>43496</v>
      </c>
      <c r="D97" s="21" t="s">
        <v>170</v>
      </c>
      <c r="E97" s="20" t="s">
        <v>201</v>
      </c>
      <c r="F97" s="63" t="s">
        <v>228</v>
      </c>
      <c r="G97" s="29">
        <v>25171010</v>
      </c>
      <c r="H97" s="27">
        <f t="shared" si="4"/>
        <v>729725.85000000009</v>
      </c>
      <c r="I97" s="28">
        <v>694977</v>
      </c>
      <c r="J97" s="42">
        <v>0.05</v>
      </c>
      <c r="K97" s="27"/>
      <c r="L97" s="27">
        <f t="shared" si="5"/>
        <v>17374.424999999999</v>
      </c>
      <c r="M97" s="27">
        <f t="shared" si="6"/>
        <v>17374.424999999999</v>
      </c>
      <c r="N97" s="27">
        <f t="shared" si="7"/>
        <v>729725.85000000009</v>
      </c>
    </row>
    <row r="98" spans="1:14" ht="15.5" x14ac:dyDescent="0.35">
      <c r="A98" s="22">
        <v>97</v>
      </c>
      <c r="B98" s="22" t="s">
        <v>433</v>
      </c>
      <c r="C98" s="46">
        <v>43496</v>
      </c>
      <c r="D98" s="21" t="s">
        <v>171</v>
      </c>
      <c r="E98" s="20" t="s">
        <v>202</v>
      </c>
      <c r="F98" s="63" t="s">
        <v>229</v>
      </c>
      <c r="G98" s="29">
        <v>25171010</v>
      </c>
      <c r="H98" s="27">
        <f t="shared" si="4"/>
        <v>72826.740000000005</v>
      </c>
      <c r="I98" s="28">
        <v>69358.8</v>
      </c>
      <c r="J98" s="42">
        <v>0.05</v>
      </c>
      <c r="K98" s="27"/>
      <c r="L98" s="27">
        <f t="shared" si="5"/>
        <v>1733.9700000000003</v>
      </c>
      <c r="M98" s="27">
        <f t="shared" si="6"/>
        <v>1733.9700000000003</v>
      </c>
      <c r="N98" s="27">
        <f t="shared" si="7"/>
        <v>72826.740000000005</v>
      </c>
    </row>
    <row r="99" spans="1:14" ht="15.5" x14ac:dyDescent="0.35">
      <c r="A99" s="22">
        <v>98</v>
      </c>
      <c r="B99" s="22" t="s">
        <v>433</v>
      </c>
      <c r="C99" s="46">
        <v>43496</v>
      </c>
      <c r="D99" s="21" t="s">
        <v>172</v>
      </c>
      <c r="E99" s="20" t="s">
        <v>191</v>
      </c>
      <c r="F99" s="63" t="s">
        <v>218</v>
      </c>
      <c r="G99" s="29">
        <v>25171010</v>
      </c>
      <c r="H99" s="27">
        <f t="shared" si="4"/>
        <v>563365.52999999991</v>
      </c>
      <c r="I99" s="28">
        <v>536538.6</v>
      </c>
      <c r="J99" s="42">
        <v>0.05</v>
      </c>
      <c r="K99" s="37"/>
      <c r="L99" s="27">
        <f t="shared" si="5"/>
        <v>13413.465</v>
      </c>
      <c r="M99" s="27">
        <f t="shared" si="6"/>
        <v>13413.465</v>
      </c>
      <c r="N99" s="27">
        <f t="shared" si="7"/>
        <v>563365.52999999991</v>
      </c>
    </row>
    <row r="100" spans="1:14" ht="15.5" x14ac:dyDescent="0.35">
      <c r="A100" s="22">
        <v>99</v>
      </c>
      <c r="B100" s="22" t="s">
        <v>433</v>
      </c>
      <c r="C100" s="46">
        <v>43496</v>
      </c>
      <c r="D100" s="21" t="s">
        <v>173</v>
      </c>
      <c r="E100" s="20" t="s">
        <v>191</v>
      </c>
      <c r="F100" s="63" t="s">
        <v>218</v>
      </c>
      <c r="G100" s="29">
        <v>25171010</v>
      </c>
      <c r="H100" s="27">
        <f t="shared" si="4"/>
        <v>347889.09749999997</v>
      </c>
      <c r="I100" s="28">
        <v>331322.95</v>
      </c>
      <c r="J100" s="42">
        <v>0.05</v>
      </c>
      <c r="K100" s="27"/>
      <c r="L100" s="27">
        <f t="shared" si="5"/>
        <v>8283.0737500000014</v>
      </c>
      <c r="M100" s="27">
        <f t="shared" si="6"/>
        <v>8283.0737500000014</v>
      </c>
      <c r="N100" s="27">
        <f t="shared" si="7"/>
        <v>347889.09749999997</v>
      </c>
    </row>
    <row r="101" spans="1:14" ht="15.5" x14ac:dyDescent="0.35">
      <c r="A101" s="22">
        <v>100</v>
      </c>
      <c r="B101" s="22" t="s">
        <v>433</v>
      </c>
      <c r="C101" s="46">
        <v>43496</v>
      </c>
      <c r="D101" s="21" t="s">
        <v>174</v>
      </c>
      <c r="E101" s="20" t="s">
        <v>191</v>
      </c>
      <c r="F101" s="63" t="s">
        <v>218</v>
      </c>
      <c r="G101" s="29">
        <v>25171010</v>
      </c>
      <c r="H101" s="27">
        <f t="shared" si="4"/>
        <v>836449.32</v>
      </c>
      <c r="I101" s="28">
        <v>796618.4</v>
      </c>
      <c r="J101" s="42">
        <v>0.05</v>
      </c>
      <c r="K101" s="27"/>
      <c r="L101" s="27">
        <f t="shared" si="5"/>
        <v>19915.460000000003</v>
      </c>
      <c r="M101" s="27">
        <f t="shared" si="6"/>
        <v>19915.460000000003</v>
      </c>
      <c r="N101" s="27">
        <f t="shared" si="7"/>
        <v>836449.32</v>
      </c>
    </row>
    <row r="102" spans="1:14" ht="15.5" x14ac:dyDescent="0.35">
      <c r="A102" s="22">
        <v>101</v>
      </c>
      <c r="B102" s="22" t="s">
        <v>433</v>
      </c>
      <c r="C102" s="46">
        <v>43496</v>
      </c>
      <c r="D102" s="21" t="s">
        <v>175</v>
      </c>
      <c r="E102" s="20" t="s">
        <v>191</v>
      </c>
      <c r="F102" s="63" t="s">
        <v>218</v>
      </c>
      <c r="G102" s="29">
        <v>25171010</v>
      </c>
      <c r="H102" s="27">
        <f t="shared" si="4"/>
        <v>52257.66</v>
      </c>
      <c r="I102" s="28">
        <v>49769.2</v>
      </c>
      <c r="J102" s="42">
        <v>0.05</v>
      </c>
      <c r="K102" s="27"/>
      <c r="L102" s="27">
        <f t="shared" si="5"/>
        <v>1244.23</v>
      </c>
      <c r="M102" s="27">
        <f t="shared" si="6"/>
        <v>1244.23</v>
      </c>
      <c r="N102" s="27">
        <f t="shared" si="7"/>
        <v>52257.66</v>
      </c>
    </row>
    <row r="103" spans="1:14" ht="15.5" x14ac:dyDescent="0.35">
      <c r="A103" s="22">
        <v>102</v>
      </c>
      <c r="B103" s="22" t="s">
        <v>433</v>
      </c>
      <c r="C103" s="46">
        <v>43496</v>
      </c>
      <c r="D103" s="21" t="s">
        <v>176</v>
      </c>
      <c r="E103" s="20" t="s">
        <v>191</v>
      </c>
      <c r="F103" s="63" t="s">
        <v>218</v>
      </c>
      <c r="G103" s="29">
        <v>25171010</v>
      </c>
      <c r="H103" s="27">
        <f t="shared" si="4"/>
        <v>476090.79</v>
      </c>
      <c r="I103" s="28">
        <v>453419.8</v>
      </c>
      <c r="J103" s="42">
        <v>0.05</v>
      </c>
      <c r="K103" s="27"/>
      <c r="L103" s="27">
        <f t="shared" si="5"/>
        <v>11335.495000000001</v>
      </c>
      <c r="M103" s="27">
        <f t="shared" si="6"/>
        <v>11335.495000000001</v>
      </c>
      <c r="N103" s="27">
        <f t="shared" si="7"/>
        <v>476090.79</v>
      </c>
    </row>
    <row r="104" spans="1:14" ht="15.5" x14ac:dyDescent="0.35">
      <c r="A104" s="22">
        <v>103</v>
      </c>
      <c r="B104" s="22" t="s">
        <v>433</v>
      </c>
      <c r="C104" s="46">
        <v>43496</v>
      </c>
      <c r="D104" s="21" t="s">
        <v>358</v>
      </c>
      <c r="E104" s="20" t="s">
        <v>191</v>
      </c>
      <c r="F104" s="63" t="s">
        <v>218</v>
      </c>
      <c r="G104" s="29">
        <v>25171010</v>
      </c>
      <c r="H104" s="27">
        <f t="shared" si="4"/>
        <v>87391.804499999984</v>
      </c>
      <c r="I104" s="28">
        <v>83230.289999999994</v>
      </c>
      <c r="J104" s="42">
        <v>0.05</v>
      </c>
      <c r="K104" s="27"/>
      <c r="L104" s="27">
        <f t="shared" si="5"/>
        <v>2080.7572500000001</v>
      </c>
      <c r="M104" s="27">
        <f t="shared" si="6"/>
        <v>2080.7572500000001</v>
      </c>
      <c r="N104" s="27">
        <f t="shared" si="7"/>
        <v>87391.804499999984</v>
      </c>
    </row>
    <row r="105" spans="1:14" ht="15.5" x14ac:dyDescent="0.35">
      <c r="A105" s="22">
        <v>104</v>
      </c>
      <c r="B105" s="23" t="s">
        <v>428</v>
      </c>
      <c r="C105" s="30">
        <v>43466</v>
      </c>
      <c r="D105" s="31" t="s">
        <v>266</v>
      </c>
      <c r="E105" s="32" t="s">
        <v>265</v>
      </c>
      <c r="F105" s="65" t="s">
        <v>382</v>
      </c>
      <c r="G105" s="29">
        <v>25171010</v>
      </c>
      <c r="H105" s="33">
        <f>N105</f>
        <v>31605</v>
      </c>
      <c r="I105" s="34">
        <v>30100</v>
      </c>
      <c r="J105" s="44">
        <v>0.05</v>
      </c>
      <c r="K105" s="33"/>
      <c r="L105" s="33">
        <f t="shared" ref="L105:L148" si="8">+I105*2.5/100</f>
        <v>752.5</v>
      </c>
      <c r="M105" s="33">
        <f t="shared" ref="M105:M148" si="9">+I105*2.5/100</f>
        <v>752.5</v>
      </c>
      <c r="N105" s="33">
        <f t="shared" ref="N105:N148" si="10">+I105+L105+M105</f>
        <v>31605</v>
      </c>
    </row>
    <row r="106" spans="1:14" ht="15.5" x14ac:dyDescent="0.35">
      <c r="A106" s="22">
        <v>105</v>
      </c>
      <c r="B106" s="23" t="s">
        <v>428</v>
      </c>
      <c r="C106" s="30">
        <v>43467</v>
      </c>
      <c r="D106" s="31" t="s">
        <v>267</v>
      </c>
      <c r="E106" s="32" t="s">
        <v>265</v>
      </c>
      <c r="F106" s="65" t="s">
        <v>385</v>
      </c>
      <c r="G106" s="29">
        <v>25171010</v>
      </c>
      <c r="H106" s="33">
        <f t="shared" ref="H106:H148" si="11">N106</f>
        <v>37800</v>
      </c>
      <c r="I106" s="34">
        <v>36000</v>
      </c>
      <c r="J106" s="44">
        <v>0.05</v>
      </c>
      <c r="K106" s="33"/>
      <c r="L106" s="33">
        <f t="shared" si="8"/>
        <v>900</v>
      </c>
      <c r="M106" s="33">
        <f t="shared" si="9"/>
        <v>900</v>
      </c>
      <c r="N106" s="33">
        <f t="shared" si="10"/>
        <v>37800</v>
      </c>
    </row>
    <row r="107" spans="1:14" ht="15.5" x14ac:dyDescent="0.35">
      <c r="A107" s="22">
        <v>106</v>
      </c>
      <c r="B107" s="23" t="s">
        <v>428</v>
      </c>
      <c r="C107" s="30">
        <v>43468</v>
      </c>
      <c r="D107" s="31" t="s">
        <v>268</v>
      </c>
      <c r="E107" s="32" t="s">
        <v>265</v>
      </c>
      <c r="F107" s="65" t="s">
        <v>384</v>
      </c>
      <c r="G107" s="29">
        <v>25171010</v>
      </c>
      <c r="H107" s="33">
        <f t="shared" si="11"/>
        <v>32550</v>
      </c>
      <c r="I107" s="34">
        <v>31000</v>
      </c>
      <c r="J107" s="44">
        <v>0.05</v>
      </c>
      <c r="K107" s="33"/>
      <c r="L107" s="33">
        <f t="shared" si="8"/>
        <v>775</v>
      </c>
      <c r="M107" s="33">
        <f t="shared" si="9"/>
        <v>775</v>
      </c>
      <c r="N107" s="33">
        <f t="shared" si="10"/>
        <v>32550</v>
      </c>
    </row>
    <row r="108" spans="1:14" ht="15.5" x14ac:dyDescent="0.35">
      <c r="A108" s="22">
        <v>107</v>
      </c>
      <c r="B108" s="23" t="s">
        <v>428</v>
      </c>
      <c r="C108" s="30">
        <v>43468</v>
      </c>
      <c r="D108" s="31" t="s">
        <v>269</v>
      </c>
      <c r="E108" s="32" t="s">
        <v>265</v>
      </c>
      <c r="F108" s="65" t="s">
        <v>383</v>
      </c>
      <c r="G108" s="29">
        <v>25171010</v>
      </c>
      <c r="H108" s="33">
        <f t="shared" si="11"/>
        <v>23520</v>
      </c>
      <c r="I108" s="34">
        <v>22400</v>
      </c>
      <c r="J108" s="44">
        <v>0.05</v>
      </c>
      <c r="K108" s="33"/>
      <c r="L108" s="33">
        <f t="shared" si="8"/>
        <v>560</v>
      </c>
      <c r="M108" s="33">
        <f t="shared" si="9"/>
        <v>560</v>
      </c>
      <c r="N108" s="33">
        <f t="shared" si="10"/>
        <v>23520</v>
      </c>
    </row>
    <row r="109" spans="1:14" ht="15.5" x14ac:dyDescent="0.35">
      <c r="A109" s="22">
        <v>108</v>
      </c>
      <c r="B109" s="23" t="s">
        <v>428</v>
      </c>
      <c r="C109" s="30">
        <v>43468</v>
      </c>
      <c r="D109" s="31" t="s">
        <v>270</v>
      </c>
      <c r="E109" s="32" t="s">
        <v>265</v>
      </c>
      <c r="F109" s="65" t="s">
        <v>386</v>
      </c>
      <c r="G109" s="29">
        <v>25171010</v>
      </c>
      <c r="H109" s="33">
        <f t="shared" si="11"/>
        <v>24675</v>
      </c>
      <c r="I109" s="34">
        <v>23500</v>
      </c>
      <c r="J109" s="44">
        <v>0.05</v>
      </c>
      <c r="K109" s="33"/>
      <c r="L109" s="33">
        <f t="shared" si="8"/>
        <v>587.5</v>
      </c>
      <c r="M109" s="33">
        <f t="shared" si="9"/>
        <v>587.5</v>
      </c>
      <c r="N109" s="33">
        <f t="shared" si="10"/>
        <v>24675</v>
      </c>
    </row>
    <row r="110" spans="1:14" ht="15.5" x14ac:dyDescent="0.35">
      <c r="A110" s="22">
        <v>109</v>
      </c>
      <c r="B110" s="23" t="s">
        <v>428</v>
      </c>
      <c r="C110" s="30">
        <v>43469</v>
      </c>
      <c r="D110" s="31" t="s">
        <v>271</v>
      </c>
      <c r="E110" s="32" t="s">
        <v>265</v>
      </c>
      <c r="F110" s="65" t="s">
        <v>387</v>
      </c>
      <c r="G110" s="29">
        <v>25171010</v>
      </c>
      <c r="H110" s="33">
        <f t="shared" si="11"/>
        <v>36750</v>
      </c>
      <c r="I110" s="34">
        <v>35000</v>
      </c>
      <c r="J110" s="44">
        <v>0.05</v>
      </c>
      <c r="K110" s="33"/>
      <c r="L110" s="33">
        <f t="shared" si="8"/>
        <v>875</v>
      </c>
      <c r="M110" s="33">
        <f t="shared" si="9"/>
        <v>875</v>
      </c>
      <c r="N110" s="33">
        <f t="shared" si="10"/>
        <v>36750</v>
      </c>
    </row>
    <row r="111" spans="1:14" ht="15.5" x14ac:dyDescent="0.35">
      <c r="A111" s="22">
        <v>110</v>
      </c>
      <c r="B111" s="23" t="s">
        <v>428</v>
      </c>
      <c r="C111" s="30">
        <v>43469</v>
      </c>
      <c r="D111" s="31" t="s">
        <v>272</v>
      </c>
      <c r="E111" s="32" t="s">
        <v>265</v>
      </c>
      <c r="F111" s="65" t="s">
        <v>388</v>
      </c>
      <c r="G111" s="29">
        <v>25171010</v>
      </c>
      <c r="H111" s="33">
        <f t="shared" si="11"/>
        <v>30030</v>
      </c>
      <c r="I111" s="34">
        <v>28600</v>
      </c>
      <c r="J111" s="44">
        <v>0.05</v>
      </c>
      <c r="K111" s="33"/>
      <c r="L111" s="33">
        <f t="shared" si="8"/>
        <v>715</v>
      </c>
      <c r="M111" s="33">
        <f t="shared" si="9"/>
        <v>715</v>
      </c>
      <c r="N111" s="33">
        <f t="shared" si="10"/>
        <v>30030</v>
      </c>
    </row>
    <row r="112" spans="1:14" ht="15.5" x14ac:dyDescent="0.35">
      <c r="A112" s="22">
        <v>111</v>
      </c>
      <c r="B112" s="23" t="s">
        <v>428</v>
      </c>
      <c r="C112" s="30">
        <v>43470</v>
      </c>
      <c r="D112" s="31" t="s">
        <v>273</v>
      </c>
      <c r="E112" s="32" t="s">
        <v>265</v>
      </c>
      <c r="F112" s="65" t="s">
        <v>389</v>
      </c>
      <c r="G112" s="29">
        <v>25171010</v>
      </c>
      <c r="H112" s="33">
        <f t="shared" si="11"/>
        <v>38850</v>
      </c>
      <c r="I112" s="34">
        <v>37000</v>
      </c>
      <c r="J112" s="44">
        <v>0.05</v>
      </c>
      <c r="K112" s="33"/>
      <c r="L112" s="33">
        <f t="shared" si="8"/>
        <v>925</v>
      </c>
      <c r="M112" s="33">
        <f t="shared" si="9"/>
        <v>925</v>
      </c>
      <c r="N112" s="33">
        <f t="shared" si="10"/>
        <v>38850</v>
      </c>
    </row>
    <row r="113" spans="1:14" ht="15.5" x14ac:dyDescent="0.35">
      <c r="A113" s="22">
        <v>112</v>
      </c>
      <c r="B113" s="23" t="s">
        <v>428</v>
      </c>
      <c r="C113" s="30">
        <v>43471</v>
      </c>
      <c r="D113" s="31" t="s">
        <v>274</v>
      </c>
      <c r="E113" s="32" t="s">
        <v>265</v>
      </c>
      <c r="F113" s="65" t="s">
        <v>390</v>
      </c>
      <c r="G113" s="29">
        <v>25171010</v>
      </c>
      <c r="H113" s="33">
        <f t="shared" si="11"/>
        <v>42000</v>
      </c>
      <c r="I113" s="34">
        <v>40000</v>
      </c>
      <c r="J113" s="44">
        <v>0.05</v>
      </c>
      <c r="K113" s="33"/>
      <c r="L113" s="33">
        <f t="shared" si="8"/>
        <v>1000</v>
      </c>
      <c r="M113" s="33">
        <f t="shared" si="9"/>
        <v>1000</v>
      </c>
      <c r="N113" s="33">
        <f t="shared" si="10"/>
        <v>42000</v>
      </c>
    </row>
    <row r="114" spans="1:14" ht="15.5" x14ac:dyDescent="0.35">
      <c r="A114" s="22">
        <v>113</v>
      </c>
      <c r="B114" s="23" t="s">
        <v>428</v>
      </c>
      <c r="C114" s="30">
        <v>43471</v>
      </c>
      <c r="D114" s="31" t="s">
        <v>275</v>
      </c>
      <c r="E114" s="32" t="s">
        <v>265</v>
      </c>
      <c r="F114" s="65" t="s">
        <v>391</v>
      </c>
      <c r="G114" s="29">
        <v>25171010</v>
      </c>
      <c r="H114" s="33">
        <f t="shared" si="11"/>
        <v>38640</v>
      </c>
      <c r="I114" s="34">
        <v>36800</v>
      </c>
      <c r="J114" s="44">
        <v>0.05</v>
      </c>
      <c r="K114" s="33"/>
      <c r="L114" s="33">
        <f t="shared" si="8"/>
        <v>920</v>
      </c>
      <c r="M114" s="33">
        <f t="shared" si="9"/>
        <v>920</v>
      </c>
      <c r="N114" s="33">
        <f t="shared" si="10"/>
        <v>38640</v>
      </c>
    </row>
    <row r="115" spans="1:14" ht="15.5" x14ac:dyDescent="0.35">
      <c r="A115" s="22">
        <v>114</v>
      </c>
      <c r="B115" s="23" t="s">
        <v>428</v>
      </c>
      <c r="C115" s="30">
        <v>43475</v>
      </c>
      <c r="D115" s="31" t="s">
        <v>276</v>
      </c>
      <c r="E115" s="32" t="s">
        <v>265</v>
      </c>
      <c r="F115" s="65" t="s">
        <v>382</v>
      </c>
      <c r="G115" s="29">
        <v>25171010</v>
      </c>
      <c r="H115" s="33">
        <f t="shared" si="11"/>
        <v>40950</v>
      </c>
      <c r="I115" s="34">
        <v>39000</v>
      </c>
      <c r="J115" s="44">
        <v>0.05</v>
      </c>
      <c r="K115" s="33"/>
      <c r="L115" s="33">
        <f t="shared" si="8"/>
        <v>975</v>
      </c>
      <c r="M115" s="33">
        <f t="shared" si="9"/>
        <v>975</v>
      </c>
      <c r="N115" s="33">
        <f t="shared" si="10"/>
        <v>40950</v>
      </c>
    </row>
    <row r="116" spans="1:14" ht="15.5" x14ac:dyDescent="0.35">
      <c r="A116" s="22">
        <v>115</v>
      </c>
      <c r="B116" s="23" t="s">
        <v>428</v>
      </c>
      <c r="C116" s="30">
        <v>43475</v>
      </c>
      <c r="D116" s="31" t="s">
        <v>277</v>
      </c>
      <c r="E116" s="32" t="s">
        <v>265</v>
      </c>
      <c r="F116" s="65" t="s">
        <v>392</v>
      </c>
      <c r="G116" s="29">
        <v>25171010</v>
      </c>
      <c r="H116" s="33">
        <f t="shared" si="11"/>
        <v>33600</v>
      </c>
      <c r="I116" s="34">
        <v>32000</v>
      </c>
      <c r="J116" s="44">
        <v>0.05</v>
      </c>
      <c r="K116" s="33"/>
      <c r="L116" s="33">
        <f t="shared" si="8"/>
        <v>800</v>
      </c>
      <c r="M116" s="33">
        <f t="shared" si="9"/>
        <v>800</v>
      </c>
      <c r="N116" s="33">
        <f t="shared" si="10"/>
        <v>33600</v>
      </c>
    </row>
    <row r="117" spans="1:14" ht="15.5" x14ac:dyDescent="0.35">
      <c r="A117" s="22">
        <v>116</v>
      </c>
      <c r="B117" s="23" t="s">
        <v>428</v>
      </c>
      <c r="C117" s="30">
        <v>43477</v>
      </c>
      <c r="D117" s="31" t="s">
        <v>278</v>
      </c>
      <c r="E117" s="32" t="s">
        <v>265</v>
      </c>
      <c r="F117" s="65" t="s">
        <v>393</v>
      </c>
      <c r="G117" s="29">
        <v>25171010</v>
      </c>
      <c r="H117" s="33">
        <f t="shared" si="11"/>
        <v>37485</v>
      </c>
      <c r="I117" s="34">
        <v>35700</v>
      </c>
      <c r="J117" s="44">
        <v>0.05</v>
      </c>
      <c r="K117" s="33"/>
      <c r="L117" s="33">
        <f t="shared" si="8"/>
        <v>892.5</v>
      </c>
      <c r="M117" s="33">
        <f t="shared" si="9"/>
        <v>892.5</v>
      </c>
      <c r="N117" s="33">
        <f t="shared" si="10"/>
        <v>37485</v>
      </c>
    </row>
    <row r="118" spans="1:14" ht="15.5" x14ac:dyDescent="0.35">
      <c r="A118" s="22">
        <v>117</v>
      </c>
      <c r="B118" s="23" t="s">
        <v>428</v>
      </c>
      <c r="C118" s="30">
        <v>43477</v>
      </c>
      <c r="D118" s="31" t="s">
        <v>279</v>
      </c>
      <c r="E118" s="32" t="s">
        <v>265</v>
      </c>
      <c r="F118" s="65" t="s">
        <v>394</v>
      </c>
      <c r="G118" s="29">
        <v>25171010</v>
      </c>
      <c r="H118" s="33">
        <f t="shared" si="11"/>
        <v>30975</v>
      </c>
      <c r="I118" s="34">
        <v>29500</v>
      </c>
      <c r="J118" s="44">
        <v>0.05</v>
      </c>
      <c r="K118" s="33"/>
      <c r="L118" s="33">
        <f t="shared" si="8"/>
        <v>737.5</v>
      </c>
      <c r="M118" s="33">
        <f t="shared" si="9"/>
        <v>737.5</v>
      </c>
      <c r="N118" s="33">
        <f t="shared" si="10"/>
        <v>30975</v>
      </c>
    </row>
    <row r="119" spans="1:14" ht="15.5" x14ac:dyDescent="0.35">
      <c r="A119" s="22">
        <v>118</v>
      </c>
      <c r="B119" s="23" t="s">
        <v>428</v>
      </c>
      <c r="C119" s="30">
        <v>43480</v>
      </c>
      <c r="D119" s="31" t="s">
        <v>280</v>
      </c>
      <c r="E119" s="32" t="s">
        <v>265</v>
      </c>
      <c r="F119" s="65" t="s">
        <v>395</v>
      </c>
      <c r="G119" s="29">
        <v>25171010</v>
      </c>
      <c r="H119" s="33">
        <f t="shared" si="11"/>
        <v>28035</v>
      </c>
      <c r="I119" s="34">
        <v>26700</v>
      </c>
      <c r="J119" s="44">
        <v>0.05</v>
      </c>
      <c r="K119" s="33"/>
      <c r="L119" s="33">
        <f t="shared" si="8"/>
        <v>667.5</v>
      </c>
      <c r="M119" s="33">
        <f t="shared" si="9"/>
        <v>667.5</v>
      </c>
      <c r="N119" s="33">
        <f t="shared" si="10"/>
        <v>28035</v>
      </c>
    </row>
    <row r="120" spans="1:14" ht="15.5" x14ac:dyDescent="0.35">
      <c r="A120" s="22">
        <v>119</v>
      </c>
      <c r="B120" s="23" t="s">
        <v>428</v>
      </c>
      <c r="C120" s="30">
        <v>43480</v>
      </c>
      <c r="D120" s="31" t="s">
        <v>281</v>
      </c>
      <c r="E120" s="32" t="s">
        <v>265</v>
      </c>
      <c r="F120" s="65" t="s">
        <v>396</v>
      </c>
      <c r="G120" s="29">
        <v>25171010</v>
      </c>
      <c r="H120" s="33">
        <f t="shared" si="11"/>
        <v>34650</v>
      </c>
      <c r="I120" s="34">
        <v>33000</v>
      </c>
      <c r="J120" s="44">
        <v>0.05</v>
      </c>
      <c r="K120" s="33"/>
      <c r="L120" s="33">
        <f t="shared" si="8"/>
        <v>825</v>
      </c>
      <c r="M120" s="33">
        <f t="shared" si="9"/>
        <v>825</v>
      </c>
      <c r="N120" s="33">
        <f t="shared" si="10"/>
        <v>34650</v>
      </c>
    </row>
    <row r="121" spans="1:14" ht="15.5" x14ac:dyDescent="0.35">
      <c r="A121" s="22">
        <v>120</v>
      </c>
      <c r="B121" s="23" t="s">
        <v>428</v>
      </c>
      <c r="C121" s="30">
        <v>43482</v>
      </c>
      <c r="D121" s="31" t="s">
        <v>282</v>
      </c>
      <c r="E121" s="32" t="s">
        <v>265</v>
      </c>
      <c r="F121" s="65" t="s">
        <v>397</v>
      </c>
      <c r="G121" s="29">
        <v>25171010</v>
      </c>
      <c r="H121" s="33">
        <f t="shared" si="11"/>
        <v>40950</v>
      </c>
      <c r="I121" s="34">
        <v>39000</v>
      </c>
      <c r="J121" s="44">
        <v>0.05</v>
      </c>
      <c r="K121" s="33"/>
      <c r="L121" s="33">
        <f t="shared" si="8"/>
        <v>975</v>
      </c>
      <c r="M121" s="33">
        <f t="shared" si="9"/>
        <v>975</v>
      </c>
      <c r="N121" s="33">
        <f t="shared" si="10"/>
        <v>40950</v>
      </c>
    </row>
    <row r="122" spans="1:14" ht="15.5" x14ac:dyDescent="0.35">
      <c r="A122" s="22">
        <v>121</v>
      </c>
      <c r="B122" s="23" t="s">
        <v>428</v>
      </c>
      <c r="C122" s="30">
        <v>43483</v>
      </c>
      <c r="D122" s="31" t="s">
        <v>283</v>
      </c>
      <c r="E122" s="32" t="s">
        <v>265</v>
      </c>
      <c r="F122" s="65" t="s">
        <v>398</v>
      </c>
      <c r="G122" s="29">
        <v>25171010</v>
      </c>
      <c r="H122" s="33">
        <f t="shared" si="11"/>
        <v>26250</v>
      </c>
      <c r="I122" s="34">
        <v>25000</v>
      </c>
      <c r="J122" s="44">
        <v>0.05</v>
      </c>
      <c r="K122" s="33"/>
      <c r="L122" s="33">
        <f t="shared" si="8"/>
        <v>625</v>
      </c>
      <c r="M122" s="33">
        <f t="shared" si="9"/>
        <v>625</v>
      </c>
      <c r="N122" s="33">
        <f t="shared" si="10"/>
        <v>26250</v>
      </c>
    </row>
    <row r="123" spans="1:14" ht="15.5" x14ac:dyDescent="0.35">
      <c r="A123" s="22">
        <v>122</v>
      </c>
      <c r="B123" s="23" t="s">
        <v>428</v>
      </c>
      <c r="C123" s="30">
        <v>43483</v>
      </c>
      <c r="D123" s="31" t="s">
        <v>284</v>
      </c>
      <c r="E123" s="32" t="s">
        <v>265</v>
      </c>
      <c r="F123" s="65" t="s">
        <v>399</v>
      </c>
      <c r="G123" s="29">
        <v>25171010</v>
      </c>
      <c r="H123" s="33">
        <f t="shared" si="11"/>
        <v>24885</v>
      </c>
      <c r="I123" s="34">
        <v>23700</v>
      </c>
      <c r="J123" s="44">
        <v>0.05</v>
      </c>
      <c r="K123" s="33"/>
      <c r="L123" s="33">
        <f t="shared" si="8"/>
        <v>592.5</v>
      </c>
      <c r="M123" s="33">
        <f t="shared" si="9"/>
        <v>592.5</v>
      </c>
      <c r="N123" s="33">
        <f t="shared" si="10"/>
        <v>24885</v>
      </c>
    </row>
    <row r="124" spans="1:14" ht="15.5" x14ac:dyDescent="0.35">
      <c r="A124" s="22">
        <v>123</v>
      </c>
      <c r="B124" s="23" t="s">
        <v>428</v>
      </c>
      <c r="C124" s="30">
        <v>43485</v>
      </c>
      <c r="D124" s="31" t="s">
        <v>285</v>
      </c>
      <c r="E124" s="32" t="s">
        <v>265</v>
      </c>
      <c r="F124" s="65" t="s">
        <v>400</v>
      </c>
      <c r="G124" s="29">
        <v>25171010</v>
      </c>
      <c r="H124" s="33">
        <f t="shared" si="11"/>
        <v>36960</v>
      </c>
      <c r="I124" s="34">
        <v>35200</v>
      </c>
      <c r="J124" s="44">
        <v>0.05</v>
      </c>
      <c r="K124" s="33"/>
      <c r="L124" s="33">
        <f t="shared" si="8"/>
        <v>880</v>
      </c>
      <c r="M124" s="33">
        <f t="shared" si="9"/>
        <v>880</v>
      </c>
      <c r="N124" s="33">
        <f t="shared" si="10"/>
        <v>36960</v>
      </c>
    </row>
    <row r="125" spans="1:14" ht="15.5" x14ac:dyDescent="0.35">
      <c r="A125" s="22">
        <v>124</v>
      </c>
      <c r="B125" s="23" t="s">
        <v>428</v>
      </c>
      <c r="C125" s="30">
        <v>43485</v>
      </c>
      <c r="D125" s="31" t="s">
        <v>286</v>
      </c>
      <c r="E125" s="32" t="s">
        <v>265</v>
      </c>
      <c r="F125" s="65" t="s">
        <v>401</v>
      </c>
      <c r="G125" s="29">
        <v>25171010</v>
      </c>
      <c r="H125" s="33">
        <f t="shared" si="11"/>
        <v>31185</v>
      </c>
      <c r="I125" s="34">
        <v>29700</v>
      </c>
      <c r="J125" s="44">
        <v>0.05</v>
      </c>
      <c r="K125" s="33"/>
      <c r="L125" s="33">
        <f t="shared" si="8"/>
        <v>742.5</v>
      </c>
      <c r="M125" s="33">
        <f t="shared" si="9"/>
        <v>742.5</v>
      </c>
      <c r="N125" s="33">
        <f t="shared" si="10"/>
        <v>31185</v>
      </c>
    </row>
    <row r="126" spans="1:14" ht="15.5" x14ac:dyDescent="0.35">
      <c r="A126" s="22">
        <v>125</v>
      </c>
      <c r="B126" s="23" t="s">
        <v>428</v>
      </c>
      <c r="C126" s="30">
        <v>43486</v>
      </c>
      <c r="D126" s="31" t="s">
        <v>287</v>
      </c>
      <c r="E126" s="32" t="s">
        <v>265</v>
      </c>
      <c r="F126" s="65" t="s">
        <v>402</v>
      </c>
      <c r="G126" s="29">
        <v>25171010</v>
      </c>
      <c r="H126" s="33">
        <f t="shared" si="11"/>
        <v>40950</v>
      </c>
      <c r="I126" s="34">
        <v>39000</v>
      </c>
      <c r="J126" s="44">
        <v>0.05</v>
      </c>
      <c r="K126" s="33"/>
      <c r="L126" s="33">
        <f t="shared" si="8"/>
        <v>975</v>
      </c>
      <c r="M126" s="33">
        <f t="shared" si="9"/>
        <v>975</v>
      </c>
      <c r="N126" s="33">
        <f t="shared" si="10"/>
        <v>40950</v>
      </c>
    </row>
    <row r="127" spans="1:14" ht="15.5" x14ac:dyDescent="0.35">
      <c r="A127" s="22">
        <v>126</v>
      </c>
      <c r="B127" s="23" t="s">
        <v>428</v>
      </c>
      <c r="C127" s="30">
        <v>43487</v>
      </c>
      <c r="D127" s="31" t="s">
        <v>288</v>
      </c>
      <c r="E127" s="32" t="s">
        <v>265</v>
      </c>
      <c r="F127" s="65" t="s">
        <v>403</v>
      </c>
      <c r="G127" s="29">
        <v>25171010</v>
      </c>
      <c r="H127" s="33">
        <f t="shared" si="11"/>
        <v>26775</v>
      </c>
      <c r="I127" s="34">
        <v>25500</v>
      </c>
      <c r="J127" s="44">
        <v>0.05</v>
      </c>
      <c r="K127" s="33"/>
      <c r="L127" s="33">
        <f t="shared" si="8"/>
        <v>637.5</v>
      </c>
      <c r="M127" s="33">
        <f t="shared" si="9"/>
        <v>637.5</v>
      </c>
      <c r="N127" s="33">
        <f t="shared" si="10"/>
        <v>26775</v>
      </c>
    </row>
    <row r="128" spans="1:14" ht="15.5" x14ac:dyDescent="0.35">
      <c r="A128" s="22">
        <v>127</v>
      </c>
      <c r="B128" s="23" t="s">
        <v>428</v>
      </c>
      <c r="C128" s="30">
        <v>43488</v>
      </c>
      <c r="D128" s="31" t="s">
        <v>289</v>
      </c>
      <c r="E128" s="32" t="s">
        <v>265</v>
      </c>
      <c r="F128" s="65" t="s">
        <v>404</v>
      </c>
      <c r="G128" s="29">
        <v>25171010</v>
      </c>
      <c r="H128" s="33">
        <f t="shared" si="11"/>
        <v>20685</v>
      </c>
      <c r="I128" s="34">
        <v>19700</v>
      </c>
      <c r="J128" s="44">
        <v>0.05</v>
      </c>
      <c r="K128" s="33"/>
      <c r="L128" s="33">
        <f t="shared" si="8"/>
        <v>492.5</v>
      </c>
      <c r="M128" s="33">
        <f t="shared" si="9"/>
        <v>492.5</v>
      </c>
      <c r="N128" s="33">
        <f t="shared" si="10"/>
        <v>20685</v>
      </c>
    </row>
    <row r="129" spans="1:14" ht="15.5" x14ac:dyDescent="0.35">
      <c r="A129" s="22">
        <v>128</v>
      </c>
      <c r="B129" s="23" t="s">
        <v>428</v>
      </c>
      <c r="C129" s="30">
        <v>43488</v>
      </c>
      <c r="D129" s="31" t="s">
        <v>290</v>
      </c>
      <c r="E129" s="32" t="s">
        <v>265</v>
      </c>
      <c r="F129" s="65" t="s">
        <v>405</v>
      </c>
      <c r="G129" s="29">
        <v>25171010</v>
      </c>
      <c r="H129" s="33">
        <f t="shared" si="11"/>
        <v>31500</v>
      </c>
      <c r="I129" s="34">
        <v>30000</v>
      </c>
      <c r="J129" s="44">
        <v>0.05</v>
      </c>
      <c r="K129" s="33"/>
      <c r="L129" s="33">
        <f t="shared" si="8"/>
        <v>750</v>
      </c>
      <c r="M129" s="33">
        <f t="shared" si="9"/>
        <v>750</v>
      </c>
      <c r="N129" s="33">
        <f t="shared" si="10"/>
        <v>31500</v>
      </c>
    </row>
    <row r="130" spans="1:14" ht="15.5" x14ac:dyDescent="0.35">
      <c r="A130" s="22">
        <v>129</v>
      </c>
      <c r="B130" s="23" t="s">
        <v>428</v>
      </c>
      <c r="C130" s="30">
        <v>43490</v>
      </c>
      <c r="D130" s="31" t="s">
        <v>291</v>
      </c>
      <c r="E130" s="32" t="s">
        <v>265</v>
      </c>
      <c r="F130" s="65" t="s">
        <v>405</v>
      </c>
      <c r="G130" s="29">
        <v>25171010</v>
      </c>
      <c r="H130" s="33">
        <f t="shared" si="11"/>
        <v>39375</v>
      </c>
      <c r="I130" s="34">
        <v>37500</v>
      </c>
      <c r="J130" s="44">
        <v>0.05</v>
      </c>
      <c r="K130" s="33"/>
      <c r="L130" s="33">
        <f t="shared" si="8"/>
        <v>937.5</v>
      </c>
      <c r="M130" s="33">
        <f t="shared" si="9"/>
        <v>937.5</v>
      </c>
      <c r="N130" s="33">
        <f t="shared" si="10"/>
        <v>39375</v>
      </c>
    </row>
    <row r="131" spans="1:14" ht="15.5" x14ac:dyDescent="0.35">
      <c r="A131" s="22">
        <v>130</v>
      </c>
      <c r="B131" s="23" t="s">
        <v>428</v>
      </c>
      <c r="C131" s="30">
        <v>43491</v>
      </c>
      <c r="D131" s="31" t="s">
        <v>292</v>
      </c>
      <c r="E131" s="32" t="s">
        <v>265</v>
      </c>
      <c r="F131" s="65" t="s">
        <v>424</v>
      </c>
      <c r="G131" s="29">
        <v>25171010</v>
      </c>
      <c r="H131" s="33">
        <f t="shared" si="11"/>
        <v>23100</v>
      </c>
      <c r="I131" s="34">
        <v>22000</v>
      </c>
      <c r="J131" s="44">
        <v>0.05</v>
      </c>
      <c r="K131" s="33"/>
      <c r="L131" s="33">
        <f t="shared" si="8"/>
        <v>550</v>
      </c>
      <c r="M131" s="33">
        <f t="shared" si="9"/>
        <v>550</v>
      </c>
      <c r="N131" s="33">
        <f t="shared" si="10"/>
        <v>23100</v>
      </c>
    </row>
    <row r="132" spans="1:14" ht="15.5" x14ac:dyDescent="0.35">
      <c r="A132" s="22">
        <v>131</v>
      </c>
      <c r="B132" s="23" t="s">
        <v>428</v>
      </c>
      <c r="C132" s="30">
        <v>43491</v>
      </c>
      <c r="D132" s="31" t="s">
        <v>293</v>
      </c>
      <c r="E132" s="32" t="s">
        <v>265</v>
      </c>
      <c r="F132" s="65" t="s">
        <v>406</v>
      </c>
      <c r="G132" s="29">
        <v>25171010</v>
      </c>
      <c r="H132" s="33">
        <f t="shared" si="11"/>
        <v>26250</v>
      </c>
      <c r="I132" s="34">
        <v>25000</v>
      </c>
      <c r="J132" s="44">
        <v>0.05</v>
      </c>
      <c r="K132" s="33"/>
      <c r="L132" s="33">
        <f t="shared" si="8"/>
        <v>625</v>
      </c>
      <c r="M132" s="33">
        <f t="shared" si="9"/>
        <v>625</v>
      </c>
      <c r="N132" s="33">
        <f t="shared" si="10"/>
        <v>26250</v>
      </c>
    </row>
    <row r="133" spans="1:14" ht="15.5" x14ac:dyDescent="0.35">
      <c r="A133" s="22">
        <v>132</v>
      </c>
      <c r="B133" s="23" t="s">
        <v>428</v>
      </c>
      <c r="C133" s="30">
        <v>43491</v>
      </c>
      <c r="D133" s="31" t="s">
        <v>294</v>
      </c>
      <c r="E133" s="32" t="s">
        <v>265</v>
      </c>
      <c r="F133" s="65" t="s">
        <v>407</v>
      </c>
      <c r="G133" s="29">
        <v>25171010</v>
      </c>
      <c r="H133" s="33">
        <f t="shared" si="11"/>
        <v>36750</v>
      </c>
      <c r="I133" s="34">
        <v>35000</v>
      </c>
      <c r="J133" s="44">
        <v>0.05</v>
      </c>
      <c r="K133" s="33"/>
      <c r="L133" s="33">
        <f t="shared" si="8"/>
        <v>875</v>
      </c>
      <c r="M133" s="33">
        <f t="shared" si="9"/>
        <v>875</v>
      </c>
      <c r="N133" s="33">
        <f t="shared" si="10"/>
        <v>36750</v>
      </c>
    </row>
    <row r="134" spans="1:14" ht="15.5" x14ac:dyDescent="0.35">
      <c r="A134" s="22">
        <v>133</v>
      </c>
      <c r="B134" s="23" t="s">
        <v>428</v>
      </c>
      <c r="C134" s="30">
        <v>43492</v>
      </c>
      <c r="D134" s="31" t="s">
        <v>295</v>
      </c>
      <c r="E134" s="32" t="s">
        <v>265</v>
      </c>
      <c r="F134" s="65" t="s">
        <v>408</v>
      </c>
      <c r="G134" s="29">
        <v>25171010</v>
      </c>
      <c r="H134" s="33">
        <f t="shared" si="11"/>
        <v>21105</v>
      </c>
      <c r="I134" s="34">
        <v>20100</v>
      </c>
      <c r="J134" s="44">
        <v>0.05</v>
      </c>
      <c r="K134" s="33"/>
      <c r="L134" s="33">
        <f t="shared" si="8"/>
        <v>502.5</v>
      </c>
      <c r="M134" s="33">
        <f t="shared" si="9"/>
        <v>502.5</v>
      </c>
      <c r="N134" s="33">
        <f t="shared" si="10"/>
        <v>21105</v>
      </c>
    </row>
    <row r="135" spans="1:14" ht="15.5" x14ac:dyDescent="0.35">
      <c r="A135" s="22">
        <v>134</v>
      </c>
      <c r="B135" s="23" t="s">
        <v>428</v>
      </c>
      <c r="C135" s="30">
        <v>43492</v>
      </c>
      <c r="D135" s="31" t="s">
        <v>296</v>
      </c>
      <c r="E135" s="32" t="s">
        <v>265</v>
      </c>
      <c r="F135" s="65" t="s">
        <v>409</v>
      </c>
      <c r="G135" s="29">
        <v>25171010</v>
      </c>
      <c r="H135" s="33">
        <f t="shared" si="11"/>
        <v>36750</v>
      </c>
      <c r="I135" s="34">
        <v>35000</v>
      </c>
      <c r="J135" s="44">
        <v>0.05</v>
      </c>
      <c r="K135" s="33"/>
      <c r="L135" s="33">
        <f t="shared" si="8"/>
        <v>875</v>
      </c>
      <c r="M135" s="33">
        <f t="shared" si="9"/>
        <v>875</v>
      </c>
      <c r="N135" s="33">
        <f t="shared" si="10"/>
        <v>36750</v>
      </c>
    </row>
    <row r="136" spans="1:14" ht="15.5" x14ac:dyDescent="0.35">
      <c r="A136" s="22">
        <v>135</v>
      </c>
      <c r="B136" s="23" t="s">
        <v>428</v>
      </c>
      <c r="C136" s="30">
        <v>43492</v>
      </c>
      <c r="D136" s="31" t="s">
        <v>297</v>
      </c>
      <c r="E136" s="32" t="s">
        <v>265</v>
      </c>
      <c r="F136" s="65" t="s">
        <v>392</v>
      </c>
      <c r="G136" s="29">
        <v>25171010</v>
      </c>
      <c r="H136" s="33">
        <f t="shared" si="11"/>
        <v>39795</v>
      </c>
      <c r="I136" s="34">
        <v>37900</v>
      </c>
      <c r="J136" s="44">
        <v>0.05</v>
      </c>
      <c r="K136" s="33"/>
      <c r="L136" s="33">
        <f t="shared" si="8"/>
        <v>947.5</v>
      </c>
      <c r="M136" s="33">
        <f t="shared" si="9"/>
        <v>947.5</v>
      </c>
      <c r="N136" s="33">
        <f t="shared" si="10"/>
        <v>39795</v>
      </c>
    </row>
    <row r="137" spans="1:14" ht="15.5" x14ac:dyDescent="0.35">
      <c r="A137" s="22">
        <v>136</v>
      </c>
      <c r="B137" s="23" t="s">
        <v>428</v>
      </c>
      <c r="C137" s="30">
        <v>43492</v>
      </c>
      <c r="D137" s="31" t="s">
        <v>298</v>
      </c>
      <c r="E137" s="32" t="s">
        <v>265</v>
      </c>
      <c r="F137" s="65" t="s">
        <v>389</v>
      </c>
      <c r="G137" s="29">
        <v>25171010</v>
      </c>
      <c r="H137" s="33">
        <f t="shared" si="11"/>
        <v>39375</v>
      </c>
      <c r="I137" s="34">
        <v>37500</v>
      </c>
      <c r="J137" s="44">
        <v>0.05</v>
      </c>
      <c r="K137" s="33"/>
      <c r="L137" s="33">
        <f t="shared" si="8"/>
        <v>937.5</v>
      </c>
      <c r="M137" s="33">
        <f t="shared" si="9"/>
        <v>937.5</v>
      </c>
      <c r="N137" s="33">
        <f t="shared" si="10"/>
        <v>39375</v>
      </c>
    </row>
    <row r="138" spans="1:14" ht="15.5" x14ac:dyDescent="0.35">
      <c r="A138" s="22">
        <v>137</v>
      </c>
      <c r="B138" s="23" t="s">
        <v>428</v>
      </c>
      <c r="C138" s="30">
        <v>43493</v>
      </c>
      <c r="D138" s="31" t="s">
        <v>299</v>
      </c>
      <c r="E138" s="32" t="s">
        <v>265</v>
      </c>
      <c r="F138" s="65" t="s">
        <v>410</v>
      </c>
      <c r="G138" s="29">
        <v>25171010</v>
      </c>
      <c r="H138" s="33">
        <f t="shared" si="11"/>
        <v>22680</v>
      </c>
      <c r="I138" s="34">
        <v>21600</v>
      </c>
      <c r="J138" s="44">
        <v>0.05</v>
      </c>
      <c r="K138" s="33"/>
      <c r="L138" s="33">
        <f t="shared" si="8"/>
        <v>540</v>
      </c>
      <c r="M138" s="33">
        <f t="shared" si="9"/>
        <v>540</v>
      </c>
      <c r="N138" s="33">
        <f t="shared" si="10"/>
        <v>22680</v>
      </c>
    </row>
    <row r="139" spans="1:14" ht="15.5" x14ac:dyDescent="0.35">
      <c r="A139" s="22">
        <v>138</v>
      </c>
      <c r="B139" s="23" t="s">
        <v>428</v>
      </c>
      <c r="C139" s="30">
        <v>43493</v>
      </c>
      <c r="D139" s="31" t="s">
        <v>300</v>
      </c>
      <c r="E139" s="32" t="s">
        <v>265</v>
      </c>
      <c r="F139" s="65" t="s">
        <v>411</v>
      </c>
      <c r="G139" s="29">
        <v>25171010</v>
      </c>
      <c r="H139" s="33">
        <f t="shared" si="11"/>
        <v>41475</v>
      </c>
      <c r="I139" s="34">
        <v>39500</v>
      </c>
      <c r="J139" s="44">
        <v>0.05</v>
      </c>
      <c r="K139" s="33"/>
      <c r="L139" s="33">
        <f t="shared" si="8"/>
        <v>987.5</v>
      </c>
      <c r="M139" s="33">
        <f t="shared" si="9"/>
        <v>987.5</v>
      </c>
      <c r="N139" s="33">
        <f t="shared" si="10"/>
        <v>41475</v>
      </c>
    </row>
    <row r="140" spans="1:14" ht="15.5" x14ac:dyDescent="0.35">
      <c r="A140" s="22">
        <v>139</v>
      </c>
      <c r="B140" s="23" t="s">
        <v>428</v>
      </c>
      <c r="C140" s="30">
        <v>43493</v>
      </c>
      <c r="D140" s="31" t="s">
        <v>301</v>
      </c>
      <c r="E140" s="32" t="s">
        <v>265</v>
      </c>
      <c r="F140" s="65" t="s">
        <v>412</v>
      </c>
      <c r="G140" s="29">
        <v>25171010</v>
      </c>
      <c r="H140" s="33">
        <f t="shared" si="11"/>
        <v>27405</v>
      </c>
      <c r="I140" s="34">
        <v>26100</v>
      </c>
      <c r="J140" s="44">
        <v>0.05</v>
      </c>
      <c r="K140" s="33"/>
      <c r="L140" s="33">
        <f t="shared" si="8"/>
        <v>652.5</v>
      </c>
      <c r="M140" s="33">
        <f t="shared" si="9"/>
        <v>652.5</v>
      </c>
      <c r="N140" s="33">
        <f t="shared" si="10"/>
        <v>27405</v>
      </c>
    </row>
    <row r="141" spans="1:14" ht="15.5" x14ac:dyDescent="0.35">
      <c r="A141" s="22">
        <v>140</v>
      </c>
      <c r="B141" s="23" t="s">
        <v>428</v>
      </c>
      <c r="C141" s="30">
        <v>43494</v>
      </c>
      <c r="D141" s="31" t="s">
        <v>302</v>
      </c>
      <c r="E141" s="32" t="s">
        <v>265</v>
      </c>
      <c r="F141" s="65" t="s">
        <v>412</v>
      </c>
      <c r="G141" s="29">
        <v>25171010</v>
      </c>
      <c r="H141" s="33">
        <f t="shared" si="11"/>
        <v>31605</v>
      </c>
      <c r="I141" s="34">
        <v>30100</v>
      </c>
      <c r="J141" s="44">
        <v>0.05</v>
      </c>
      <c r="K141" s="33"/>
      <c r="L141" s="33">
        <f t="shared" si="8"/>
        <v>752.5</v>
      </c>
      <c r="M141" s="33">
        <f t="shared" si="9"/>
        <v>752.5</v>
      </c>
      <c r="N141" s="33">
        <f t="shared" si="10"/>
        <v>31605</v>
      </c>
    </row>
    <row r="142" spans="1:14" ht="15.5" x14ac:dyDescent="0.35">
      <c r="A142" s="22">
        <v>141</v>
      </c>
      <c r="B142" s="23" t="s">
        <v>428</v>
      </c>
      <c r="C142" s="30">
        <v>43494</v>
      </c>
      <c r="D142" s="31" t="s">
        <v>303</v>
      </c>
      <c r="E142" s="32" t="s">
        <v>265</v>
      </c>
      <c r="F142" s="65" t="s">
        <v>413</v>
      </c>
      <c r="G142" s="29">
        <v>25171010</v>
      </c>
      <c r="H142" s="33">
        <f t="shared" si="11"/>
        <v>30450</v>
      </c>
      <c r="I142" s="34">
        <v>29000</v>
      </c>
      <c r="J142" s="44">
        <v>0.05</v>
      </c>
      <c r="K142" s="33"/>
      <c r="L142" s="33">
        <f t="shared" si="8"/>
        <v>725</v>
      </c>
      <c r="M142" s="33">
        <f t="shared" si="9"/>
        <v>725</v>
      </c>
      <c r="N142" s="33">
        <f t="shared" si="10"/>
        <v>30450</v>
      </c>
    </row>
    <row r="143" spans="1:14" ht="15.5" x14ac:dyDescent="0.35">
      <c r="A143" s="22">
        <v>142</v>
      </c>
      <c r="B143" s="23" t="s">
        <v>428</v>
      </c>
      <c r="C143" s="30">
        <v>43494</v>
      </c>
      <c r="D143" s="31" t="s">
        <v>304</v>
      </c>
      <c r="E143" s="32" t="s">
        <v>265</v>
      </c>
      <c r="F143" s="65" t="s">
        <v>414</v>
      </c>
      <c r="G143" s="29">
        <v>25171010</v>
      </c>
      <c r="H143" s="33">
        <f t="shared" si="11"/>
        <v>36750</v>
      </c>
      <c r="I143" s="34">
        <v>35000</v>
      </c>
      <c r="J143" s="44">
        <v>0.05</v>
      </c>
      <c r="K143" s="33"/>
      <c r="L143" s="33">
        <f t="shared" si="8"/>
        <v>875</v>
      </c>
      <c r="M143" s="33">
        <f t="shared" si="9"/>
        <v>875</v>
      </c>
      <c r="N143" s="33">
        <f t="shared" si="10"/>
        <v>36750</v>
      </c>
    </row>
    <row r="144" spans="1:14" ht="15.5" x14ac:dyDescent="0.35">
      <c r="A144" s="22">
        <v>143</v>
      </c>
      <c r="B144" s="23" t="s">
        <v>428</v>
      </c>
      <c r="C144" s="30">
        <v>43494</v>
      </c>
      <c r="D144" s="31" t="s">
        <v>305</v>
      </c>
      <c r="E144" s="32" t="s">
        <v>265</v>
      </c>
      <c r="F144" s="65" t="s">
        <v>392</v>
      </c>
      <c r="G144" s="29">
        <v>25171010</v>
      </c>
      <c r="H144" s="33">
        <f t="shared" si="11"/>
        <v>31500</v>
      </c>
      <c r="I144" s="34">
        <v>30000</v>
      </c>
      <c r="J144" s="44">
        <v>0.05</v>
      </c>
      <c r="K144" s="33"/>
      <c r="L144" s="33">
        <f t="shared" si="8"/>
        <v>750</v>
      </c>
      <c r="M144" s="33">
        <f t="shared" si="9"/>
        <v>750</v>
      </c>
      <c r="N144" s="33">
        <f t="shared" si="10"/>
        <v>31500</v>
      </c>
    </row>
    <row r="145" spans="1:14" ht="15.5" x14ac:dyDescent="0.35">
      <c r="A145" s="22">
        <v>144</v>
      </c>
      <c r="B145" s="23" t="s">
        <v>428</v>
      </c>
      <c r="C145" s="30">
        <v>43495</v>
      </c>
      <c r="D145" s="31" t="s">
        <v>306</v>
      </c>
      <c r="E145" s="32" t="s">
        <v>265</v>
      </c>
      <c r="F145" s="65" t="s">
        <v>415</v>
      </c>
      <c r="G145" s="29">
        <v>25171010</v>
      </c>
      <c r="H145" s="33">
        <f t="shared" si="11"/>
        <v>38640</v>
      </c>
      <c r="I145" s="34">
        <v>36800</v>
      </c>
      <c r="J145" s="44">
        <v>0.05</v>
      </c>
      <c r="K145" s="33"/>
      <c r="L145" s="33">
        <f t="shared" si="8"/>
        <v>920</v>
      </c>
      <c r="M145" s="33">
        <f t="shared" si="9"/>
        <v>920</v>
      </c>
      <c r="N145" s="33">
        <f t="shared" si="10"/>
        <v>38640</v>
      </c>
    </row>
    <row r="146" spans="1:14" ht="15.5" x14ac:dyDescent="0.35">
      <c r="A146" s="22">
        <v>145</v>
      </c>
      <c r="B146" s="23" t="s">
        <v>428</v>
      </c>
      <c r="C146" s="30">
        <v>43495</v>
      </c>
      <c r="D146" s="31" t="s">
        <v>307</v>
      </c>
      <c r="E146" s="32" t="s">
        <v>265</v>
      </c>
      <c r="F146" s="65" t="s">
        <v>416</v>
      </c>
      <c r="G146" s="29">
        <v>25171010</v>
      </c>
      <c r="H146" s="33">
        <f t="shared" si="11"/>
        <v>37485</v>
      </c>
      <c r="I146" s="34">
        <v>35700</v>
      </c>
      <c r="J146" s="44">
        <v>0.05</v>
      </c>
      <c r="K146" s="33"/>
      <c r="L146" s="33">
        <f t="shared" si="8"/>
        <v>892.5</v>
      </c>
      <c r="M146" s="33">
        <f t="shared" si="9"/>
        <v>892.5</v>
      </c>
      <c r="N146" s="33">
        <f t="shared" si="10"/>
        <v>37485</v>
      </c>
    </row>
    <row r="147" spans="1:14" ht="15.5" x14ac:dyDescent="0.35">
      <c r="A147" s="22">
        <v>146</v>
      </c>
      <c r="B147" s="23" t="s">
        <v>428</v>
      </c>
      <c r="C147" s="30">
        <v>43495</v>
      </c>
      <c r="D147" s="31" t="s">
        <v>308</v>
      </c>
      <c r="E147" s="32" t="s">
        <v>265</v>
      </c>
      <c r="F147" s="65" t="s">
        <v>417</v>
      </c>
      <c r="G147" s="29">
        <v>25171010</v>
      </c>
      <c r="H147" s="33">
        <f t="shared" si="11"/>
        <v>42000</v>
      </c>
      <c r="I147" s="34">
        <v>40000</v>
      </c>
      <c r="J147" s="44">
        <v>0.05</v>
      </c>
      <c r="K147" s="33"/>
      <c r="L147" s="33">
        <f t="shared" si="8"/>
        <v>1000</v>
      </c>
      <c r="M147" s="33">
        <f t="shared" si="9"/>
        <v>1000</v>
      </c>
      <c r="N147" s="33">
        <f t="shared" si="10"/>
        <v>42000</v>
      </c>
    </row>
    <row r="148" spans="1:14" ht="15.5" x14ac:dyDescent="0.35">
      <c r="A148" s="22">
        <v>147</v>
      </c>
      <c r="B148" s="23" t="s">
        <v>428</v>
      </c>
      <c r="C148" s="30">
        <v>43495</v>
      </c>
      <c r="D148" s="31" t="s">
        <v>309</v>
      </c>
      <c r="E148" s="32" t="s">
        <v>265</v>
      </c>
      <c r="F148" s="65" t="s">
        <v>382</v>
      </c>
      <c r="G148" s="29">
        <v>25171010</v>
      </c>
      <c r="H148" s="33">
        <f t="shared" si="11"/>
        <v>40530</v>
      </c>
      <c r="I148" s="34">
        <v>38600</v>
      </c>
      <c r="J148" s="44">
        <v>0.05</v>
      </c>
      <c r="K148" s="33"/>
      <c r="L148" s="33">
        <f t="shared" si="8"/>
        <v>965</v>
      </c>
      <c r="M148" s="33">
        <f t="shared" si="9"/>
        <v>965</v>
      </c>
      <c r="N148" s="33">
        <f t="shared" si="10"/>
        <v>40530</v>
      </c>
    </row>
    <row r="149" spans="1:14" ht="15.5" x14ac:dyDescent="0.35">
      <c r="A149" s="22">
        <v>148</v>
      </c>
      <c r="B149" s="23" t="s">
        <v>428</v>
      </c>
      <c r="C149" s="30">
        <v>43495</v>
      </c>
      <c r="D149" s="31" t="s">
        <v>310</v>
      </c>
      <c r="E149" s="32" t="s">
        <v>265</v>
      </c>
      <c r="F149" s="65" t="s">
        <v>387</v>
      </c>
      <c r="G149" s="29">
        <v>25171010</v>
      </c>
      <c r="H149" s="33">
        <f>N149</f>
        <v>39900</v>
      </c>
      <c r="I149" s="34">
        <v>38000</v>
      </c>
      <c r="J149" s="44">
        <v>0.05</v>
      </c>
      <c r="K149" s="33"/>
      <c r="L149" s="33">
        <f>+I149*2.5/100</f>
        <v>950</v>
      </c>
      <c r="M149" s="33">
        <f>+I149*2.5/100</f>
        <v>950</v>
      </c>
      <c r="N149" s="33">
        <f>+I149+L149+M149</f>
        <v>39900</v>
      </c>
    </row>
    <row r="150" spans="1:14" ht="15.5" x14ac:dyDescent="0.35">
      <c r="A150" s="22">
        <v>149</v>
      </c>
      <c r="B150" s="23" t="s">
        <v>428</v>
      </c>
      <c r="C150" s="30">
        <v>43495</v>
      </c>
      <c r="D150" s="31" t="s">
        <v>365</v>
      </c>
      <c r="E150" s="32" t="s">
        <v>265</v>
      </c>
      <c r="F150" s="65" t="s">
        <v>418</v>
      </c>
      <c r="G150" s="29">
        <v>25171010</v>
      </c>
      <c r="H150" s="33">
        <f t="shared" ref="H150:H159" si="12">N150</f>
        <v>42000</v>
      </c>
      <c r="I150" s="34">
        <v>40000</v>
      </c>
      <c r="J150" s="44">
        <v>0.05</v>
      </c>
      <c r="K150" s="33"/>
      <c r="L150" s="33">
        <f t="shared" ref="L150:L159" si="13">+I150*2.5/100</f>
        <v>1000</v>
      </c>
      <c r="M150" s="33">
        <f t="shared" ref="M150:M159" si="14">+I150*2.5/100</f>
        <v>1000</v>
      </c>
      <c r="N150" s="33">
        <f t="shared" ref="N150:N159" si="15">+I150+L150+M150</f>
        <v>42000</v>
      </c>
    </row>
    <row r="151" spans="1:14" ht="15.5" x14ac:dyDescent="0.35">
      <c r="A151" s="22">
        <v>150</v>
      </c>
      <c r="B151" s="23" t="s">
        <v>428</v>
      </c>
      <c r="C151" s="30">
        <v>43495</v>
      </c>
      <c r="D151" s="31" t="s">
        <v>366</v>
      </c>
      <c r="E151" s="32" t="s">
        <v>265</v>
      </c>
      <c r="F151" s="65" t="s">
        <v>419</v>
      </c>
      <c r="G151" s="29">
        <v>25171010</v>
      </c>
      <c r="H151" s="33">
        <f t="shared" si="12"/>
        <v>36750</v>
      </c>
      <c r="I151" s="34">
        <v>35000</v>
      </c>
      <c r="J151" s="44">
        <v>0.05</v>
      </c>
      <c r="K151" s="33"/>
      <c r="L151" s="33">
        <f t="shared" si="13"/>
        <v>875</v>
      </c>
      <c r="M151" s="33">
        <f t="shared" si="14"/>
        <v>875</v>
      </c>
      <c r="N151" s="33">
        <f t="shared" si="15"/>
        <v>36750</v>
      </c>
    </row>
    <row r="152" spans="1:14" ht="15.5" x14ac:dyDescent="0.35">
      <c r="A152" s="22">
        <v>151</v>
      </c>
      <c r="B152" s="23" t="s">
        <v>428</v>
      </c>
      <c r="C152" s="30">
        <v>43495</v>
      </c>
      <c r="D152" s="31" t="s">
        <v>367</v>
      </c>
      <c r="E152" s="32" t="s">
        <v>265</v>
      </c>
      <c r="F152" s="65" t="s">
        <v>398</v>
      </c>
      <c r="G152" s="29">
        <v>25171010</v>
      </c>
      <c r="H152" s="33">
        <f t="shared" si="12"/>
        <v>41160</v>
      </c>
      <c r="I152" s="34">
        <v>39200</v>
      </c>
      <c r="J152" s="44">
        <v>0.05</v>
      </c>
      <c r="K152" s="33"/>
      <c r="L152" s="33">
        <f t="shared" si="13"/>
        <v>980</v>
      </c>
      <c r="M152" s="33">
        <f t="shared" si="14"/>
        <v>980</v>
      </c>
      <c r="N152" s="33">
        <f t="shared" si="15"/>
        <v>41160</v>
      </c>
    </row>
    <row r="153" spans="1:14" ht="15.5" x14ac:dyDescent="0.35">
      <c r="A153" s="22">
        <v>152</v>
      </c>
      <c r="B153" s="23" t="s">
        <v>428</v>
      </c>
      <c r="C153" s="30">
        <v>43495</v>
      </c>
      <c r="D153" s="31" t="s">
        <v>368</v>
      </c>
      <c r="E153" s="32" t="s">
        <v>265</v>
      </c>
      <c r="F153" s="65" t="s">
        <v>420</v>
      </c>
      <c r="G153" s="29">
        <v>25171010</v>
      </c>
      <c r="H153" s="33">
        <f t="shared" si="12"/>
        <v>30135</v>
      </c>
      <c r="I153" s="34">
        <v>28700</v>
      </c>
      <c r="J153" s="44">
        <v>0.05</v>
      </c>
      <c r="K153" s="33"/>
      <c r="L153" s="33">
        <f t="shared" si="13"/>
        <v>717.5</v>
      </c>
      <c r="M153" s="33">
        <f t="shared" si="14"/>
        <v>717.5</v>
      </c>
      <c r="N153" s="33">
        <f t="shared" si="15"/>
        <v>30135</v>
      </c>
    </row>
    <row r="154" spans="1:14" ht="15.5" x14ac:dyDescent="0.35">
      <c r="A154" s="22">
        <v>153</v>
      </c>
      <c r="B154" s="23" t="s">
        <v>428</v>
      </c>
      <c r="C154" s="30">
        <v>43495</v>
      </c>
      <c r="D154" s="31" t="s">
        <v>369</v>
      </c>
      <c r="E154" s="32" t="s">
        <v>265</v>
      </c>
      <c r="F154" s="65" t="s">
        <v>421</v>
      </c>
      <c r="G154" s="29">
        <v>25171010</v>
      </c>
      <c r="H154" s="33">
        <f t="shared" si="12"/>
        <v>42105</v>
      </c>
      <c r="I154" s="34">
        <v>40100</v>
      </c>
      <c r="J154" s="44">
        <v>0.05</v>
      </c>
      <c r="K154" s="33"/>
      <c r="L154" s="33">
        <f t="shared" si="13"/>
        <v>1002.5</v>
      </c>
      <c r="M154" s="33">
        <f t="shared" si="14"/>
        <v>1002.5</v>
      </c>
      <c r="N154" s="33">
        <f t="shared" si="15"/>
        <v>42105</v>
      </c>
    </row>
    <row r="155" spans="1:14" ht="15.5" x14ac:dyDescent="0.35">
      <c r="A155" s="22">
        <v>154</v>
      </c>
      <c r="B155" s="23" t="s">
        <v>428</v>
      </c>
      <c r="C155" s="30">
        <v>43495</v>
      </c>
      <c r="D155" s="31" t="s">
        <v>371</v>
      </c>
      <c r="E155" s="32" t="s">
        <v>265</v>
      </c>
      <c r="F155" s="65" t="s">
        <v>409</v>
      </c>
      <c r="G155" s="29">
        <v>25171010</v>
      </c>
      <c r="H155" s="33">
        <f t="shared" si="12"/>
        <v>31815</v>
      </c>
      <c r="I155" s="34">
        <v>30300</v>
      </c>
      <c r="J155" s="44">
        <v>0.05</v>
      </c>
      <c r="K155" s="33"/>
      <c r="L155" s="33">
        <f t="shared" si="13"/>
        <v>757.5</v>
      </c>
      <c r="M155" s="33">
        <f t="shared" si="14"/>
        <v>757.5</v>
      </c>
      <c r="N155" s="33">
        <f t="shared" si="15"/>
        <v>31815</v>
      </c>
    </row>
    <row r="156" spans="1:14" ht="15.5" x14ac:dyDescent="0.35">
      <c r="A156" s="22">
        <v>155</v>
      </c>
      <c r="B156" s="23" t="s">
        <v>428</v>
      </c>
      <c r="C156" s="30">
        <v>43495</v>
      </c>
      <c r="D156" s="31" t="s">
        <v>372</v>
      </c>
      <c r="E156" s="32" t="s">
        <v>265</v>
      </c>
      <c r="F156" s="65" t="s">
        <v>412</v>
      </c>
      <c r="G156" s="29">
        <v>25171010</v>
      </c>
      <c r="H156" s="33">
        <f t="shared" si="12"/>
        <v>41790</v>
      </c>
      <c r="I156" s="34">
        <v>39800</v>
      </c>
      <c r="J156" s="44">
        <v>0.05</v>
      </c>
      <c r="K156" s="33"/>
      <c r="L156" s="33">
        <f t="shared" si="13"/>
        <v>995</v>
      </c>
      <c r="M156" s="33">
        <f t="shared" si="14"/>
        <v>995</v>
      </c>
      <c r="N156" s="33">
        <f t="shared" si="15"/>
        <v>41790</v>
      </c>
    </row>
    <row r="157" spans="1:14" ht="15.5" x14ac:dyDescent="0.35">
      <c r="A157" s="22">
        <v>156</v>
      </c>
      <c r="B157" s="23" t="s">
        <v>428</v>
      </c>
      <c r="C157" s="30">
        <v>43495</v>
      </c>
      <c r="D157" s="31" t="s">
        <v>373</v>
      </c>
      <c r="E157" s="32" t="s">
        <v>265</v>
      </c>
      <c r="F157" s="65" t="s">
        <v>422</v>
      </c>
      <c r="G157" s="29">
        <v>25171010</v>
      </c>
      <c r="H157" s="33">
        <f t="shared" si="12"/>
        <v>39375</v>
      </c>
      <c r="I157" s="34">
        <v>37500</v>
      </c>
      <c r="J157" s="44">
        <v>0.05</v>
      </c>
      <c r="K157" s="33"/>
      <c r="L157" s="33">
        <f t="shared" si="13"/>
        <v>937.5</v>
      </c>
      <c r="M157" s="33">
        <f t="shared" si="14"/>
        <v>937.5</v>
      </c>
      <c r="N157" s="33">
        <f t="shared" si="15"/>
        <v>39375</v>
      </c>
    </row>
    <row r="158" spans="1:14" ht="15.5" x14ac:dyDescent="0.35">
      <c r="A158" s="22">
        <v>157</v>
      </c>
      <c r="B158" s="23" t="s">
        <v>428</v>
      </c>
      <c r="C158" s="30">
        <v>43496</v>
      </c>
      <c r="D158" s="31" t="s">
        <v>374</v>
      </c>
      <c r="E158" s="32" t="s">
        <v>265</v>
      </c>
      <c r="F158" s="65" t="s">
        <v>423</v>
      </c>
      <c r="G158" s="29">
        <v>25171010</v>
      </c>
      <c r="H158" s="33">
        <f t="shared" si="12"/>
        <v>35175</v>
      </c>
      <c r="I158" s="34">
        <v>33500</v>
      </c>
      <c r="J158" s="44">
        <v>0.05</v>
      </c>
      <c r="K158" s="33"/>
      <c r="L158" s="33">
        <f t="shared" si="13"/>
        <v>837.5</v>
      </c>
      <c r="M158" s="33">
        <f t="shared" si="14"/>
        <v>837.5</v>
      </c>
      <c r="N158" s="33">
        <f t="shared" si="15"/>
        <v>35175</v>
      </c>
    </row>
    <row r="159" spans="1:14" ht="15.5" x14ac:dyDescent="0.35">
      <c r="A159" s="22">
        <v>158</v>
      </c>
      <c r="B159" s="23" t="s">
        <v>428</v>
      </c>
      <c r="C159" s="30">
        <v>43496</v>
      </c>
      <c r="D159" s="31" t="s">
        <v>375</v>
      </c>
      <c r="E159" s="32" t="s">
        <v>265</v>
      </c>
      <c r="F159" s="65" t="s">
        <v>385</v>
      </c>
      <c r="G159" s="29">
        <v>25171010</v>
      </c>
      <c r="H159" s="33">
        <f t="shared" si="12"/>
        <v>42000</v>
      </c>
      <c r="I159" s="34">
        <v>40000</v>
      </c>
      <c r="J159" s="44">
        <v>0.05</v>
      </c>
      <c r="K159" s="33"/>
      <c r="L159" s="33">
        <f t="shared" si="13"/>
        <v>1000</v>
      </c>
      <c r="M159" s="33">
        <f t="shared" si="14"/>
        <v>1000</v>
      </c>
      <c r="N159" s="33">
        <f t="shared" si="15"/>
        <v>42000</v>
      </c>
    </row>
    <row r="160" spans="1:14" ht="15.5" x14ac:dyDescent="0.35">
      <c r="A160" s="22">
        <v>159</v>
      </c>
      <c r="B160" s="23" t="s">
        <v>428</v>
      </c>
      <c r="C160" s="3">
        <v>43496</v>
      </c>
      <c r="D160" s="1" t="s">
        <v>376</v>
      </c>
      <c r="E160" s="2" t="s">
        <v>265</v>
      </c>
      <c r="F160" s="66" t="s">
        <v>364</v>
      </c>
      <c r="G160" s="6">
        <v>25171010</v>
      </c>
      <c r="H160" s="24">
        <f t="shared" ref="H160:H165" si="16">N160</f>
        <v>62275.993499999997</v>
      </c>
      <c r="I160" s="26">
        <v>59310.47</v>
      </c>
      <c r="J160" s="40">
        <v>0.05</v>
      </c>
      <c r="K160" s="24"/>
      <c r="L160" s="24">
        <f t="shared" ref="L160:L165" si="17">+I160*2.5/100</f>
        <v>1482.7617499999999</v>
      </c>
      <c r="M160" s="24">
        <f t="shared" ref="M160:M165" si="18">+I160*2.5/100</f>
        <v>1482.7617499999999</v>
      </c>
      <c r="N160" s="24">
        <f t="shared" ref="N160:N165" si="19">+I160+L160+M160</f>
        <v>62275.993499999997</v>
      </c>
    </row>
    <row r="161" spans="1:14" ht="15.5" x14ac:dyDescent="0.35">
      <c r="A161" s="22">
        <v>160</v>
      </c>
      <c r="B161" s="23" t="s">
        <v>428</v>
      </c>
      <c r="C161" s="3">
        <v>43496</v>
      </c>
      <c r="D161" s="1" t="s">
        <v>377</v>
      </c>
      <c r="E161" s="2" t="s">
        <v>265</v>
      </c>
      <c r="F161" s="66" t="s">
        <v>359</v>
      </c>
      <c r="G161" s="6">
        <v>25171010</v>
      </c>
      <c r="H161" s="24">
        <f t="shared" si="16"/>
        <v>374907.00449999998</v>
      </c>
      <c r="I161" s="26">
        <v>357054.29</v>
      </c>
      <c r="J161" s="40">
        <v>0.05</v>
      </c>
      <c r="K161" s="24"/>
      <c r="L161" s="24">
        <f t="shared" si="17"/>
        <v>8926.3572499999991</v>
      </c>
      <c r="M161" s="24">
        <f t="shared" si="18"/>
        <v>8926.3572499999991</v>
      </c>
      <c r="N161" s="24">
        <f t="shared" si="19"/>
        <v>374907.00449999998</v>
      </c>
    </row>
    <row r="162" spans="1:14" ht="15.5" x14ac:dyDescent="0.35">
      <c r="A162" s="22">
        <v>161</v>
      </c>
      <c r="B162" s="23" t="s">
        <v>428</v>
      </c>
      <c r="C162" s="3">
        <v>43496</v>
      </c>
      <c r="D162" s="1" t="s">
        <v>378</v>
      </c>
      <c r="E162" s="2" t="s">
        <v>265</v>
      </c>
      <c r="F162" s="66" t="s">
        <v>360</v>
      </c>
      <c r="G162" s="6">
        <v>25171010</v>
      </c>
      <c r="H162" s="24">
        <f t="shared" si="16"/>
        <v>84456.004499999995</v>
      </c>
      <c r="I162" s="26">
        <v>80434.289999999994</v>
      </c>
      <c r="J162" s="40">
        <v>0.05</v>
      </c>
      <c r="K162" s="24"/>
      <c r="L162" s="24">
        <f t="shared" si="17"/>
        <v>2010.8572499999998</v>
      </c>
      <c r="M162" s="24">
        <f t="shared" si="18"/>
        <v>2010.8572499999998</v>
      </c>
      <c r="N162" s="24">
        <f t="shared" si="19"/>
        <v>84456.004499999995</v>
      </c>
    </row>
    <row r="163" spans="1:14" ht="15.5" x14ac:dyDescent="0.35">
      <c r="A163" s="22">
        <v>162</v>
      </c>
      <c r="B163" s="23" t="s">
        <v>428</v>
      </c>
      <c r="C163" s="3">
        <v>43496</v>
      </c>
      <c r="D163" s="1" t="s">
        <v>379</v>
      </c>
      <c r="E163" s="2" t="s">
        <v>265</v>
      </c>
      <c r="F163" s="66" t="s">
        <v>361</v>
      </c>
      <c r="G163" s="6">
        <v>25171010</v>
      </c>
      <c r="H163" s="24">
        <f t="shared" si="16"/>
        <v>71398.991999999984</v>
      </c>
      <c r="I163" s="26">
        <v>67999.039999999994</v>
      </c>
      <c r="J163" s="40">
        <v>0.05</v>
      </c>
      <c r="K163" s="24"/>
      <c r="L163" s="24">
        <f t="shared" si="17"/>
        <v>1699.9759999999997</v>
      </c>
      <c r="M163" s="24">
        <f t="shared" si="18"/>
        <v>1699.9759999999997</v>
      </c>
      <c r="N163" s="24">
        <f t="shared" si="19"/>
        <v>71398.991999999984</v>
      </c>
    </row>
    <row r="164" spans="1:14" ht="15.5" x14ac:dyDescent="0.35">
      <c r="A164" s="22">
        <v>163</v>
      </c>
      <c r="B164" s="23" t="s">
        <v>428</v>
      </c>
      <c r="C164" s="3">
        <v>43496</v>
      </c>
      <c r="D164" s="1" t="s">
        <v>380</v>
      </c>
      <c r="E164" s="2" t="s">
        <v>265</v>
      </c>
      <c r="F164" s="66" t="s">
        <v>362</v>
      </c>
      <c r="G164" s="6">
        <v>25171010</v>
      </c>
      <c r="H164" s="24">
        <f t="shared" si="16"/>
        <v>4091.9969999999998</v>
      </c>
      <c r="I164" s="26">
        <v>3897.14</v>
      </c>
      <c r="J164" s="40">
        <v>0.05</v>
      </c>
      <c r="K164" s="24"/>
      <c r="L164" s="24">
        <f t="shared" si="17"/>
        <v>97.4285</v>
      </c>
      <c r="M164" s="24">
        <f t="shared" si="18"/>
        <v>97.4285</v>
      </c>
      <c r="N164" s="24">
        <f t="shared" si="19"/>
        <v>4091.9969999999998</v>
      </c>
    </row>
    <row r="165" spans="1:14" ht="15.5" x14ac:dyDescent="0.35">
      <c r="A165" s="22">
        <v>164</v>
      </c>
      <c r="B165" s="23" t="s">
        <v>428</v>
      </c>
      <c r="C165" s="3">
        <v>43496</v>
      </c>
      <c r="D165" s="1" t="s">
        <v>381</v>
      </c>
      <c r="E165" s="2" t="s">
        <v>265</v>
      </c>
      <c r="F165" s="66" t="s">
        <v>370</v>
      </c>
      <c r="G165" s="6">
        <v>25171010</v>
      </c>
      <c r="H165" s="24">
        <f t="shared" si="16"/>
        <v>12423</v>
      </c>
      <c r="I165" s="26">
        <f>12423/105*100</f>
        <v>11831.428571428572</v>
      </c>
      <c r="J165" s="40">
        <v>0.05</v>
      </c>
      <c r="K165" s="24"/>
      <c r="L165" s="24">
        <f t="shared" si="17"/>
        <v>295.78571428571433</v>
      </c>
      <c r="M165" s="24">
        <f t="shared" si="18"/>
        <v>295.78571428571433</v>
      </c>
      <c r="N165" s="24">
        <f t="shared" si="19"/>
        <v>12423</v>
      </c>
    </row>
  </sheetData>
  <autoFilter ref="A1:N165" xr:uid="{625E3546-7FFE-4A74-AFAB-4CAF12AC85AE}"/>
  <mergeCells count="1">
    <mergeCell ref="E12:E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FE44-3504-4D42-9647-EC22455767C3}">
  <dimension ref="A1:O2"/>
  <sheetViews>
    <sheetView workbookViewId="0">
      <selection activeCell="A2" sqref="A2"/>
    </sheetView>
  </sheetViews>
  <sheetFormatPr defaultRowHeight="14.5" x14ac:dyDescent="0.35"/>
  <cols>
    <col min="1" max="1" width="5" bestFit="1" customWidth="1"/>
    <col min="2" max="2" width="8.90625" bestFit="1" customWidth="1"/>
    <col min="3" max="3" width="9.36328125" bestFit="1" customWidth="1"/>
    <col min="4" max="4" width="18.7265625" bestFit="1" customWidth="1"/>
    <col min="5" max="5" width="17.6328125" bestFit="1" customWidth="1"/>
    <col min="6" max="6" width="18.7265625" bestFit="1" customWidth="1"/>
    <col min="7" max="8" width="18.7265625" customWidth="1"/>
    <col min="9" max="9" width="9.7265625" bestFit="1" customWidth="1"/>
    <col min="10" max="10" width="8.6328125" bestFit="1" customWidth="1"/>
    <col min="11" max="11" width="14.54296875" bestFit="1" customWidth="1"/>
    <col min="12" max="12" width="5.7265625" bestFit="1" customWidth="1"/>
    <col min="13" max="13" width="6.1796875" bestFit="1" customWidth="1"/>
    <col min="14" max="14" width="6.36328125" bestFit="1" customWidth="1"/>
    <col min="15" max="15" width="20.26953125" bestFit="1" customWidth="1"/>
  </cols>
  <sheetData>
    <row r="1" spans="1:15" ht="15.5" x14ac:dyDescent="0.35">
      <c r="A1" s="17" t="s">
        <v>0</v>
      </c>
      <c r="B1" s="17" t="s">
        <v>434</v>
      </c>
      <c r="C1" s="17" t="s">
        <v>3</v>
      </c>
      <c r="D1" s="17" t="s">
        <v>459</v>
      </c>
      <c r="E1" s="17" t="s">
        <v>457</v>
      </c>
      <c r="F1" s="17" t="s">
        <v>458</v>
      </c>
      <c r="G1" s="17" t="s">
        <v>453</v>
      </c>
      <c r="H1" s="17" t="s">
        <v>455</v>
      </c>
      <c r="I1" s="17" t="s">
        <v>454</v>
      </c>
      <c r="J1" s="19" t="s">
        <v>460</v>
      </c>
      <c r="K1" s="18" t="s">
        <v>6</v>
      </c>
      <c r="L1" s="18" t="s">
        <v>8</v>
      </c>
      <c r="M1" s="18" t="s">
        <v>9</v>
      </c>
      <c r="N1" s="18" t="s">
        <v>10</v>
      </c>
      <c r="O1" s="18" t="s">
        <v>456</v>
      </c>
    </row>
    <row r="2" spans="1:15" x14ac:dyDescent="0.35">
      <c r="O2">
        <f>SUM(K2:N2)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8A80A-448C-4C1B-886F-88D4F493B981}">
  <dimension ref="A1:D4"/>
  <sheetViews>
    <sheetView workbookViewId="0">
      <selection activeCell="C10" sqref="C10"/>
    </sheetView>
  </sheetViews>
  <sheetFormatPr defaultRowHeight="14.5" x14ac:dyDescent="0.35"/>
  <cols>
    <col min="1" max="1" width="14.08984375" bestFit="1" customWidth="1"/>
    <col min="2" max="2" width="10.453125" bestFit="1" customWidth="1"/>
    <col min="3" max="3" width="13.90625" customWidth="1"/>
  </cols>
  <sheetData>
    <row r="1" spans="1:4" ht="15.5" x14ac:dyDescent="0.35">
      <c r="A1" s="17" t="s">
        <v>466</v>
      </c>
      <c r="B1" s="17" t="s">
        <v>463</v>
      </c>
      <c r="C1" s="17" t="s">
        <v>434</v>
      </c>
      <c r="D1" s="120" t="s">
        <v>473</v>
      </c>
    </row>
    <row r="2" spans="1:4" x14ac:dyDescent="0.35">
      <c r="A2" t="s">
        <v>467</v>
      </c>
      <c r="B2" t="s">
        <v>464</v>
      </c>
      <c r="C2" t="s">
        <v>431</v>
      </c>
      <c r="D2" t="s">
        <v>474</v>
      </c>
    </row>
    <row r="3" spans="1:4" x14ac:dyDescent="0.35">
      <c r="A3" t="s">
        <v>469</v>
      </c>
      <c r="B3" t="s">
        <v>470</v>
      </c>
      <c r="C3" t="s">
        <v>432</v>
      </c>
      <c r="D3" t="s">
        <v>475</v>
      </c>
    </row>
    <row r="4" spans="1:4" x14ac:dyDescent="0.35">
      <c r="A4" t="s">
        <v>468</v>
      </c>
      <c r="B4" t="s">
        <v>471</v>
      </c>
      <c r="C4" t="s">
        <v>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AAPL Summary</vt:lpstr>
      <vt:lpstr>Purchase</vt:lpstr>
      <vt:lpstr>Sales</vt:lpstr>
      <vt:lpstr>Debit -Credit Note</vt:lpstr>
      <vt:lpstr>Naming Sheet</vt:lpstr>
      <vt:lpstr>Category</vt:lpstr>
      <vt:lpstr>Party_Type</vt:lpstr>
      <vt:lpstr>'AAPL Summary'!Print_Titles</vt:lpstr>
      <vt:lpstr>Purchase_Type</vt:lpstr>
      <vt:lpstr>RCM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2019-03-27T16:25:44Z</dcterms:modified>
</cp:coreProperties>
</file>