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G:\LAGRING\DBH\Rapportering pr 15 februar 2025\"/>
    </mc:Choice>
  </mc:AlternateContent>
  <bookViews>
    <workbookView xWindow="0" yWindow="0" windowWidth="13800" windowHeight="10590" firstSheet="5" activeTab="8"/>
  </bookViews>
  <sheets>
    <sheet name="Prinsippnote" sheetId="2" r:id="rId1"/>
    <sheet name="Resultatregnskap" sheetId="3" r:id="rId2"/>
    <sheet name="Balanse - eiendeler" sheetId="4" r:id="rId3"/>
    <sheet name="Balanse - gjeld og egenkapital" sheetId="5" r:id="rId4"/>
    <sheet name=" Kontantstrøm IND" sheetId="6" r:id="rId5"/>
    <sheet name="Kontantstrøm DIR" sheetId="27" r:id="rId6"/>
    <sheet name="Note 1" sheetId="7" r:id="rId7"/>
    <sheet name="Note 2" sheetId="8" r:id="rId8"/>
    <sheet name="Note  3 og 4" sheetId="9" r:id="rId9"/>
    <sheet name="Note 5 og 6" sheetId="12" r:id="rId10"/>
    <sheet name="Note 7" sheetId="23" r:id="rId11"/>
    <sheet name="Note 8" sheetId="24" r:id="rId12"/>
    <sheet name="Note 9 og 10" sheetId="13" r:id="rId13"/>
    <sheet name="Note 11" sheetId="25" r:id="rId14"/>
    <sheet name="Note 12" sheetId="31" r:id="rId15"/>
    <sheet name="Note 20" sheetId="26" r:id="rId16"/>
    <sheet name="Note 21" sheetId="19" r:id="rId17"/>
    <sheet name="Note 25" sheetId="17" r:id="rId18"/>
    <sheet name="Note 30" sheetId="34" r:id="rId19"/>
    <sheet name="Note 32" sheetId="18" r:id="rId20"/>
  </sheet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28" i="25" l="1"/>
  <c r="B28" i="25"/>
  <c r="C11" i="3" l="1"/>
  <c r="C13" i="3"/>
  <c r="E25" i="12" l="1"/>
  <c r="D25" i="12"/>
  <c r="D36" i="12" l="1"/>
  <c r="B36" i="12"/>
  <c r="D16" i="31" l="1"/>
  <c r="B16" i="31"/>
  <c r="B11" i="25"/>
  <c r="B10" i="25"/>
  <c r="B7" i="25"/>
  <c r="B7" i="13"/>
  <c r="B12" i="13"/>
  <c r="B8" i="13"/>
  <c r="F15" i="24"/>
  <c r="F14" i="24"/>
  <c r="F8" i="24"/>
  <c r="F7" i="24"/>
  <c r="B15" i="23"/>
  <c r="B14" i="23"/>
  <c r="B7" i="23"/>
  <c r="B24" i="9"/>
  <c r="B23" i="9"/>
  <c r="B22" i="9"/>
  <c r="D60" i="12"/>
  <c r="B43" i="9"/>
  <c r="B41" i="9"/>
  <c r="B36" i="9"/>
  <c r="B34" i="9"/>
  <c r="B33" i="9"/>
  <c r="B18" i="9"/>
  <c r="B17" i="9"/>
  <c r="B16" i="9"/>
  <c r="B15" i="9"/>
  <c r="B14" i="9"/>
  <c r="B12" i="9"/>
  <c r="B11" i="9"/>
  <c r="B9" i="9"/>
  <c r="B8" i="9"/>
  <c r="B9" i="8" l="1"/>
  <c r="B14" i="8"/>
  <c r="B13" i="8"/>
  <c r="B12" i="8"/>
  <c r="B11" i="8"/>
  <c r="B10" i="8"/>
  <c r="B8" i="7"/>
  <c r="B90" i="7"/>
  <c r="B51" i="7"/>
  <c r="B52" i="7"/>
  <c r="B89" i="7"/>
  <c r="B76" i="7"/>
  <c r="B77" i="7"/>
  <c r="B75" i="7"/>
  <c r="C52" i="6"/>
  <c r="C34" i="6"/>
  <c r="C46" i="6"/>
  <c r="C25" i="6"/>
  <c r="C14" i="6"/>
  <c r="C20" i="6"/>
  <c r="C17" i="6"/>
  <c r="C16" i="6"/>
  <c r="C12" i="6"/>
  <c r="C9" i="6"/>
  <c r="C44" i="5"/>
  <c r="C46" i="5"/>
  <c r="C47" i="5"/>
  <c r="C19" i="5"/>
  <c r="C12" i="5"/>
  <c r="C55" i="4"/>
  <c r="C56" i="4"/>
  <c r="C42" i="4"/>
  <c r="C41" i="4"/>
  <c r="C31" i="4" l="1"/>
  <c r="C26" i="4"/>
  <c r="C24" i="4"/>
  <c r="C19" i="4"/>
  <c r="C11" i="4"/>
  <c r="C21" i="3"/>
  <c r="C19" i="3"/>
  <c r="C18" i="3"/>
  <c r="C12" i="3"/>
  <c r="C31" i="19"/>
  <c r="D31" i="19"/>
  <c r="B31" i="19"/>
  <c r="E29" i="19"/>
  <c r="E27" i="19"/>
  <c r="E10" i="19"/>
  <c r="C30" i="3" l="1"/>
  <c r="C28" i="3"/>
  <c r="C27" i="3"/>
  <c r="D52" i="6" l="1"/>
  <c r="D25" i="6"/>
  <c r="D46" i="6"/>
  <c r="D20" i="6"/>
  <c r="D17" i="6"/>
  <c r="D16" i="6"/>
  <c r="D12" i="6"/>
  <c r="D9" i="6"/>
  <c r="D14" i="6"/>
  <c r="B28" i="19" l="1"/>
  <c r="B29" i="19"/>
  <c r="B30" i="19"/>
  <c r="B27" i="19"/>
  <c r="B18" i="19"/>
  <c r="B19" i="19"/>
  <c r="B20" i="19"/>
  <c r="B21" i="19"/>
  <c r="B17" i="19"/>
  <c r="B11" i="19"/>
  <c r="B12" i="19"/>
  <c r="B13" i="19"/>
  <c r="B10" i="19"/>
  <c r="C11" i="25"/>
  <c r="C10" i="25"/>
  <c r="C7" i="25"/>
  <c r="C12" i="13"/>
  <c r="C8" i="13"/>
  <c r="C7" i="13"/>
  <c r="E60" i="12"/>
  <c r="C34" i="9"/>
  <c r="C43" i="9"/>
  <c r="C41" i="9"/>
  <c r="C33" i="9"/>
  <c r="C36" i="9"/>
  <c r="C24" i="9"/>
  <c r="C23" i="9"/>
  <c r="C22" i="9"/>
  <c r="C17" i="9"/>
  <c r="C16" i="9"/>
  <c r="C15" i="9"/>
  <c r="C14" i="9"/>
  <c r="C12" i="9"/>
  <c r="C11" i="9"/>
  <c r="C9" i="9"/>
  <c r="C8" i="9"/>
  <c r="C14" i="8"/>
  <c r="C13" i="8"/>
  <c r="C12" i="8"/>
  <c r="C11" i="8"/>
  <c r="C10" i="8"/>
  <c r="C90" i="7"/>
  <c r="C89" i="7"/>
  <c r="C77" i="7"/>
  <c r="C75" i="7"/>
  <c r="C52" i="7"/>
  <c r="C45" i="7"/>
  <c r="C8" i="7"/>
  <c r="D47" i="5"/>
  <c r="D46" i="5"/>
  <c r="D44" i="5"/>
  <c r="D19" i="5"/>
  <c r="D12" i="5"/>
  <c r="D56" i="4"/>
  <c r="D55" i="4"/>
  <c r="D42" i="4"/>
  <c r="D41" i="4"/>
  <c r="D31" i="4"/>
  <c r="D26" i="4"/>
  <c r="D24" i="4"/>
  <c r="D19" i="4"/>
  <c r="D21" i="4" s="1"/>
  <c r="D11" i="4"/>
  <c r="D40" i="3"/>
  <c r="D30" i="3"/>
  <c r="D28" i="3"/>
  <c r="D27" i="3"/>
  <c r="D21" i="3"/>
  <c r="D19" i="3"/>
  <c r="D18" i="3"/>
  <c r="D13" i="3"/>
  <c r="D12" i="3"/>
  <c r="D11" i="3"/>
  <c r="D10" i="3"/>
  <c r="C13" i="17" l="1"/>
  <c r="C12" i="17"/>
  <c r="B13" i="17"/>
  <c r="B12" i="17"/>
  <c r="C59" i="27" l="1"/>
  <c r="C30" i="6"/>
  <c r="C32" i="4"/>
  <c r="C27" i="27"/>
  <c r="C25" i="27"/>
  <c r="C18" i="27"/>
  <c r="C21" i="4"/>
  <c r="D31" i="3"/>
  <c r="C31" i="3"/>
  <c r="C78" i="7"/>
  <c r="E28" i="19"/>
  <c r="E30" i="19"/>
  <c r="E35" i="19"/>
  <c r="E42" i="19"/>
  <c r="E41" i="19"/>
  <c r="E18" i="19"/>
  <c r="E19" i="19"/>
  <c r="E20" i="19"/>
  <c r="E21" i="19"/>
  <c r="E17" i="19"/>
  <c r="E12" i="19"/>
  <c r="E13" i="19"/>
  <c r="E11" i="19"/>
  <c r="E63" i="12"/>
  <c r="D63" i="12"/>
  <c r="E28" i="12"/>
  <c r="D28" i="12"/>
  <c r="E14" i="19" l="1"/>
  <c r="E22" i="19"/>
  <c r="C55" i="12"/>
  <c r="G12" i="34" l="1"/>
  <c r="F12" i="34"/>
  <c r="E12" i="34"/>
  <c r="D12" i="34"/>
  <c r="C12" i="34"/>
  <c r="H11" i="34"/>
  <c r="H10" i="34"/>
  <c r="H9" i="34"/>
  <c r="H8" i="34"/>
  <c r="H12" i="34" l="1"/>
  <c r="D21" i="6"/>
  <c r="D74" i="27" l="1"/>
  <c r="C74" i="27"/>
  <c r="D7" i="27" l="1"/>
  <c r="D33" i="12" l="1"/>
  <c r="D14" i="19" l="1"/>
  <c r="C14" i="19"/>
  <c r="B14" i="19"/>
  <c r="B11" i="26"/>
  <c r="B17" i="31"/>
  <c r="C13" i="25"/>
  <c r="B13" i="25"/>
  <c r="B14" i="13"/>
  <c r="B22" i="13"/>
  <c r="D49" i="12"/>
  <c r="B25" i="9"/>
  <c r="C19" i="9"/>
  <c r="B19" i="9"/>
  <c r="B15" i="8"/>
  <c r="D36" i="27"/>
  <c r="D48" i="6"/>
  <c r="C48" i="6"/>
  <c r="D30" i="6"/>
  <c r="C21" i="6"/>
  <c r="D57" i="4"/>
  <c r="C57" i="4"/>
  <c r="D52" i="4"/>
  <c r="C52" i="4"/>
  <c r="D44" i="4"/>
  <c r="C44" i="4"/>
  <c r="D38" i="4"/>
  <c r="C38" i="4"/>
  <c r="D32" i="4"/>
  <c r="C14" i="4"/>
  <c r="D43" i="3"/>
  <c r="D22" i="3"/>
  <c r="C22" i="3"/>
  <c r="C14" i="3"/>
  <c r="D14" i="3"/>
  <c r="C22" i="19"/>
  <c r="B22" i="19"/>
  <c r="D43" i="19"/>
  <c r="C43" i="19"/>
  <c r="D22" i="19"/>
  <c r="C59" i="4" l="1"/>
  <c r="E31" i="19"/>
  <c r="D24" i="3"/>
  <c r="D33" i="3" s="1"/>
  <c r="D37" i="3" s="1"/>
  <c r="C24" i="3"/>
  <c r="C33" i="3" s="1"/>
  <c r="C37" i="3" s="1"/>
  <c r="D24" i="19"/>
  <c r="D33" i="19" s="1"/>
  <c r="D37" i="19" s="1"/>
  <c r="C24" i="19"/>
  <c r="C33" i="19" s="1"/>
  <c r="C37" i="19" s="1"/>
  <c r="B24" i="19"/>
  <c r="B11" i="24"/>
  <c r="B17" i="24" s="1"/>
  <c r="B20" i="17" l="1"/>
  <c r="C40" i="3"/>
  <c r="C43" i="3" s="1"/>
  <c r="B33" i="19"/>
  <c r="E24" i="19"/>
  <c r="F11" i="24"/>
  <c r="F17" i="24" s="1"/>
  <c r="E11" i="24"/>
  <c r="E17" i="24" s="1"/>
  <c r="D11" i="24"/>
  <c r="D17" i="24" s="1"/>
  <c r="C11" i="24"/>
  <c r="C17" i="24" s="1"/>
  <c r="C11" i="23"/>
  <c r="C17" i="23" s="1"/>
  <c r="D11" i="23"/>
  <c r="D17" i="23" s="1"/>
  <c r="B11" i="23"/>
  <c r="B17" i="23" s="1"/>
  <c r="B37" i="19" l="1"/>
  <c r="E33" i="19"/>
  <c r="E17" i="23"/>
  <c r="G17" i="24"/>
  <c r="C11" i="26"/>
  <c r="C22" i="13"/>
  <c r="E37" i="19" l="1"/>
  <c r="B40" i="19"/>
  <c r="G16" i="31"/>
  <c r="G15" i="31"/>
  <c r="G14" i="31"/>
  <c r="G13" i="31"/>
  <c r="G12" i="31"/>
  <c r="F16" i="31"/>
  <c r="F15" i="31"/>
  <c r="F14" i="31"/>
  <c r="F13" i="31"/>
  <c r="F12" i="31"/>
  <c r="H12" i="31" s="1"/>
  <c r="C10" i="7"/>
  <c r="B10" i="7"/>
  <c r="E40" i="19" l="1"/>
  <c r="E43" i="19" s="1"/>
  <c r="B43" i="19"/>
  <c r="F17" i="31"/>
  <c r="G17" i="31"/>
  <c r="E37" i="12"/>
  <c r="C37" i="12"/>
  <c r="E43" i="12"/>
  <c r="C43" i="12"/>
  <c r="E49" i="12"/>
  <c r="C49" i="12"/>
  <c r="E55" i="12"/>
  <c r="E12" i="12"/>
  <c r="C12" i="12"/>
  <c r="E20" i="12"/>
  <c r="C20" i="12"/>
  <c r="A2" i="31"/>
  <c r="H16" i="31"/>
  <c r="H15" i="31"/>
  <c r="H13" i="31"/>
  <c r="E17" i="31"/>
  <c r="D17" i="31"/>
  <c r="C17" i="31"/>
  <c r="H14" i="31" l="1"/>
  <c r="H17" i="31" s="1"/>
  <c r="D25" i="27" l="1"/>
  <c r="D18" i="27"/>
  <c r="D54" i="27" l="1"/>
  <c r="C54" i="27"/>
  <c r="C36" i="27"/>
  <c r="D27" i="27"/>
  <c r="E7" i="27"/>
  <c r="C7" i="27"/>
  <c r="A5" i="27"/>
  <c r="A2" i="27"/>
  <c r="C57" i="27" l="1"/>
  <c r="D57" i="27"/>
  <c r="D59" i="27" s="1"/>
  <c r="C6" i="26"/>
  <c r="B6" i="26"/>
  <c r="D6" i="13"/>
  <c r="A5" i="13"/>
  <c r="D6" i="18"/>
  <c r="A2" i="26"/>
  <c r="C6" i="25"/>
  <c r="B6" i="25"/>
  <c r="C6" i="13"/>
  <c r="C11" i="13" s="1"/>
  <c r="C18" i="13" s="1"/>
  <c r="B6" i="13"/>
  <c r="B11" i="13" s="1"/>
  <c r="B18" i="13" s="1"/>
  <c r="A2" i="13"/>
  <c r="C14" i="13"/>
  <c r="C9" i="13"/>
  <c r="B9" i="13"/>
  <c r="A2" i="25" l="1"/>
  <c r="D55" i="12" l="1"/>
  <c r="B55" i="12"/>
  <c r="B49" i="12"/>
  <c r="D43" i="12"/>
  <c r="B43" i="12"/>
  <c r="D37" i="12"/>
  <c r="B37" i="12"/>
  <c r="C44" i="9"/>
  <c r="B44" i="9"/>
  <c r="C37" i="9"/>
  <c r="B37" i="9"/>
  <c r="C46" i="9" l="1"/>
  <c r="B46" i="9"/>
  <c r="A2" i="17" l="1"/>
  <c r="G16" i="24" l="1"/>
  <c r="G15" i="24"/>
  <c r="G14" i="24"/>
  <c r="G13" i="24"/>
  <c r="G12" i="24"/>
  <c r="G11" i="24"/>
  <c r="G10" i="24"/>
  <c r="G9" i="24"/>
  <c r="G8" i="24"/>
  <c r="G7" i="24"/>
  <c r="A5" i="24"/>
  <c r="A2" i="24"/>
  <c r="E16" i="23"/>
  <c r="E15" i="23"/>
  <c r="E14" i="23"/>
  <c r="E13" i="23"/>
  <c r="E12" i="23"/>
  <c r="E11" i="23"/>
  <c r="E10" i="23"/>
  <c r="E9" i="23"/>
  <c r="E8" i="23"/>
  <c r="E7" i="23"/>
  <c r="A5" i="23"/>
  <c r="A2" i="23"/>
  <c r="C25" i="9"/>
  <c r="A5" i="12" l="1"/>
  <c r="A5" i="9"/>
  <c r="A5" i="8"/>
  <c r="A5" i="7"/>
  <c r="A5" i="6"/>
  <c r="A5" i="5"/>
  <c r="A5" i="4"/>
  <c r="A2" i="19" l="1"/>
  <c r="D20" i="12"/>
  <c r="B20" i="12"/>
  <c r="D12" i="12"/>
  <c r="B12" i="12"/>
  <c r="D7" i="5" l="1"/>
  <c r="A2" i="18" l="1"/>
  <c r="C6" i="18" l="1"/>
  <c r="B6" i="18"/>
  <c r="B10" i="17" l="1"/>
  <c r="C15" i="8"/>
  <c r="D8" i="8"/>
  <c r="C8" i="8"/>
  <c r="B8" i="8"/>
  <c r="C38" i="7"/>
  <c r="B38" i="7"/>
  <c r="C73" i="7"/>
  <c r="B73" i="7"/>
  <c r="B78" i="7" s="1"/>
  <c r="C56" i="7"/>
  <c r="B56" i="7"/>
  <c r="C48" i="7"/>
  <c r="B48" i="7"/>
  <c r="C43" i="7"/>
  <c r="B43" i="7"/>
  <c r="C22" i="7"/>
  <c r="B22" i="7"/>
  <c r="C17" i="7"/>
  <c r="B17" i="7"/>
  <c r="B59" i="7" l="1"/>
  <c r="B14" i="17" s="1"/>
  <c r="C59" i="7"/>
  <c r="C14" i="17" s="1"/>
  <c r="C12" i="18"/>
  <c r="C9" i="18"/>
  <c r="B17" i="18"/>
  <c r="C13" i="18"/>
  <c r="C17" i="18"/>
  <c r="B12" i="18"/>
  <c r="B9" i="18"/>
  <c r="C8" i="18"/>
  <c r="B8" i="18"/>
  <c r="B18" i="18"/>
  <c r="C18" i="18"/>
  <c r="C19" i="18"/>
  <c r="B13" i="18"/>
  <c r="B19" i="18"/>
  <c r="B24" i="7"/>
  <c r="B26" i="7" s="1"/>
  <c r="C24" i="7"/>
  <c r="C26" i="7" s="1"/>
  <c r="C10" i="18" l="1"/>
  <c r="B10" i="18"/>
  <c r="C20" i="18"/>
  <c r="C14" i="18"/>
  <c r="B14" i="18"/>
  <c r="B20" i="18"/>
  <c r="D6" i="7"/>
  <c r="C6" i="7"/>
  <c r="B6" i="7"/>
  <c r="C7" i="6"/>
  <c r="C34" i="7" l="1"/>
  <c r="B34" i="7"/>
  <c r="C16" i="17"/>
  <c r="B16" i="17"/>
  <c r="C10" i="17"/>
  <c r="D7" i="12"/>
  <c r="D15" i="12" s="1"/>
  <c r="E23" i="12" s="1"/>
  <c r="B7" i="12"/>
  <c r="B15" i="12" s="1"/>
  <c r="B33" i="12" s="1"/>
  <c r="A2" i="12"/>
  <c r="D6" i="9"/>
  <c r="C6" i="9"/>
  <c r="C21" i="9" s="1"/>
  <c r="C32" i="9" s="1"/>
  <c r="B6" i="9"/>
  <c r="B21" i="9" s="1"/>
  <c r="B32" i="9" s="1"/>
  <c r="A2" i="9"/>
  <c r="A2" i="8"/>
  <c r="C91" i="7"/>
  <c r="C93" i="7" s="1"/>
  <c r="B91" i="7"/>
  <c r="B93" i="7" s="1"/>
  <c r="A2" i="7"/>
  <c r="E7" i="6"/>
  <c r="A2" i="6"/>
  <c r="D48" i="5"/>
  <c r="C28" i="17" s="1"/>
  <c r="C48" i="5"/>
  <c r="D39" i="5"/>
  <c r="C39" i="5"/>
  <c r="D32" i="5"/>
  <c r="C32" i="5"/>
  <c r="D20" i="5"/>
  <c r="D15" i="5"/>
  <c r="C15" i="5"/>
  <c r="E7" i="5"/>
  <c r="C7" i="5"/>
  <c r="A2" i="5"/>
  <c r="D14" i="4"/>
  <c r="E7" i="4"/>
  <c r="C7" i="4"/>
  <c r="A2" i="4"/>
  <c r="C18" i="17"/>
  <c r="B18" i="17"/>
  <c r="C11" i="17"/>
  <c r="C15" i="17" s="1"/>
  <c r="B66" i="7" l="1"/>
  <c r="C66" i="7"/>
  <c r="D6" i="25"/>
  <c r="D6" i="26"/>
  <c r="B51" i="12"/>
  <c r="B45" i="12"/>
  <c r="B39" i="12"/>
  <c r="D51" i="12"/>
  <c r="D39" i="12"/>
  <c r="D45" i="12"/>
  <c r="B28" i="17"/>
  <c r="D50" i="5"/>
  <c r="C40" i="17"/>
  <c r="C27" i="17"/>
  <c r="C50" i="5"/>
  <c r="D22" i="5"/>
  <c r="C26" i="17" s="1"/>
  <c r="C38" i="17" s="1"/>
  <c r="C24" i="17"/>
  <c r="C36" i="17" s="1"/>
  <c r="C23" i="17"/>
  <c r="B24" i="17"/>
  <c r="D59" i="4"/>
  <c r="C25" i="17" s="1"/>
  <c r="B19" i="17"/>
  <c r="C17" i="17"/>
  <c r="C33" i="17"/>
  <c r="C39" i="17"/>
  <c r="B33" i="17"/>
  <c r="D51" i="6"/>
  <c r="D53" i="6" s="1"/>
  <c r="B17" i="17"/>
  <c r="B23" i="17"/>
  <c r="B27" i="17"/>
  <c r="B11" i="17"/>
  <c r="B39" i="17" l="1"/>
  <c r="B15" i="17"/>
  <c r="C85" i="7"/>
  <c r="B85" i="7"/>
  <c r="B25" i="17"/>
  <c r="B35" i="17"/>
  <c r="C35" i="17"/>
  <c r="D52" i="5"/>
  <c r="C29" i="17" s="1"/>
  <c r="C37" i="17" s="1"/>
  <c r="B36" i="17"/>
  <c r="B34" i="17"/>
  <c r="C19" i="17"/>
  <c r="C34" i="17" s="1"/>
  <c r="B40" i="17"/>
  <c r="C20" i="17" l="1"/>
  <c r="C51" i="6" l="1"/>
  <c r="C53" i="6" s="1"/>
  <c r="C20" i="5"/>
  <c r="C22" i="5" l="1"/>
  <c r="B26" i="17" s="1"/>
  <c r="B38" i="17" s="1"/>
  <c r="C52" i="5" l="1"/>
  <c r="B29" i="17" l="1"/>
  <c r="B37" i="17" s="1"/>
  <c r="C41" i="17"/>
  <c r="B41" i="17"/>
</calcChain>
</file>

<file path=xl/sharedStrings.xml><?xml version="1.0" encoding="utf-8"?>
<sst xmlns="http://schemas.openxmlformats.org/spreadsheetml/2006/main" count="1106" uniqueCount="910">
  <si>
    <t>Generelle regnskapsprinsipper</t>
  </si>
  <si>
    <t>Årsregnskapet er utarbeidet etter regnskapslovens bestemmelser, men er presentert i samsvar med Kunnskapsdepartementets rapporteringskrav.</t>
  </si>
  <si>
    <t>Anvendte regnskapsprinsipper</t>
  </si>
  <si>
    <t>Inntekter</t>
  </si>
  <si>
    <t>Kostnader</t>
  </si>
  <si>
    <t>Kostnader som vedrører transaksjonsbaserte inntekter er sammenstilt med de tilsvarende inntekter og kostnadsført i samme periode. Prosjekter innen oppdragsvirksomhet er behandlet etter metoden løpende avregning uten fortjeneste. Fullføringsgraden er målt som forholdet mellom påløpte kostnader og totalt estimerte kontraktskostnader.</t>
  </si>
  <si>
    <t>Tap</t>
  </si>
  <si>
    <t>Det er ikke foretatt en generell vurdering knyttet til latente tap i aktive oppdragsprosjekter. Eventuelle tap konstateres først ved avslutning av prosjektet og er som hovedregel kostnadsført når en eventuell underdekning i prosjektet er endelig konstatert. For aktive prosjekter hvor det er konstatert sannsynlig tap, er det avsatt for latente tap.</t>
  </si>
  <si>
    <t>Omløpsmidler og kortsiktig gjeld</t>
  </si>
  <si>
    <t>Omløpsmidler og kortsiktig gjeld omfatter poster som forfaller til betaling innen ett år etter anskaffelsestidspunktet, samt poster som knytter seg til varekretsløpet. Øvrige poster er klassifisert som anleggsmiddel/langsiktig gjeld. Fordringer er klassifisert som omløpsmidler hvis de skal tilbakebetales i løpet av ett år etter utbetalingstidspunktet. 
Omløpsmidler er vurdert til det laveste av anskaffelseskost og virkelig verdi. Kortsiktig gjeld balanseføres til nominelt beløp på etableringstidspunktet.</t>
  </si>
  <si>
    <t>Immaterielle eiendeler</t>
  </si>
  <si>
    <t>Eksternt innkjøpte immaterielle eiendeler er vurdert til anskaffelseskost og avskrives over driftsmidlets forventede levetid, men nedskrives til virkelig verdi ved verdifall som ikke forventes å være forbigående.</t>
  </si>
  <si>
    <t>Aksjer og andre finansielle eiendeler</t>
  </si>
  <si>
    <t>Aksjer og andre finansielle eiendeler er vurdert til markedsverdi.</t>
  </si>
  <si>
    <t>Varige driftsmidler</t>
  </si>
  <si>
    <t>Varige driftsmidler er vurdert til anskaffelseskost og avskrives over driftsmidlets forventede levetid, men nedskrives til virkelig verdi ved verdifall som ikke forventes å være forbigående.</t>
  </si>
  <si>
    <t>Varebeholdninger</t>
  </si>
  <si>
    <t>Lager av innkjøpte varer er verdsatt til laveste av anskaffelseskost og virkelig verdi. Egentilvirkede ferdigvarer og varer under tilvirkning er vurdert til full tilvirkningskost. Det er foretatt nedskriving for påregnelig ukurans.</t>
  </si>
  <si>
    <t>Fordringer</t>
  </si>
  <si>
    <t>Internhandel</t>
  </si>
  <si>
    <t>Alle vesentlige interne transaksjoner og mellomværender innen virksomheten er eliminert i regnskapet.</t>
  </si>
  <si>
    <t>Pensjoner og pensjonsforpliktelser</t>
  </si>
  <si>
    <t>Kontantstrøm</t>
  </si>
  <si>
    <t>Kontantstrømanalysen er satt opp etter indirekte metode.</t>
  </si>
  <si>
    <t>Kontoplan</t>
  </si>
  <si>
    <t>Kontoplanen er satt opp etter NS 4102.</t>
  </si>
  <si>
    <t>Resultatregnskap</t>
  </si>
  <si>
    <t>Note</t>
  </si>
  <si>
    <t>Driftsinntekter</t>
  </si>
  <si>
    <t>Offentlige tilskudd</t>
  </si>
  <si>
    <t>RE.011</t>
  </si>
  <si>
    <t>Salgsinntekter</t>
  </si>
  <si>
    <t>RE.012</t>
  </si>
  <si>
    <t>Andre driftsinntekter</t>
  </si>
  <si>
    <t>RE.013</t>
  </si>
  <si>
    <t>Sum driftsinntekter</t>
  </si>
  <si>
    <t>RE.1</t>
  </si>
  <si>
    <t>Driftskostnader</t>
  </si>
  <si>
    <t>Varekostnad</t>
  </si>
  <si>
    <t>RE.021</t>
  </si>
  <si>
    <t>RE.022</t>
  </si>
  <si>
    <t>Avskrivninger</t>
  </si>
  <si>
    <t>RE.023</t>
  </si>
  <si>
    <t>Nedskrivninger</t>
  </si>
  <si>
    <t>RE.024</t>
  </si>
  <si>
    <t>Andre driftskostnader</t>
  </si>
  <si>
    <t>RE.025</t>
  </si>
  <si>
    <t>Sum driftskostnader</t>
  </si>
  <si>
    <t>RE.2</t>
  </si>
  <si>
    <t>Driftsresultat</t>
  </si>
  <si>
    <t>RE.3</t>
  </si>
  <si>
    <t>Finansinntekter og -kostnader</t>
  </si>
  <si>
    <t>Finansinntekter</t>
  </si>
  <si>
    <t>RE.041</t>
  </si>
  <si>
    <t>Finanskostnader</t>
  </si>
  <si>
    <t>RE.042</t>
  </si>
  <si>
    <t>Resultat av finansposter</t>
  </si>
  <si>
    <t>RE.4</t>
  </si>
  <si>
    <t>Resultat før skattekostnad</t>
  </si>
  <si>
    <t>RE.5</t>
  </si>
  <si>
    <t>Skattekostnad</t>
  </si>
  <si>
    <t>RE.061</t>
  </si>
  <si>
    <t>Årsresultat</t>
  </si>
  <si>
    <t>RE.6</t>
  </si>
  <si>
    <t>Disponeringer og overføringer av årsresultat</t>
  </si>
  <si>
    <t>RE.071</t>
  </si>
  <si>
    <t>Konsernbidrag</t>
  </si>
  <si>
    <t>RE.072</t>
  </si>
  <si>
    <t>Andre disponeringer</t>
  </si>
  <si>
    <t>RE.073</t>
  </si>
  <si>
    <t>Sum disponeringer</t>
  </si>
  <si>
    <t>RE.7</t>
  </si>
  <si>
    <t>Balanse - eiendeler</t>
  </si>
  <si>
    <t>EIENDELER</t>
  </si>
  <si>
    <t>A. Anleggsmidler</t>
  </si>
  <si>
    <t>I. Immaterielle eiendeler</t>
  </si>
  <si>
    <t>AI.01</t>
  </si>
  <si>
    <t>AI.02</t>
  </si>
  <si>
    <t>AI.03</t>
  </si>
  <si>
    <t>Sum immaterielle eiendeler</t>
  </si>
  <si>
    <t>AI.1</t>
  </si>
  <si>
    <t>II. Varige driftsmidler</t>
  </si>
  <si>
    <t>Tomter</t>
  </si>
  <si>
    <t>AII.01</t>
  </si>
  <si>
    <t>Bygninger og annen fast eiendom</t>
  </si>
  <si>
    <t>AII.02</t>
  </si>
  <si>
    <t>Maskiner og anlegg</t>
  </si>
  <si>
    <t>AII.03</t>
  </si>
  <si>
    <t>AII.04</t>
  </si>
  <si>
    <t>Anlegg under utførelse</t>
  </si>
  <si>
    <t>Sum varige driftsmidler</t>
  </si>
  <si>
    <t>AII.1</t>
  </si>
  <si>
    <t>III. Finansielle anleggsmidler</t>
  </si>
  <si>
    <t>AIII.01</t>
  </si>
  <si>
    <t>AIII.02</t>
  </si>
  <si>
    <t>Lån til foretak i samme konsern</t>
  </si>
  <si>
    <t>AIII.03</t>
  </si>
  <si>
    <t>AIII.04</t>
  </si>
  <si>
    <t>AIII.05</t>
  </si>
  <si>
    <t>AIII.06</t>
  </si>
  <si>
    <t>AIII.07</t>
  </si>
  <si>
    <t>Sum finansielle anleggsmidler</t>
  </si>
  <si>
    <t>AIII.1</t>
  </si>
  <si>
    <t>B. Omløpsmidler</t>
  </si>
  <si>
    <t>I. Varer</t>
  </si>
  <si>
    <t>BI.01</t>
  </si>
  <si>
    <t>Sum varer</t>
  </si>
  <si>
    <t>BI.1</t>
  </si>
  <si>
    <t>II. Fordringer</t>
  </si>
  <si>
    <t>Kundefordringer</t>
  </si>
  <si>
    <t>BII.01</t>
  </si>
  <si>
    <t>Andre fordringer</t>
  </si>
  <si>
    <t>BII.02</t>
  </si>
  <si>
    <t>BII.03</t>
  </si>
  <si>
    <t>Sum fordringer</t>
  </si>
  <si>
    <t>BII.1</t>
  </si>
  <si>
    <t>III Investeringer</t>
  </si>
  <si>
    <t>BIII.01</t>
  </si>
  <si>
    <t>BIII.02</t>
  </si>
  <si>
    <t>BIII.03</t>
  </si>
  <si>
    <t>Sum investeringer</t>
  </si>
  <si>
    <t>BIII.1</t>
  </si>
  <si>
    <t>IV Bankinnskudd, kontanter og lignende</t>
  </si>
  <si>
    <t>Bankinnskudd</t>
  </si>
  <si>
    <t>BIV.01</t>
  </si>
  <si>
    <t>Kontanter og kontantekvivalenter</t>
  </si>
  <si>
    <t>BIV.02</t>
  </si>
  <si>
    <t>Sum bankinnskudd, kontanter og lignende</t>
  </si>
  <si>
    <t>BIV.1</t>
  </si>
  <si>
    <t>SUM EIENDELER</t>
  </si>
  <si>
    <t>BV.1</t>
  </si>
  <si>
    <t>Balanse - gjeld og egenkapital</t>
  </si>
  <si>
    <t>EGENKAPITAL OG GJELD</t>
  </si>
  <si>
    <t>C. Egenkapital</t>
  </si>
  <si>
    <t>I. Innskutt egenkapital</t>
  </si>
  <si>
    <t>Selskapskapital</t>
  </si>
  <si>
    <t>CI.01</t>
  </si>
  <si>
    <t>Overkursfond</t>
  </si>
  <si>
    <t>CI.02</t>
  </si>
  <si>
    <t>Annen innskutt egenkapital</t>
  </si>
  <si>
    <t>CI.03</t>
  </si>
  <si>
    <t>Sum innskutt egenkapital</t>
  </si>
  <si>
    <t>CI.1</t>
  </si>
  <si>
    <t>II. Opptjent egenkapital</t>
  </si>
  <si>
    <t>Sum opptjent egenkapital</t>
  </si>
  <si>
    <t>CII.1</t>
  </si>
  <si>
    <t>Sum egenkapital</t>
  </si>
  <si>
    <t>CIII.1</t>
  </si>
  <si>
    <t>D. Gjeld</t>
  </si>
  <si>
    <t>I. Avsetning for forpliktelser</t>
  </si>
  <si>
    <t>DI.01</t>
  </si>
  <si>
    <t>DI.02</t>
  </si>
  <si>
    <t>DI.03</t>
  </si>
  <si>
    <t>DI.04</t>
  </si>
  <si>
    <t>DI.05</t>
  </si>
  <si>
    <t>Sum avsetning for forpliktelser</t>
  </si>
  <si>
    <t>DI.1</t>
  </si>
  <si>
    <t>II. Annen langsiktig gjeld</t>
  </si>
  <si>
    <t>DII.01</t>
  </si>
  <si>
    <t>DII.02</t>
  </si>
  <si>
    <t>Gjeld til kredittinstitusjoner</t>
  </si>
  <si>
    <t>DII.03</t>
  </si>
  <si>
    <t>Øvrig langsiktig gjeld</t>
  </si>
  <si>
    <t>DII.04</t>
  </si>
  <si>
    <t>Sum annen langsiktig gjeld</t>
  </si>
  <si>
    <t>DII.1</t>
  </si>
  <si>
    <t>III. Kortsiktig gjeld</t>
  </si>
  <si>
    <t>DIII.01</t>
  </si>
  <si>
    <t>DIII.02</t>
  </si>
  <si>
    <t>Leverandørgjeld</t>
  </si>
  <si>
    <t>DIII.03</t>
  </si>
  <si>
    <t>DIII.04</t>
  </si>
  <si>
    <t>Skyldig offentlige avgifter</t>
  </si>
  <si>
    <t>DIII.05</t>
  </si>
  <si>
    <t>Annen kortsiktig gjeld</t>
  </si>
  <si>
    <t>DIII.06</t>
  </si>
  <si>
    <t>Sum kortsiktig gjeld</t>
  </si>
  <si>
    <t>DIII.1</t>
  </si>
  <si>
    <t>Sum gjeld</t>
  </si>
  <si>
    <t>DIV.1</t>
  </si>
  <si>
    <t>SUM EGENKAPITAL OG GJELD</t>
  </si>
  <si>
    <t>DV.1</t>
  </si>
  <si>
    <t>Kontantstrømmer fra operasjonelle aktiviteter</t>
  </si>
  <si>
    <t>KS.1</t>
  </si>
  <si>
    <t>Periodens betalte skatt</t>
  </si>
  <si>
    <t>KS.2</t>
  </si>
  <si>
    <t>Tap/gevinst ved salg av anleggsmidler</t>
  </si>
  <si>
    <t>KS.3</t>
  </si>
  <si>
    <t>Ordinære avskrivninger</t>
  </si>
  <si>
    <t>KS.4</t>
  </si>
  <si>
    <t>Nedskrivninger av anleggsmidler</t>
  </si>
  <si>
    <t>KS.5</t>
  </si>
  <si>
    <t>Periodisert inntektsføring av tilskudd</t>
  </si>
  <si>
    <t>KS.6</t>
  </si>
  <si>
    <t>Endring i varelager</t>
  </si>
  <si>
    <t>KS.7</t>
  </si>
  <si>
    <t>Endring i kundefordringer</t>
  </si>
  <si>
    <t>KS.8</t>
  </si>
  <si>
    <t>Endring i leverandørgjeld</t>
  </si>
  <si>
    <t>KS.9</t>
  </si>
  <si>
    <t>Endring i pensjonsforpliktelse</t>
  </si>
  <si>
    <t>KS.10</t>
  </si>
  <si>
    <t>Endring i andre avsetninger</t>
  </si>
  <si>
    <t>KS.11</t>
  </si>
  <si>
    <t>Endring i andre tidsavgrensningsposter</t>
  </si>
  <si>
    <t>KS.12</t>
  </si>
  <si>
    <t>Netto kontantstrøm fra operasjonelle aktiviteter</t>
  </si>
  <si>
    <t>KS.OP</t>
  </si>
  <si>
    <t>Kontantstrøm fra investeringsaktiviteter</t>
  </si>
  <si>
    <t>Innbetalinger ved salg av varige driftsmidler</t>
  </si>
  <si>
    <t>KS.13</t>
  </si>
  <si>
    <t>Utbetalinger ved kjøp av varige driftsmidler</t>
  </si>
  <si>
    <t>KS.14</t>
  </si>
  <si>
    <t>Innbetalinger ved salg av aksjer og andeler i andre foretak</t>
  </si>
  <si>
    <t>KS.15</t>
  </si>
  <si>
    <t>Utbetalinger ved kjøp av aksjer og andeler i andre foretak</t>
  </si>
  <si>
    <t>KS.16</t>
  </si>
  <si>
    <t>Utbetalinger ved kjøp av andre investeringer</t>
  </si>
  <si>
    <t>KS.17</t>
  </si>
  <si>
    <t>Innbetalinger ved salg av andre investeringer</t>
  </si>
  <si>
    <t>KS.18</t>
  </si>
  <si>
    <t>Netto kontantstrøm fra investeringsaktiviteter</t>
  </si>
  <si>
    <t>KS.INV</t>
  </si>
  <si>
    <t>Kontantstrømmer fra finansieringsaktiviteter</t>
  </si>
  <si>
    <t>Innbetalinger av statstilskudd, husbank- og andre tilskudd</t>
  </si>
  <si>
    <t>KS.19</t>
  </si>
  <si>
    <t>Utbetalinger  av statstilskudd, husbank- og andre tilskudd</t>
  </si>
  <si>
    <t>KS.20</t>
  </si>
  <si>
    <t>Innbetalinger ved opptak av ny langsiktig gjeld</t>
  </si>
  <si>
    <t>KS.21</t>
  </si>
  <si>
    <t>Utbetalinger  ved nedbetaling av  langsiktig gjeld</t>
  </si>
  <si>
    <t>KS.22</t>
  </si>
  <si>
    <t>Innbetalinger ved opptak av ny kortsiktig gjeld</t>
  </si>
  <si>
    <t>KS.23</t>
  </si>
  <si>
    <t>KS.24</t>
  </si>
  <si>
    <t>Netto endring i kassekreditt</t>
  </si>
  <si>
    <t>KS.25</t>
  </si>
  <si>
    <t>Innbetalinger av egenkapital</t>
  </si>
  <si>
    <t>KS.26</t>
  </si>
  <si>
    <t>Tilbakebetalinger av egenkapital</t>
  </si>
  <si>
    <t>KS.27</t>
  </si>
  <si>
    <t>Utbetalinger av utbytte</t>
  </si>
  <si>
    <t>KS.29</t>
  </si>
  <si>
    <t>Innbetalinger av aksjonærbidrag</t>
  </si>
  <si>
    <t>KS.30</t>
  </si>
  <si>
    <t>Innbetalinger av konsernbidrag</t>
  </si>
  <si>
    <t>KS.31</t>
  </si>
  <si>
    <t>Utbetalinger av konsernbidrag</t>
  </si>
  <si>
    <t>KS.32</t>
  </si>
  <si>
    <t>Andre innbetalinger ved finansieringsaktiviteter</t>
  </si>
  <si>
    <t>KS.33</t>
  </si>
  <si>
    <t>Andre utbetalinger ved finansieringsaktiviteter</t>
  </si>
  <si>
    <t>KS.34</t>
  </si>
  <si>
    <t>Netto kontantstrøm fra finansieringsaktiviteter</t>
  </si>
  <si>
    <t>KS.FIN</t>
  </si>
  <si>
    <t>Effekt av valutakursendringer på kontanter og kontantekvivalenter</t>
  </si>
  <si>
    <t>Netto endring i kontanter og kontantekvivalenter</t>
  </si>
  <si>
    <t>KS.35</t>
  </si>
  <si>
    <t>Beholdning av kontanter og kontantekvivalenter ved periodens begynnelse</t>
  </si>
  <si>
    <t>KS.36</t>
  </si>
  <si>
    <t>Beholdning av kontanter og kontantekvivalenter ved periodens slutt</t>
  </si>
  <si>
    <t>KS.BEH</t>
  </si>
  <si>
    <t>Note 1 Driftsinntekter</t>
  </si>
  <si>
    <t>N1.011</t>
  </si>
  <si>
    <t>N1.012</t>
  </si>
  <si>
    <t>N1.013</t>
  </si>
  <si>
    <t>N1.015</t>
  </si>
  <si>
    <t>N1.1</t>
  </si>
  <si>
    <t>Tilskudd fra EU til undervisning og andre formål</t>
  </si>
  <si>
    <t>N1.3</t>
  </si>
  <si>
    <t>N1.4</t>
  </si>
  <si>
    <t>N1.051</t>
  </si>
  <si>
    <t>N1.053</t>
  </si>
  <si>
    <t>N1.5</t>
  </si>
  <si>
    <t>Husleieinntekter</t>
  </si>
  <si>
    <t>N1.061</t>
  </si>
  <si>
    <t>Gaver</t>
  </si>
  <si>
    <t>N1.063</t>
  </si>
  <si>
    <t>Andre driftsinntekter 1</t>
  </si>
  <si>
    <t>N1.064</t>
  </si>
  <si>
    <t>Andre driftsinntekter 2</t>
  </si>
  <si>
    <t>N1.065</t>
  </si>
  <si>
    <t>Sum andre driftsinntekter</t>
  </si>
  <si>
    <t>N1.6</t>
  </si>
  <si>
    <t>N1.INT</t>
  </si>
  <si>
    <t>Note 2 Lønn og andre personalkostnader</t>
  </si>
  <si>
    <t>N2.011</t>
  </si>
  <si>
    <t>Feriepenger</t>
  </si>
  <si>
    <t>N2.012</t>
  </si>
  <si>
    <t>Arbeidsgiveravgift</t>
  </si>
  <si>
    <t>N2.013</t>
  </si>
  <si>
    <t>Pensjonskostnader</t>
  </si>
  <si>
    <t>N2.014</t>
  </si>
  <si>
    <t>Sykepenger og andre refusjoner</t>
  </si>
  <si>
    <t>N2.015</t>
  </si>
  <si>
    <t>Andre ytelser</t>
  </si>
  <si>
    <t>N2.016</t>
  </si>
  <si>
    <t>Sum lønnskostnader</t>
  </si>
  <si>
    <t>N2.1</t>
  </si>
  <si>
    <t>Antall årsverk:</t>
  </si>
  <si>
    <t>N2.2</t>
  </si>
  <si>
    <t>Note 3 Andre driftskostnader</t>
  </si>
  <si>
    <t>Husleie</t>
  </si>
  <si>
    <t>N3.1</t>
  </si>
  <si>
    <t>Andre kostnader til drift av eiendom og lokaler</t>
  </si>
  <si>
    <t>N3.2</t>
  </si>
  <si>
    <t>IKT-kostnader</t>
  </si>
  <si>
    <t>Revisjonstjenester</t>
  </si>
  <si>
    <t>Kjøp av undervisningstjenester</t>
  </si>
  <si>
    <t>Konsulenttjenester og andre kjøp av tjenester</t>
  </si>
  <si>
    <t>Markedsføring</t>
  </si>
  <si>
    <t>Reise- og møtekostnader</t>
  </si>
  <si>
    <t>Sum Andre driftskostnader</t>
  </si>
  <si>
    <t>Note 4 Finansinntekter og finanskostnader</t>
  </si>
  <si>
    <t>N4.011</t>
  </si>
  <si>
    <t>N4.012</t>
  </si>
  <si>
    <t>Andre finansinntekter</t>
  </si>
  <si>
    <t>N4.013</t>
  </si>
  <si>
    <t>N4.1</t>
  </si>
  <si>
    <t>N4.021</t>
  </si>
  <si>
    <t>Nedskriving av finansielle eiendeler</t>
  </si>
  <si>
    <t>N4.022</t>
  </si>
  <si>
    <t>N4.023</t>
  </si>
  <si>
    <t>N4.2</t>
  </si>
  <si>
    <t>N4.3</t>
  </si>
  <si>
    <t>Kundefordringer til pålydende</t>
  </si>
  <si>
    <t>N7.011</t>
  </si>
  <si>
    <t>Avsatt til latent tap (-)</t>
  </si>
  <si>
    <t>N7.012</t>
  </si>
  <si>
    <t>Sum kundefordringer</t>
  </si>
  <si>
    <t>N7.1</t>
  </si>
  <si>
    <t>Prosjektnavn (tittel)</t>
  </si>
  <si>
    <t>Prosjektets kortnavn (hos EU)</t>
  </si>
  <si>
    <t>Tilskudd fra EUs rammeprogram for forskning</t>
  </si>
  <si>
    <t>Tilskudd fra andre tiltak/programmer finansiert av EU</t>
  </si>
  <si>
    <t>EU.011</t>
  </si>
  <si>
    <t>SUM</t>
  </si>
  <si>
    <t>EU.1</t>
  </si>
  <si>
    <t>Forklaring</t>
  </si>
  <si>
    <t>Nøkkeltall regnes ut automatisk på grunnlag av data i øvrige arkfaner i årsregnskapet.</t>
  </si>
  <si>
    <t>Tabellene skal benyttes til videre databehandling og må derfor ikke endres.</t>
  </si>
  <si>
    <t>Evt kommentarer til tabellene legges inn som tekst under siste tabell.</t>
  </si>
  <si>
    <t>Resultat:</t>
  </si>
  <si>
    <t>-herav andre bidrags- og oppdragsinntekter</t>
  </si>
  <si>
    <t>Lønnskostnader</t>
  </si>
  <si>
    <t>Balanse:</t>
  </si>
  <si>
    <t>Anleggsmidler</t>
  </si>
  <si>
    <t>Omløpsmidler</t>
  </si>
  <si>
    <t>Sum eiendeler</t>
  </si>
  <si>
    <t>Egenkapital</t>
  </si>
  <si>
    <t>Kortsiktig gjeld</t>
  </si>
  <si>
    <t>Sum gjeld og egenkapital</t>
  </si>
  <si>
    <t>Nøkkeltall:</t>
  </si>
  <si>
    <t>Lønnskostnader som andel av totale driftskostnader</t>
  </si>
  <si>
    <t>Resultatgrad (driftsresultat / driftsinntekter)</t>
  </si>
  <si>
    <t>Likviditetsgrad (omløpsmidler/kortsiktig gjeld)</t>
  </si>
  <si>
    <t>Arbeidskapital (omløpsmidler- kortsiktig gjeld)</t>
  </si>
  <si>
    <t>Egenkapitalandel (egenkapital i % av totalkapital)</t>
  </si>
  <si>
    <t>Gearing (kortsiktig gjeld/egenkapital)</t>
  </si>
  <si>
    <t>Statstilskudd fra KD som andel av totale driftsinntekter</t>
  </si>
  <si>
    <t>Studie- og eksamensavgifter som andel av totale driftsinntekter</t>
  </si>
  <si>
    <t>Andre bidrags- og oppdragsinntekter som andel av totale driftsinntekter</t>
  </si>
  <si>
    <t>KS.35A</t>
  </si>
  <si>
    <t>Kundefordringer og andre fordringer er oppført i balansen til pålydende etter fradrag for avsetning til forventet tap. Avsetning til tap er gjort på grunnlag av individuelle vurderinger av de enkelte fordringene. I tillegg er det for kundefordringer gjort en uspesifisert avsetning for å dekke antatt tap.
 </t>
  </si>
  <si>
    <t>Statstilskudd fra Kunnskapsdepartementet - drift</t>
  </si>
  <si>
    <t>Tilskudd/overføringer fra andre departement</t>
  </si>
  <si>
    <t>Periodens tilskudd/overføring 1</t>
  </si>
  <si>
    <t>Periodens tilskudd/overføring 2</t>
  </si>
  <si>
    <t>Andre tilskudd/overføringer i perioden</t>
  </si>
  <si>
    <t>N1.013A</t>
  </si>
  <si>
    <r>
      <t>Tilskudd og overføringer fra statlige etater</t>
    </r>
    <r>
      <rPr>
        <i/>
        <vertAlign val="superscript"/>
        <sz val="11"/>
        <color rgb="FF000000"/>
        <rFont val="Calibri"/>
        <family val="2"/>
        <scheme val="minor"/>
      </rPr>
      <t>1)</t>
    </r>
  </si>
  <si>
    <t xml:space="preserve"> - utbetaling av tilskudd til andre virksomheter (-)</t>
  </si>
  <si>
    <t>N1.013B</t>
  </si>
  <si>
    <t>N1.013C</t>
  </si>
  <si>
    <t>N1.013D</t>
  </si>
  <si>
    <t>Periodens tilskudd/overføring direkte fra NFR</t>
  </si>
  <si>
    <t xml:space="preserve"> + periodens tilskudd fra NFR via andre virksomheter</t>
  </si>
  <si>
    <t>Periodens netto tilskudd fra Norges forskningsråd</t>
  </si>
  <si>
    <t xml:space="preserve"> - utbetaling av tilskudd/overføring fra NFR til andre (-)</t>
  </si>
  <si>
    <t>N1.014A</t>
  </si>
  <si>
    <t>N1.014B</t>
  </si>
  <si>
    <t>N1.014C</t>
  </si>
  <si>
    <t>N1.016</t>
  </si>
  <si>
    <t>Sum tilskudd og overføringer fra statlige etater</t>
  </si>
  <si>
    <r>
      <t>Andre poster som vedrører overføringer fra statlige etater</t>
    </r>
    <r>
      <rPr>
        <vertAlign val="superscript"/>
        <sz val="11"/>
        <color rgb="FF000000"/>
        <rFont val="Calibri"/>
        <family val="2"/>
        <scheme val="minor"/>
      </rPr>
      <t>2)</t>
    </r>
  </si>
  <si>
    <t>2) Vesentlige bidrag skal spesifiseres i egne avsnitt under oppstillingen.  Linje N1.016 skal omfatte tilskudd/overføringer som ikke omfattes av bestemmelsene i rundskriv   F-07-13.</t>
  </si>
  <si>
    <t>N1.10</t>
  </si>
  <si>
    <t>Sum offentlige  tilskudd</t>
  </si>
  <si>
    <t xml:space="preserve"> +innbetaling av tilskudd fra EU til undervisning og annet fra andre</t>
  </si>
  <si>
    <t>Periodens netto tilskudd fra EUs rammeprogram for forskning</t>
  </si>
  <si>
    <t xml:space="preserve"> - utbetaling av tilskudd fra EU til undervisning og annet til andre (-)</t>
  </si>
  <si>
    <t xml:space="preserve">Periodens netto tilskudd fra EU til undervisning og annet </t>
  </si>
  <si>
    <t>N1.021C</t>
  </si>
  <si>
    <t>N1.021D</t>
  </si>
  <si>
    <t xml:space="preserve"> - utbetaling av tilskudd overføring fra RFF til andre virksomheter (-)</t>
  </si>
  <si>
    <t>Periodens netto tilskudd/overføring fra RFF</t>
  </si>
  <si>
    <t>Periodens tilskudd fra Regionale forskningsfond (RFF)</t>
  </si>
  <si>
    <t>N1.080A</t>
  </si>
  <si>
    <t>N1.080B</t>
  </si>
  <si>
    <t>N1.070A</t>
  </si>
  <si>
    <t>N1.070B</t>
  </si>
  <si>
    <t>N1.070C</t>
  </si>
  <si>
    <t>N1.70</t>
  </si>
  <si>
    <t>N1.80</t>
  </si>
  <si>
    <t>Periodens tilskudd/overføring fra kommuner og fylkeskommuner</t>
  </si>
  <si>
    <t>N1.21</t>
  </si>
  <si>
    <t>N1.022A</t>
  </si>
  <si>
    <t>Periodens tilskudd/overføring fra organisasjoner og stiftelser</t>
  </si>
  <si>
    <t>Periodens tilskudd/overføring fra næringsliv og private</t>
  </si>
  <si>
    <t xml:space="preserve">Periodens tilskudd andre bidragsytere </t>
  </si>
  <si>
    <t xml:space="preserve"> - utbetaling av tilskudd/overføring fra diverse bidragsytere til andre (-)</t>
  </si>
  <si>
    <t>N1.022B</t>
  </si>
  <si>
    <t>N1.022C</t>
  </si>
  <si>
    <t>N1.022D</t>
  </si>
  <si>
    <t>N1.022E</t>
  </si>
  <si>
    <t>N1.22</t>
  </si>
  <si>
    <t>Periodens netto tilskudd overføring fra diverse bidragsytere</t>
  </si>
  <si>
    <t>2) Vesentlige bidrag skal spesifiseres i egne avsnitt under oppstillingen.  Linje N1.3 skal omfatte tilskudd/overføringer som ikke omfattes av bestemmelsene i rundskriv   F-07-13.</t>
  </si>
  <si>
    <t>Statlige etater</t>
  </si>
  <si>
    <t>Kommunale og fylkeskommunale etater</t>
  </si>
  <si>
    <t>Organisasjoner og stiftelser</t>
  </si>
  <si>
    <t>Næringsliv/privat</t>
  </si>
  <si>
    <t>N1.052A</t>
  </si>
  <si>
    <t>N1.52</t>
  </si>
  <si>
    <t>N1.052B</t>
  </si>
  <si>
    <t>N1.052C</t>
  </si>
  <si>
    <t>N1.052D</t>
  </si>
  <si>
    <t>N1.052E</t>
  </si>
  <si>
    <t>Andre oppdragsgivere</t>
  </si>
  <si>
    <r>
      <t>Andre salgsinntekter</t>
    </r>
    <r>
      <rPr>
        <vertAlign val="superscript"/>
        <sz val="11"/>
        <color rgb="FF000000"/>
        <rFont val="Calibri"/>
        <family val="2"/>
        <scheme val="minor"/>
      </rPr>
      <t>2)</t>
    </r>
  </si>
  <si>
    <t>Sum</t>
  </si>
  <si>
    <t>Note 32 Datagrunnlaget for indikatorer i finansieringssystemet</t>
  </si>
  <si>
    <t>Tall i 1000 kroner</t>
  </si>
  <si>
    <t>Indikator</t>
  </si>
  <si>
    <t>Tilskudd fra Norges forskningsråd - NFR</t>
  </si>
  <si>
    <t>Tilskudd fra regionale forskningsfond - RFF</t>
  </si>
  <si>
    <t>Sum tilskudd fra NFR og RFF</t>
  </si>
  <si>
    <t>Tilskudd fra bidrags- og oppdragsfinansiert aktivitet (BOA)</t>
  </si>
  <si>
    <t xml:space="preserve"> - diverse bidragsinntekter</t>
  </si>
  <si>
    <t xml:space="preserve"> - tilskudd fra statlige etater</t>
  </si>
  <si>
    <t xml:space="preserve"> - oppdragsinntekter</t>
  </si>
  <si>
    <t>Sum tilskudd fra bidrags- og oppdragsfinansiert aktivitet</t>
  </si>
  <si>
    <t>2) Vesentlige bidrag skal spesifiseres i egne avsnitt under oppstillingen.  Linjene N1.051 og  N1.053 skal omfatte salgsinntekter  som ikke omfattes av bestemmelsene i rundskriv   F-07-13.</t>
  </si>
  <si>
    <t>N32.10</t>
  </si>
  <si>
    <t>N32.010</t>
  </si>
  <si>
    <t>N32.011</t>
  </si>
  <si>
    <t>N32.020</t>
  </si>
  <si>
    <t>N32.021</t>
  </si>
  <si>
    <t>N32.20</t>
  </si>
  <si>
    <t>N32.030</t>
  </si>
  <si>
    <t>N32.031</t>
  </si>
  <si>
    <t>N32.032</t>
  </si>
  <si>
    <t>N32.30</t>
  </si>
  <si>
    <t>Sum tilskudd fra EU rammeprogram for forskning og andre formål</t>
  </si>
  <si>
    <t>Inntekter som forutsetter en motytelse er resultatført i den perioden rettigheten til inntekten er opptjent. Slike inntekter måles til verdien av vederlaget på transaksjonstidspunktet. Inntekter fra salg av tjenester anses som opptjent på det tidspunktet krav om vederlag oppstår.</t>
  </si>
  <si>
    <r>
      <t>Andre poster som vedrører annen bidragsfinansiert aktivitet</t>
    </r>
    <r>
      <rPr>
        <vertAlign val="superscript"/>
        <sz val="11"/>
        <color rgb="FF000000"/>
        <rFont val="Calibri"/>
        <family val="2"/>
        <scheme val="minor"/>
      </rPr>
      <t>2)</t>
    </r>
  </si>
  <si>
    <t>DEL II</t>
  </si>
  <si>
    <t>Lønn og godtgjørelser til ledende personer</t>
  </si>
  <si>
    <t>Lønn</t>
  </si>
  <si>
    <t>Andre godtgjørelser</t>
  </si>
  <si>
    <t>Rektor (gjelder også dersom rektor er tilsatt)</t>
  </si>
  <si>
    <t xml:space="preserve">DEL I </t>
  </si>
  <si>
    <t xml:space="preserve">Styreleder </t>
  </si>
  <si>
    <t>Institusjonen har en pensjonsordning som gir de ansatte rett til avtalte pensjonsytelser.</t>
  </si>
  <si>
    <t>Andre finanskostnader</t>
  </si>
  <si>
    <r>
      <t>Periodens netto tilskudd fra andre statlige etater</t>
    </r>
    <r>
      <rPr>
        <vertAlign val="superscript"/>
        <sz val="11"/>
        <color rgb="FF000000"/>
        <rFont val="Calibri"/>
        <family val="2"/>
        <scheme val="minor"/>
      </rPr>
      <t>1)</t>
    </r>
  </si>
  <si>
    <t>DBH-referanse</t>
  </si>
  <si>
    <t>N7.021</t>
  </si>
  <si>
    <t>N7.022</t>
  </si>
  <si>
    <t>Sum andre fordringer</t>
  </si>
  <si>
    <t>Kortsiktig fordring på eier</t>
  </si>
  <si>
    <t>Sum fordringer på eier</t>
  </si>
  <si>
    <t>Langsiktig fordring på eier</t>
  </si>
  <si>
    <t>Langsiktig fordring på nærstående parter</t>
  </si>
  <si>
    <t>Kortsiktig fordring på nærstående parter</t>
  </si>
  <si>
    <t>Sum fordringer på  nærstående parter</t>
  </si>
  <si>
    <t>Sum gjeld til nærstående parter</t>
  </si>
  <si>
    <t>Langsiktig gjeld til nærstående parter</t>
  </si>
  <si>
    <t>Kortsiktig gjeld til nærstående parter</t>
  </si>
  <si>
    <t>Sum salg til nærstående parter</t>
  </si>
  <si>
    <t>Sum kjøp fra nærstående parter</t>
  </si>
  <si>
    <r>
      <t>Fordringer på nærstående parter</t>
    </r>
    <r>
      <rPr>
        <b/>
        <vertAlign val="superscript"/>
        <sz val="11"/>
        <color rgb="FF000000"/>
        <rFont val="Calibri"/>
        <family val="2"/>
        <scheme val="minor"/>
      </rPr>
      <t>1)</t>
    </r>
  </si>
  <si>
    <r>
      <t>Gjeld på nærstående parter</t>
    </r>
    <r>
      <rPr>
        <b/>
        <vertAlign val="superscript"/>
        <sz val="11"/>
        <color rgb="FF000000"/>
        <rFont val="Calibri"/>
        <family val="2"/>
        <scheme val="minor"/>
      </rPr>
      <t>1)</t>
    </r>
  </si>
  <si>
    <r>
      <t>Salg til nærstående parter</t>
    </r>
    <r>
      <rPr>
        <b/>
        <vertAlign val="superscript"/>
        <sz val="11"/>
        <color rgb="FF000000"/>
        <rFont val="Calibri"/>
        <family val="2"/>
        <scheme val="minor"/>
      </rPr>
      <t>1)</t>
    </r>
  </si>
  <si>
    <r>
      <t>Kjøp fra nærstående parter</t>
    </r>
    <r>
      <rPr>
        <b/>
        <vertAlign val="superscript"/>
        <sz val="11"/>
        <color rgb="FF000000"/>
        <rFont val="Calibri"/>
        <family val="2"/>
        <scheme val="minor"/>
      </rPr>
      <t>1)</t>
    </r>
  </si>
  <si>
    <t>N7.2</t>
  </si>
  <si>
    <t>N5.010</t>
  </si>
  <si>
    <t>N5.011</t>
  </si>
  <si>
    <t>N5.012</t>
  </si>
  <si>
    <t>N5.1</t>
  </si>
  <si>
    <t>N5.020</t>
  </si>
  <si>
    <t>N5.021</t>
  </si>
  <si>
    <t>N5.022</t>
  </si>
  <si>
    <t>N5.2</t>
  </si>
  <si>
    <t>N6.010</t>
  </si>
  <si>
    <t>N6.011</t>
  </si>
  <si>
    <t>N6.1</t>
  </si>
  <si>
    <t>N6.020</t>
  </si>
  <si>
    <t>N6.021</t>
  </si>
  <si>
    <t>N6.2</t>
  </si>
  <si>
    <t>N6.030</t>
  </si>
  <si>
    <t>N6.031</t>
  </si>
  <si>
    <t>N6.3</t>
  </si>
  <si>
    <t>N6.040</t>
  </si>
  <si>
    <t>N6.041</t>
  </si>
  <si>
    <t>N6.4</t>
  </si>
  <si>
    <t>Øvrige andre driftskostnader</t>
  </si>
  <si>
    <t>Langsiktig gjeld til eier</t>
  </si>
  <si>
    <t>Kortsiktig gjeld til eier</t>
  </si>
  <si>
    <t>Sum gjeld til eier</t>
  </si>
  <si>
    <r>
      <t>Gjeld til eier</t>
    </r>
    <r>
      <rPr>
        <b/>
        <vertAlign val="superscript"/>
        <sz val="11"/>
        <color rgb="FF000000"/>
        <rFont val="Calibri"/>
        <family val="2"/>
        <scheme val="minor"/>
      </rPr>
      <t>1) 2)</t>
    </r>
  </si>
  <si>
    <t>2) Gjelder virksomheter som er datterselskap i et konsern eller som ikke er et eget rettssubjekt</t>
  </si>
  <si>
    <t>Skyldig lønn</t>
  </si>
  <si>
    <t>Skyldige reiseutgifter</t>
  </si>
  <si>
    <t>Annen gjeld til ansatte</t>
  </si>
  <si>
    <t>Påløpte kostnader</t>
  </si>
  <si>
    <r>
      <t>Felleskostnader</t>
    </r>
    <r>
      <rPr>
        <vertAlign val="superscript"/>
        <sz val="11"/>
        <color rgb="FF000000"/>
        <rFont val="Calibri"/>
        <family val="2"/>
        <scheme val="minor"/>
      </rPr>
      <t>1)</t>
    </r>
  </si>
  <si>
    <t>Forsikringer</t>
  </si>
  <si>
    <t>Lovpålagt revisjon</t>
  </si>
  <si>
    <t xml:space="preserve">Annen bistand </t>
  </si>
  <si>
    <t>Andre  attestasjonstjenester</t>
  </si>
  <si>
    <t>Kostnadsført revisjonhonorar</t>
  </si>
  <si>
    <t>N3.025</t>
  </si>
  <si>
    <t>N3.026</t>
  </si>
  <si>
    <t>N3.027</t>
  </si>
  <si>
    <t>1) Her spesifiseres den andelen av eventuelle felleskostnader som angår høyskolens virksomhet.</t>
  </si>
  <si>
    <t>Programvare og tilsvarende</t>
  </si>
  <si>
    <t>Andre rettigheter</t>
  </si>
  <si>
    <t>Under utførelse</t>
  </si>
  <si>
    <t>+/- fra eiendel under utførelse til annen gruppe (+/-)</t>
  </si>
  <si>
    <t>N7.013</t>
  </si>
  <si>
    <t>N7.014</t>
  </si>
  <si>
    <t>N7.023</t>
  </si>
  <si>
    <t>N7.024</t>
  </si>
  <si>
    <t>N7.025</t>
  </si>
  <si>
    <t>Note 8 Varige driftsmidler</t>
  </si>
  <si>
    <t>Maskiner, transportmidler</t>
  </si>
  <si>
    <t>N8.011</t>
  </si>
  <si>
    <t>N8.012</t>
  </si>
  <si>
    <t>N8.013</t>
  </si>
  <si>
    <t>N8.014</t>
  </si>
  <si>
    <t>N8.1</t>
  </si>
  <si>
    <t>N8.021</t>
  </si>
  <si>
    <t>N8.022</t>
  </si>
  <si>
    <t>N8.023</t>
  </si>
  <si>
    <t>N8.024</t>
  </si>
  <si>
    <t>N8.025</t>
  </si>
  <si>
    <t>N8.2</t>
  </si>
  <si>
    <t>Note 9 Fordringer</t>
  </si>
  <si>
    <t>N9.011</t>
  </si>
  <si>
    <t>N9.012</t>
  </si>
  <si>
    <t>N9.1</t>
  </si>
  <si>
    <t>N9.021</t>
  </si>
  <si>
    <t>N9.022</t>
  </si>
  <si>
    <t>N9.2</t>
  </si>
  <si>
    <r>
      <t>Tilskudd og overføringer fra diverse bidragsytere</t>
    </r>
    <r>
      <rPr>
        <i/>
        <vertAlign val="superscript"/>
        <sz val="11"/>
        <color rgb="FF000000"/>
        <rFont val="Calibri"/>
        <family val="2"/>
        <scheme val="minor"/>
      </rPr>
      <t>1)</t>
    </r>
  </si>
  <si>
    <t>-herav driftstilskudd fra Kunnskapsdepartementet</t>
  </si>
  <si>
    <t>Note 25 Automatisk genererte nøkkeltall</t>
  </si>
  <si>
    <t>Annen langsiktig gjeld og  avsetning forpliktelser</t>
  </si>
  <si>
    <t>N25.011</t>
  </si>
  <si>
    <t>N25.012</t>
  </si>
  <si>
    <t>N25.013</t>
  </si>
  <si>
    <t>N25.014</t>
  </si>
  <si>
    <t>N25.015</t>
  </si>
  <si>
    <t>N25.016</t>
  </si>
  <si>
    <t>N25.017</t>
  </si>
  <si>
    <t>N25.018</t>
  </si>
  <si>
    <t>N25.019</t>
  </si>
  <si>
    <t>N25.021</t>
  </si>
  <si>
    <t>N25.022</t>
  </si>
  <si>
    <t>N25.023</t>
  </si>
  <si>
    <t>N25.024</t>
  </si>
  <si>
    <t>N25.025</t>
  </si>
  <si>
    <t>N25.026</t>
  </si>
  <si>
    <t>N25.027</t>
  </si>
  <si>
    <t>N25.031</t>
  </si>
  <si>
    <t>N25.032</t>
  </si>
  <si>
    <t>Note 30 EU-finansierte prosjekter</t>
  </si>
  <si>
    <t>Viderformidlet  til virksomhet A</t>
  </si>
  <si>
    <t>Viderformidlet  til virksomhet B</t>
  </si>
  <si>
    <t>Viderformidlet  til virksomhet C</t>
  </si>
  <si>
    <t>Andre videreformidlinger</t>
  </si>
  <si>
    <t>Sum videreformidlinger</t>
  </si>
  <si>
    <t>N20.01</t>
  </si>
  <si>
    <t>N20.1</t>
  </si>
  <si>
    <t>N20.02</t>
  </si>
  <si>
    <t>Note 20 Videreformidling av midler til andre samarbeidspartnere</t>
  </si>
  <si>
    <t>Note 11 Annen kortsiktig gjeld</t>
  </si>
  <si>
    <t>6, 11</t>
  </si>
  <si>
    <t>Beløp i 1000 kroner</t>
  </si>
  <si>
    <t>Utbetalinger  ved nedbetaling av  kortsiktig gjeld</t>
  </si>
  <si>
    <t>6, 9</t>
  </si>
  <si>
    <t>Sum finanskostnader</t>
  </si>
  <si>
    <t>Sum finansinntekter</t>
  </si>
  <si>
    <t>DBH-      referanse</t>
  </si>
  <si>
    <t>N10.011</t>
  </si>
  <si>
    <t>N10.012</t>
  </si>
  <si>
    <t>N10.1</t>
  </si>
  <si>
    <t>N11.011</t>
  </si>
  <si>
    <t>N11.012</t>
  </si>
  <si>
    <t>N11.013</t>
  </si>
  <si>
    <t>N11.014</t>
  </si>
  <si>
    <t>N11.015</t>
  </si>
  <si>
    <t>N11.016</t>
  </si>
  <si>
    <t>N11.1</t>
  </si>
  <si>
    <r>
      <t xml:space="preserve">Merknad: Noten er tilpasset indikatorene i finansieringssystemet og genereres automatisk med utgangspunkt i det datagrunnlaget som er presentert i note 1. </t>
    </r>
    <r>
      <rPr>
        <b/>
        <i/>
        <sz val="11"/>
        <rFont val="Times New Roman"/>
        <family val="1"/>
      </rPr>
      <t>Den skal ikke endres.</t>
    </r>
  </si>
  <si>
    <t>N3.3</t>
  </si>
  <si>
    <t>N3.4</t>
  </si>
  <si>
    <t>N3.5</t>
  </si>
  <si>
    <t>N3.6</t>
  </si>
  <si>
    <t>N3.7</t>
  </si>
  <si>
    <t>N3.8</t>
  </si>
  <si>
    <t>N3.9A</t>
  </si>
  <si>
    <t>N3.9</t>
  </si>
  <si>
    <t>N3.10</t>
  </si>
  <si>
    <t>N3.11</t>
  </si>
  <si>
    <t>N3.20</t>
  </si>
  <si>
    <t>Daglig leder</t>
  </si>
  <si>
    <t>6, 10</t>
  </si>
  <si>
    <t>Merknad: Noten er frivillig, men kan tas i bruk av de institusjoner som ønsker å spesifisere videreformidlinger</t>
  </si>
  <si>
    <t>N1.021E</t>
  </si>
  <si>
    <t>Gjeld til datterselskap m.v</t>
  </si>
  <si>
    <t>Kontantstrømoppstilling (indirekte modell)</t>
  </si>
  <si>
    <t>Kontantstrømoppstilling direkte modell)</t>
  </si>
  <si>
    <t>DKS.2</t>
  </si>
  <si>
    <t>DKS.3</t>
  </si>
  <si>
    <t>DKS.4</t>
  </si>
  <si>
    <t>DKS.5</t>
  </si>
  <si>
    <t>DKS.6</t>
  </si>
  <si>
    <t>DKS.7</t>
  </si>
  <si>
    <t>DKS.8</t>
  </si>
  <si>
    <t>DKS.9</t>
  </si>
  <si>
    <t>DKS.10</t>
  </si>
  <si>
    <t>DKS.11</t>
  </si>
  <si>
    <t>DKS.12</t>
  </si>
  <si>
    <t>DKS.1</t>
  </si>
  <si>
    <t>DKS.13</t>
  </si>
  <si>
    <t>DKS.14</t>
  </si>
  <si>
    <t>DKS.15</t>
  </si>
  <si>
    <t>DKS.16</t>
  </si>
  <si>
    <t>DKS.17</t>
  </si>
  <si>
    <t>DKS.18</t>
  </si>
  <si>
    <t>DKS.INV</t>
  </si>
  <si>
    <t>DKS.19</t>
  </si>
  <si>
    <t>DKS.20</t>
  </si>
  <si>
    <t>DKS.21</t>
  </si>
  <si>
    <t>DKS.22</t>
  </si>
  <si>
    <t>DKS.23</t>
  </si>
  <si>
    <t>DKS.24</t>
  </si>
  <si>
    <t>DKS.25</t>
  </si>
  <si>
    <t>DKS.26</t>
  </si>
  <si>
    <t>DKS.27</t>
  </si>
  <si>
    <t>DKS.29</t>
  </si>
  <si>
    <t>DKS.30</t>
  </si>
  <si>
    <t>DKS.31</t>
  </si>
  <si>
    <t>DKS.32</t>
  </si>
  <si>
    <t>DKS.33</t>
  </si>
  <si>
    <t>DKS.34</t>
  </si>
  <si>
    <t>DKS.FIN</t>
  </si>
  <si>
    <t>DKS.35A</t>
  </si>
  <si>
    <t>DKS.35</t>
  </si>
  <si>
    <t>DKS.36</t>
  </si>
  <si>
    <t>DKS.BEH</t>
  </si>
  <si>
    <t>Kontantstrømmer fra driftsaktiviteter</t>
  </si>
  <si>
    <t>Innbetalinger</t>
  </si>
  <si>
    <t>Sum innbetalinger</t>
  </si>
  <si>
    <t>innbetalinger av tilskudd fra fagdepartementet</t>
  </si>
  <si>
    <t>innbetalinger av tilskudd fra andre departementet</t>
  </si>
  <si>
    <t>innbetalinger fra salg av varer og tjenester</t>
  </si>
  <si>
    <t>innbetalinger avgifter, gebyrer og lisenser</t>
  </si>
  <si>
    <t>innbetalinger av tilskudd og overføringer</t>
  </si>
  <si>
    <t>innbetalinger av refusjoner</t>
  </si>
  <si>
    <t>andre innbetalinger</t>
  </si>
  <si>
    <t>DKS.INN</t>
  </si>
  <si>
    <t>utbetalinger av lønn og sosiale kostnader</t>
  </si>
  <si>
    <t>utbetalinger ved kjøp av varer og tjenester</t>
  </si>
  <si>
    <t>utbetalinger av skatter og offentlige avgifter</t>
  </si>
  <si>
    <t>utbetalinger til andre virksomheter</t>
  </si>
  <si>
    <t>andre utbetalinger</t>
  </si>
  <si>
    <t>Sum utbetalinger</t>
  </si>
  <si>
    <t>Utbetalinger</t>
  </si>
  <si>
    <t>DKS.UT</t>
  </si>
  <si>
    <t>DKS.DA</t>
  </si>
  <si>
    <t>Avstemming</t>
  </si>
  <si>
    <t>Netto kontantstrøm fra driftsaktiviteter</t>
  </si>
  <si>
    <t>Note 12 Egenkapital</t>
  </si>
  <si>
    <t>Annen opptjent egenkapital</t>
  </si>
  <si>
    <t>Inntekt fra tilskudd og overføringer</t>
  </si>
  <si>
    <t>RE.011A</t>
  </si>
  <si>
    <r>
      <t>Annen langsiktig gjeld</t>
    </r>
    <r>
      <rPr>
        <vertAlign val="superscript"/>
        <sz val="11"/>
        <rFont val="Calibri"/>
        <family val="2"/>
      </rPr>
      <t>1)</t>
    </r>
  </si>
  <si>
    <t>Sum annen kortsiktig gjeld</t>
  </si>
  <si>
    <r>
      <t>Annen kortsiktig gjeld1</t>
    </r>
    <r>
      <rPr>
        <vertAlign val="superscript"/>
        <sz val="11"/>
        <rFont val="Calibri"/>
        <family val="2"/>
        <scheme val="minor"/>
      </rPr>
      <t>)</t>
    </r>
  </si>
  <si>
    <t>-herav andre offentlige tilskudd, salgsinntekter og driftsinntekter</t>
  </si>
  <si>
    <t>N25.014A</t>
  </si>
  <si>
    <t>N21.011</t>
  </si>
  <si>
    <t>N21.011A</t>
  </si>
  <si>
    <t>N21.012</t>
  </si>
  <si>
    <t>N21.013</t>
  </si>
  <si>
    <t>N21.1</t>
  </si>
  <si>
    <t>N21.021</t>
  </si>
  <si>
    <t>N21.022</t>
  </si>
  <si>
    <t>N21.023</t>
  </si>
  <si>
    <t>N21.024</t>
  </si>
  <si>
    <t>N21.025</t>
  </si>
  <si>
    <t>N21.2</t>
  </si>
  <si>
    <t>N21.3</t>
  </si>
  <si>
    <t>N21.041</t>
  </si>
  <si>
    <t>N21.042</t>
  </si>
  <si>
    <t>N21.4</t>
  </si>
  <si>
    <t>N21.5</t>
  </si>
  <si>
    <t>N21.061</t>
  </si>
  <si>
    <t>N21.6</t>
  </si>
  <si>
    <t>N21.071</t>
  </si>
  <si>
    <t>N21.072</t>
  </si>
  <si>
    <t>N21.073</t>
  </si>
  <si>
    <t>N21.7</t>
  </si>
  <si>
    <t>Nestleder i styret</t>
  </si>
  <si>
    <t>N2II.01</t>
  </si>
  <si>
    <t>N2II.02</t>
  </si>
  <si>
    <t>N2II.03</t>
  </si>
  <si>
    <t>N2II.04</t>
  </si>
  <si>
    <t>Sum inntekt fra tilskudd og overføringer</t>
  </si>
  <si>
    <t>DKS.37</t>
  </si>
  <si>
    <t>DKS.38</t>
  </si>
  <si>
    <t>DKS.39</t>
  </si>
  <si>
    <t>DKS.40</t>
  </si>
  <si>
    <t>DKS.41</t>
  </si>
  <si>
    <t>DKS.42</t>
  </si>
  <si>
    <t>DKS.43</t>
  </si>
  <si>
    <t>DKS.44</t>
  </si>
  <si>
    <t>DKS.45</t>
  </si>
  <si>
    <t>DKS.46</t>
  </si>
  <si>
    <t>DKS.47</t>
  </si>
  <si>
    <t>DKS.48</t>
  </si>
  <si>
    <t>DKS.AVS</t>
  </si>
  <si>
    <t>N10.011A</t>
  </si>
  <si>
    <t>Note 10 Øvrig langsiktig gjeld og gjeld til kredittinstitusjoner</t>
  </si>
  <si>
    <r>
      <t>Gjeld til kredittinstitusjoner (langsiktig gjeld)</t>
    </r>
    <r>
      <rPr>
        <vertAlign val="superscript"/>
        <sz val="11"/>
        <rFont val="Calibri"/>
        <family val="2"/>
      </rPr>
      <t>1)</t>
    </r>
  </si>
  <si>
    <r>
      <t>Gjeld til kredittinstitusjoner (kortsiktig gjeld)</t>
    </r>
    <r>
      <rPr>
        <vertAlign val="superscript"/>
        <sz val="11"/>
        <rFont val="Calibri"/>
        <family val="2"/>
      </rPr>
      <t>1)</t>
    </r>
  </si>
  <si>
    <t>Annen virksomhet</t>
  </si>
  <si>
    <t>Hele virksomheten</t>
  </si>
  <si>
    <t>N12.04</t>
  </si>
  <si>
    <t>N12.05</t>
  </si>
  <si>
    <t>N12.06</t>
  </si>
  <si>
    <t>N12.07</t>
  </si>
  <si>
    <t>N12.08</t>
  </si>
  <si>
    <t>N12.2</t>
  </si>
  <si>
    <r>
      <t>Utdanninger akkreditert etter UH-loven</t>
    </r>
    <r>
      <rPr>
        <b/>
        <vertAlign val="superscript"/>
        <sz val="10"/>
        <rFont val="Arial"/>
        <family val="2"/>
      </rPr>
      <t>1)</t>
    </r>
  </si>
  <si>
    <r>
      <t>Utdanninger akkreditert etter fagskoleloven</t>
    </r>
    <r>
      <rPr>
        <b/>
        <vertAlign val="superscript"/>
        <sz val="10"/>
        <rFont val="Arial"/>
        <family val="2"/>
      </rPr>
      <t>2)</t>
    </r>
  </si>
  <si>
    <t>Akkrediterte utdanningstilbud</t>
  </si>
  <si>
    <r>
      <t>Fordringer på eier</t>
    </r>
    <r>
      <rPr>
        <b/>
        <vertAlign val="superscript"/>
        <sz val="11"/>
        <color rgb="FF000000"/>
        <rFont val="Calibri"/>
        <family val="2"/>
        <scheme val="minor"/>
      </rPr>
      <t>1) 2) 3)</t>
    </r>
  </si>
  <si>
    <t>3) Det skal i en egen oversikt nedenfor angis hvilke nærstående eiere/parter som omfattes av spesifikasjonene i noten. Dersom spesifikasjonene i noten omfatter flere eiere/parter skal det i tillegg opplyses om beløp for den enkelte eier/part.</t>
  </si>
  <si>
    <t>2) Jfr. fagskoleloven § 5,  §§ 32 og 33 og forskrift 2017-12-21-2383</t>
  </si>
  <si>
    <r>
      <t>Note 5 Transaksjoner med nærstående parter</t>
    </r>
    <r>
      <rPr>
        <b/>
        <vertAlign val="superscript"/>
        <sz val="11"/>
        <color rgb="FF000000"/>
        <rFont val="Calibri"/>
        <family val="2"/>
        <scheme val="minor"/>
      </rPr>
      <t>3) 4)</t>
    </r>
  </si>
  <si>
    <r>
      <t xml:space="preserve">Note 6 Mellomværende med eier og nærstående parter </t>
    </r>
    <r>
      <rPr>
        <b/>
        <vertAlign val="superscript"/>
        <sz val="11"/>
        <color rgb="FF000000"/>
        <rFont val="Calibri"/>
        <family val="2"/>
        <scheme val="minor"/>
      </rPr>
      <t>3) 4)</t>
    </r>
  </si>
  <si>
    <t>4) I kolonnen Akkrediterte utdanningstilbud skal  føres opp alle transaksjoner som er knyttet til nærstående parter og eiere og som gjelder utdanningstilbud som er akkreditert etter bestemmelsene i både universitets- og høyskoleloven og fagskoleloven.</t>
  </si>
  <si>
    <t>Sum salgsinntekter</t>
  </si>
  <si>
    <r>
      <t>Varekostnad</t>
    </r>
    <r>
      <rPr>
        <vertAlign val="superscript"/>
        <sz val="11"/>
        <color rgb="FF000000"/>
        <rFont val="Calibri"/>
        <family val="2"/>
        <scheme val="minor"/>
      </rPr>
      <t>1)</t>
    </r>
  </si>
  <si>
    <r>
      <t>Skattekostnad</t>
    </r>
    <r>
      <rPr>
        <vertAlign val="superscript"/>
        <sz val="11"/>
        <color rgb="FF000000"/>
        <rFont val="Calibri"/>
        <family val="2"/>
        <scheme val="minor"/>
      </rPr>
      <t>1)</t>
    </r>
  </si>
  <si>
    <r>
      <t>Konsernbidrag</t>
    </r>
    <r>
      <rPr>
        <vertAlign val="superscript"/>
        <sz val="11"/>
        <color rgb="FF000000"/>
        <rFont val="Calibri"/>
        <family val="2"/>
        <scheme val="minor"/>
      </rPr>
      <t>1)</t>
    </r>
  </si>
  <si>
    <r>
      <t>Andre disponeringer</t>
    </r>
    <r>
      <rPr>
        <vertAlign val="superscript"/>
        <sz val="11"/>
        <color rgb="FF000000"/>
        <rFont val="Calibri"/>
        <family val="2"/>
        <scheme val="minor"/>
      </rPr>
      <t>1)</t>
    </r>
  </si>
  <si>
    <r>
      <rPr>
        <sz val="11"/>
        <rFont val="Calibri"/>
        <family val="2"/>
        <scheme val="minor"/>
      </rPr>
      <t>1) Vesentlige poster skal spesifiseres i egne noter</t>
    </r>
    <r>
      <rPr>
        <b/>
        <sz val="11"/>
        <rFont val="Calibri"/>
        <family val="2"/>
        <scheme val="minor"/>
      </rPr>
      <t>.</t>
    </r>
  </si>
  <si>
    <t>Til/fra annen egenkapital</t>
  </si>
  <si>
    <r>
      <t>Utsatt skattefordel</t>
    </r>
    <r>
      <rPr>
        <vertAlign val="superscript"/>
        <sz val="11"/>
        <color rgb="FF000000"/>
        <rFont val="Calibri"/>
        <family val="2"/>
        <scheme val="minor"/>
      </rPr>
      <t>1)</t>
    </r>
  </si>
  <si>
    <r>
      <t>Goodwill</t>
    </r>
    <r>
      <rPr>
        <vertAlign val="superscript"/>
        <sz val="11"/>
        <color rgb="FF000000"/>
        <rFont val="Calibri"/>
        <family val="2"/>
        <scheme val="minor"/>
      </rPr>
      <t>1)</t>
    </r>
  </si>
  <si>
    <t>Driftsløsøre, verktøy og lignende</t>
  </si>
  <si>
    <t>AIII.08</t>
  </si>
  <si>
    <r>
      <t>Varebeholdninger</t>
    </r>
    <r>
      <rPr>
        <vertAlign val="superscript"/>
        <sz val="11"/>
        <color rgb="FF000000"/>
        <rFont val="Calibri"/>
        <family val="2"/>
        <scheme val="minor"/>
      </rPr>
      <t>1)</t>
    </r>
  </si>
  <si>
    <r>
      <t>Krav på innbetaling av selskapskapital</t>
    </r>
    <r>
      <rPr>
        <vertAlign val="superscript"/>
        <sz val="11"/>
        <color rgb="FF000000"/>
        <rFont val="Calibri"/>
        <family val="2"/>
        <scheme val="minor"/>
      </rPr>
      <t>1)</t>
    </r>
  </si>
  <si>
    <r>
      <t>Aksjer og andeler i foretak i samme konsern</t>
    </r>
    <r>
      <rPr>
        <vertAlign val="superscript"/>
        <sz val="11"/>
        <color rgb="FF000000"/>
        <rFont val="Calibri"/>
        <family val="2"/>
        <scheme val="minor"/>
      </rPr>
      <t>1)</t>
    </r>
  </si>
  <si>
    <r>
      <t>Andre  finansielle instrumenter</t>
    </r>
    <r>
      <rPr>
        <vertAlign val="superscript"/>
        <sz val="11"/>
        <color rgb="FF000000"/>
        <rFont val="Calibri"/>
        <family val="2"/>
        <scheme val="minor"/>
      </rPr>
      <t>1)</t>
    </r>
  </si>
  <si>
    <t>1) Vesentlige poster skal spesifiseres i egne noter</t>
  </si>
  <si>
    <r>
      <t>Markedsbaserte aksjer</t>
    </r>
    <r>
      <rPr>
        <vertAlign val="superscript"/>
        <sz val="11"/>
        <color rgb="FF000000"/>
        <rFont val="Calibri"/>
        <family val="2"/>
        <scheme val="minor"/>
      </rPr>
      <t>1)</t>
    </r>
  </si>
  <si>
    <r>
      <t>Markedsbaserte obligasjoner</t>
    </r>
    <r>
      <rPr>
        <vertAlign val="superscript"/>
        <sz val="11"/>
        <color rgb="FF000000"/>
        <rFont val="Calibri"/>
        <family val="2"/>
        <scheme val="minor"/>
      </rPr>
      <t>1)</t>
    </r>
  </si>
  <si>
    <t>BIII.04</t>
  </si>
  <si>
    <t>Overkurs</t>
  </si>
  <si>
    <r>
      <t>Pensjonsforpliktelser</t>
    </r>
    <r>
      <rPr>
        <vertAlign val="superscript"/>
        <sz val="11"/>
        <color rgb="FF000000"/>
        <rFont val="Calibri"/>
        <family val="2"/>
        <scheme val="minor"/>
      </rPr>
      <t>1)</t>
    </r>
  </si>
  <si>
    <t>Periodens tilskudd fra Kunnskapsdepartementet og andre departement</t>
  </si>
  <si>
    <t>N1.012A</t>
  </si>
  <si>
    <t>Inntekt fra oppdragsfinansiert aktivitet</t>
  </si>
  <si>
    <t xml:space="preserve">Lønn og godtgjørelser til ledende personer oppgis i kroner for regnskapsåret. </t>
  </si>
  <si>
    <t>Nærstående part A</t>
  </si>
  <si>
    <t>Nærstående part B</t>
  </si>
  <si>
    <t>Nærstående part C</t>
  </si>
  <si>
    <t xml:space="preserve">1) Vesentlige poster skal spesifiseres i egen tabell under oppstillingen. </t>
  </si>
  <si>
    <r>
      <t>Konvertible lån</t>
    </r>
    <r>
      <rPr>
        <vertAlign val="superscript"/>
        <sz val="11"/>
        <color rgb="FF000000"/>
        <rFont val="Calibri"/>
        <family val="2"/>
        <scheme val="minor"/>
      </rPr>
      <t>1)</t>
    </r>
  </si>
  <si>
    <r>
      <t>Betalbar skatt</t>
    </r>
    <r>
      <rPr>
        <vertAlign val="superscript"/>
        <sz val="11"/>
        <color rgb="FF000000"/>
        <rFont val="Calibri"/>
        <family val="2"/>
        <scheme val="minor"/>
      </rPr>
      <t>1)</t>
    </r>
  </si>
  <si>
    <r>
      <t>Obligasjonslån</t>
    </r>
    <r>
      <rPr>
        <vertAlign val="superscript"/>
        <sz val="11"/>
        <color rgb="FF000000"/>
        <rFont val="Calibri"/>
        <family val="2"/>
        <scheme val="minor"/>
      </rPr>
      <t>1)</t>
    </r>
  </si>
  <si>
    <r>
      <t>Andre avsetninger for forpliktelser</t>
    </r>
    <r>
      <rPr>
        <vertAlign val="superscript"/>
        <sz val="11"/>
        <color rgb="FF000000"/>
        <rFont val="Calibri"/>
        <family val="2"/>
        <scheme val="minor"/>
      </rPr>
      <t>1)</t>
    </r>
  </si>
  <si>
    <r>
      <t>Andre investeringstilskudd</t>
    </r>
    <r>
      <rPr>
        <vertAlign val="superscript"/>
        <sz val="11"/>
        <color rgb="FF000000"/>
        <rFont val="Calibri"/>
        <family val="2"/>
        <scheme val="minor"/>
      </rPr>
      <t>1)</t>
    </r>
  </si>
  <si>
    <r>
      <t>Utsatt skatt</t>
    </r>
    <r>
      <rPr>
        <vertAlign val="superscript"/>
        <sz val="11"/>
        <color rgb="FF000000"/>
        <rFont val="Calibri"/>
        <family val="2"/>
        <scheme val="minor"/>
      </rPr>
      <t>1)</t>
    </r>
  </si>
  <si>
    <r>
      <t>Statstilskudd - investeringsformål</t>
    </r>
    <r>
      <rPr>
        <vertAlign val="superscript"/>
        <sz val="11"/>
        <color rgb="FF000000"/>
        <rFont val="Calibri"/>
        <family val="2"/>
        <scheme val="minor"/>
      </rPr>
      <t>1)</t>
    </r>
  </si>
  <si>
    <r>
      <t>Investeringer i datterselskap</t>
    </r>
    <r>
      <rPr>
        <vertAlign val="superscript"/>
        <sz val="11"/>
        <color rgb="FF000000"/>
        <rFont val="Calibri"/>
        <family val="2"/>
        <scheme val="minor"/>
      </rPr>
      <t>1)</t>
    </r>
  </si>
  <si>
    <r>
      <t>Investeringer i annet foretak i samme konsern</t>
    </r>
    <r>
      <rPr>
        <vertAlign val="superscript"/>
        <sz val="11"/>
        <color rgb="FF000000"/>
        <rFont val="Calibri"/>
        <family val="2"/>
        <scheme val="minor"/>
      </rPr>
      <t>1)</t>
    </r>
  </si>
  <si>
    <r>
      <t>Investeringer i tilknyttet selskap</t>
    </r>
    <r>
      <rPr>
        <vertAlign val="superscript"/>
        <sz val="11"/>
        <color rgb="FF000000"/>
        <rFont val="Calibri"/>
        <family val="2"/>
        <scheme val="minor"/>
      </rPr>
      <t>1)</t>
    </r>
  </si>
  <si>
    <r>
      <t>Investeringer i aksjer og andeler</t>
    </r>
    <r>
      <rPr>
        <vertAlign val="superscript"/>
        <sz val="11"/>
        <color rgb="FF000000"/>
        <rFont val="Calibri"/>
        <family val="2"/>
        <scheme val="minor"/>
      </rPr>
      <t>1)</t>
    </r>
  </si>
  <si>
    <t>Lån til tilknyttet selskap og felles kontrollert virksomhet</t>
  </si>
  <si>
    <r>
      <t>Obligasjoner</t>
    </r>
    <r>
      <rPr>
        <vertAlign val="superscript"/>
        <sz val="11"/>
        <color rgb="FF000000"/>
        <rFont val="Calibri"/>
        <family val="2"/>
        <scheme val="minor"/>
      </rPr>
      <t>1)</t>
    </r>
  </si>
  <si>
    <r>
      <t>Andre fordringer</t>
    </r>
    <r>
      <rPr>
        <vertAlign val="superscript"/>
        <sz val="11"/>
        <color rgb="FF000000"/>
        <rFont val="Calibri"/>
        <family val="2"/>
        <scheme val="minor"/>
      </rPr>
      <t>1)</t>
    </r>
  </si>
  <si>
    <r>
      <rPr>
        <i/>
        <vertAlign val="superscript"/>
        <sz val="11"/>
        <color theme="1"/>
        <rFont val="Calibri"/>
        <family val="2"/>
        <scheme val="minor"/>
      </rPr>
      <t>1)</t>
    </r>
    <r>
      <rPr>
        <i/>
        <sz val="10"/>
        <rFont val="Arial"/>
        <family val="2"/>
      </rPr>
      <t xml:space="preserve"> Skal fordeles på kreditor med angivelse av dato for siste avdrag under oppstillingen.</t>
    </r>
  </si>
  <si>
    <r>
      <t>Note 21 Særskilt resultatregnskap for akkrediterte  studietilbud og annen virksomhet</t>
    </r>
    <r>
      <rPr>
        <b/>
        <vertAlign val="superscript"/>
        <sz val="10"/>
        <rFont val="Arial"/>
        <family val="2"/>
      </rPr>
      <t>3)</t>
    </r>
  </si>
  <si>
    <t>3) Summen av kolonne B, C og D skal stemme med tilsvarende linjer i resultatoppstillingen.</t>
  </si>
  <si>
    <t>Prinsippnote</t>
  </si>
  <si>
    <t>CII.01A</t>
  </si>
  <si>
    <t>CII.02A</t>
  </si>
  <si>
    <t>1B</t>
  </si>
  <si>
    <t>innbetaling av utbytte</t>
  </si>
  <si>
    <t>Tilskudd fra EUs rammeprogram for forskning (FP7, Horisont 2020 og Horisont Europa)</t>
  </si>
  <si>
    <t>Driftsløsøre, inventar, verktøy o.l.</t>
  </si>
  <si>
    <t>Tilskudd fra Horisont Europa</t>
  </si>
  <si>
    <t>Tilskudd fra Horisont 2020</t>
  </si>
  <si>
    <t>Tilskudd fra EUs rammeprogram for forskning (FP7)</t>
  </si>
  <si>
    <t>Tilskudd fra EUs randsoneprogram til FP7</t>
  </si>
  <si>
    <t>Koordinator-rolle (ja/nei)</t>
  </si>
  <si>
    <t>Referanse</t>
  </si>
  <si>
    <t>Prosjekt 1</t>
  </si>
  <si>
    <t>ja/nei</t>
  </si>
  <si>
    <t>Prosjekt 2</t>
  </si>
  <si>
    <t>Prosjekt 3</t>
  </si>
  <si>
    <t>Osv.</t>
  </si>
  <si>
    <r>
      <t>Tabellen skal omfatte de tiltak/prosjekter ved institusjonen som finansieres av EU og som er</t>
    </r>
    <r>
      <rPr>
        <u/>
        <sz val="10"/>
        <color indexed="8"/>
        <rFont val="Arial"/>
        <family val="2"/>
      </rPr>
      <t xml:space="preserve"> utbetalt</t>
    </r>
    <r>
      <rPr>
        <sz val="10"/>
        <color indexed="8"/>
        <rFont val="Arial"/>
        <family val="2"/>
      </rPr>
      <t xml:space="preserve"> i regnskapsperioden. Prosjekter som er EU-finansiert, størrelsen på finansieringen (utbetalingen) og navnet og kortnavnet på prosjektene </t>
    </r>
    <r>
      <rPr>
        <u/>
        <sz val="10"/>
        <color indexed="8"/>
        <rFont val="Arial"/>
        <family val="2"/>
      </rPr>
      <t>skal</t>
    </r>
    <r>
      <rPr>
        <sz val="10"/>
        <color indexed="8"/>
        <rFont val="Arial"/>
        <family val="2"/>
      </rPr>
      <t xml:space="preserve"> rapporteres. Det skal skilles mellom prosjekter som finansieres via Horisont Europa, Horisont 2020, EUs rammeprogram for forskning (FP7 ) og andre EU-finansierte prosjekter. Tilskudd fra EUs randsoneprogram til FP7 skal oppgis særskilt. Institusjoner som har koordinatorrolle i EU-finansierte prosjekter, skal opplyse om dette.</t>
    </r>
  </si>
  <si>
    <t>DKS.6A</t>
  </si>
  <si>
    <t>Virksomhet:</t>
  </si>
  <si>
    <r>
      <t>Periodens inntekt fra oppdragsfinansiert aktivitet</t>
    </r>
    <r>
      <rPr>
        <b/>
        <i/>
        <vertAlign val="superscript"/>
        <sz val="11"/>
        <rFont val="Calibri"/>
        <family val="2"/>
        <scheme val="minor"/>
      </rPr>
      <t>1)</t>
    </r>
  </si>
  <si>
    <r>
      <t xml:space="preserve">1) Vesentlige bidrag skal spesifiseres i egne avsnitt under oppstillingen. Linjene N1.013 skal </t>
    </r>
    <r>
      <rPr>
        <i/>
        <u/>
        <sz val="11"/>
        <rFont val="Calibri"/>
        <family val="2"/>
        <scheme val="minor"/>
      </rPr>
      <t>bare</t>
    </r>
    <r>
      <rPr>
        <i/>
        <sz val="11"/>
        <rFont val="Calibri"/>
        <family val="2"/>
        <scheme val="minor"/>
      </rPr>
      <t xml:space="preserve"> omfatte tilskudd/overføringer som omfattes av bestemmelsene i rundskriv   F-07-13.    Oppdragsinntekter og salgs- og leieinntekter skal spesifiseres i de respektive avsnittene nedenfor.</t>
    </r>
  </si>
  <si>
    <r>
      <rPr>
        <b/>
        <sz val="11"/>
        <rFont val="Calibri"/>
        <family val="2"/>
        <scheme val="minor"/>
      </rPr>
      <t>Inntekt fra tilskudd og overføringer</t>
    </r>
    <r>
      <rPr>
        <b/>
        <vertAlign val="superscript"/>
        <sz val="11"/>
        <rFont val="Calibri"/>
        <family val="2"/>
        <scheme val="minor"/>
      </rPr>
      <t>1)</t>
    </r>
  </si>
  <si>
    <r>
      <t xml:space="preserve">1) Vesentlige bidrag skal spesifiseres i egne avsnitt under oppstillingen. Linjene N1.80 til N1.22 skal </t>
    </r>
    <r>
      <rPr>
        <i/>
        <u/>
        <sz val="11"/>
        <rFont val="Calibri"/>
        <family val="2"/>
        <scheme val="minor"/>
      </rPr>
      <t>bare</t>
    </r>
    <r>
      <rPr>
        <i/>
        <sz val="11"/>
        <rFont val="Calibri"/>
        <family val="2"/>
        <scheme val="minor"/>
      </rPr>
      <t xml:space="preserve"> omfatte tilskudd/overføringer som omfattes av bestemmelsene i rundskriv   F-07-13.    Oppdragsinntekter og salgs- og leieinntekter skal spesifiseres i de respektive avsnittene nedenfor.</t>
    </r>
  </si>
  <si>
    <r>
      <t xml:space="preserve">1) Vesentlige bidrag skal spesifiseres i egne avsnitt under oppstillingen. Linje N1.52 skal </t>
    </r>
    <r>
      <rPr>
        <i/>
        <u/>
        <sz val="11"/>
        <rFont val="Calibri"/>
        <family val="2"/>
        <scheme val="minor"/>
      </rPr>
      <t>bare</t>
    </r>
    <r>
      <rPr>
        <i/>
        <sz val="11"/>
        <rFont val="Calibri"/>
        <family val="2"/>
        <scheme val="minor"/>
      </rPr>
      <t xml:space="preserve"> omfatte tilskudd/overføringer som omfattes av bestemmelsene i rundskriv   F-07-13.    </t>
    </r>
  </si>
  <si>
    <t xml:space="preserve"> + innbetaling av tilskudd/overføring fra EUs rammeprogram for forskning fra andre</t>
  </si>
  <si>
    <t xml:space="preserve"> - utbetaling av tilskudd fra Eus rammeprogram for forskning til andre virksomheter</t>
  </si>
  <si>
    <t>Skal fylles ut for utdanninger akkreditert etter UH-loven</t>
  </si>
  <si>
    <t>1)  Poster spesifiseres i følgende tabell.</t>
  </si>
  <si>
    <t>Handel med nærstående parter</t>
  </si>
  <si>
    <t>Navn på nærstående part</t>
  </si>
  <si>
    <t>Spesifisering av type vare eller tjeneste*</t>
  </si>
  <si>
    <t>Beløp</t>
  </si>
  <si>
    <t xml:space="preserve">Sum handel med nærstående parter </t>
  </si>
  <si>
    <t>1) Poster spesifiseres i følgende tabell.</t>
  </si>
  <si>
    <t>Fordringer og gjeld til eier og nærstående parter</t>
  </si>
  <si>
    <t>Navn på nærstående eller eier</t>
  </si>
  <si>
    <t>Spesifisiering av type fordring eller gjeld</t>
  </si>
  <si>
    <t>Sum fordringer og gjeld fra nærstående parter og eier</t>
  </si>
  <si>
    <t>*Det skal i egen oversikt fremkomme hva slags vare eller tjeneste som det handles med og gjeld og fordringer mot nærstående part og eier. Det kan for eksempel være regnskapstjenester, innleie av personell, utlån av midler eller kjøp av datamaskiner. Opplysningene skal videre omfatte transaksjonenes beløp og navnet på den nærstående part og eier.</t>
  </si>
  <si>
    <t>Annen økonomisk virksomhet*</t>
  </si>
  <si>
    <t>*Hvis rettssubjektet har annen virksomhet, skal det skrives en kort beskrivelse av denne/disse virksomheten(e):</t>
  </si>
  <si>
    <t>Andre driftskostnader (inkl. varekost og av- og nedskrivninger)</t>
  </si>
  <si>
    <t>Sum (skal stemme med resultatoppstillingen)</t>
  </si>
  <si>
    <t>Anskaffelseskost pr. 31.12.2023</t>
  </si>
  <si>
    <t>+ tilgang i 2024 (+)</t>
  </si>
  <si>
    <t>- avgang til anskaffelseskost i 2024 (-)</t>
  </si>
  <si>
    <t>Anskaffelseskost pr. 31.12.2024</t>
  </si>
  <si>
    <t>- akkumulerte nedskrivninger pr.31.12.2023 (-)</t>
  </si>
  <si>
    <t>- akkumulerte avskrivninger pr. 31.12.2023 (-)</t>
  </si>
  <si>
    <t>- ordinære avskrivninger i 2024 (-)</t>
  </si>
  <si>
    <t>Balanseført verdi 31.12.2024</t>
  </si>
  <si>
    <t>- nedskrivninger i 2024 (-)</t>
  </si>
  <si>
    <t>Egenkapital pr. 01.01.2024</t>
  </si>
  <si>
    <t>Endring i egenkapital i 2024</t>
  </si>
  <si>
    <t>Egenkapital pr. 31.12.2024</t>
  </si>
  <si>
    <t>1) Jfr. universitets- og høyskoleloven § 3-2,  §§ 6-5  og 6-6 og forskrift 2017-12-21-2383</t>
  </si>
  <si>
    <t>N1.052</t>
  </si>
  <si>
    <t>Renteinntekter fra foretak i samme konsern</t>
  </si>
  <si>
    <t>Rentekostnader til foretak i samme konsern</t>
  </si>
  <si>
    <t>N4.021A</t>
  </si>
  <si>
    <t>N4.011A</t>
  </si>
  <si>
    <t>Annen finansinntekt</t>
  </si>
  <si>
    <t>Annen finanskostnad</t>
  </si>
  <si>
    <t>RE.043</t>
  </si>
  <si>
    <t>RE.044</t>
  </si>
  <si>
    <t>Andre renteinntekter</t>
  </si>
  <si>
    <t>Andre rentekostnader</t>
  </si>
  <si>
    <t>Note 7 Rettigheter, utvikling, konsesjoner m.v.</t>
  </si>
  <si>
    <t>Rettigheter, utvikling, konsesjoner m.v.</t>
  </si>
  <si>
    <r>
      <t>Andre markedsbaserte finansielle instrumenter</t>
    </r>
    <r>
      <rPr>
        <vertAlign val="superscript"/>
        <sz val="11"/>
        <color rgb="FF000000"/>
        <rFont val="Calibri"/>
        <family val="2"/>
        <scheme val="minor"/>
      </rPr>
      <t>1)</t>
    </r>
  </si>
  <si>
    <t>BIII.05</t>
  </si>
  <si>
    <t>Fond</t>
  </si>
  <si>
    <t>+ akkumulert avskrivning ved avgang i 2024 (+)</t>
  </si>
  <si>
    <t>+ akkumulert avskrivning ved avgang  i 2024 (+)</t>
  </si>
  <si>
    <t>Reversering av nedskriving av finansielle eiendeler</t>
  </si>
  <si>
    <t>Rentekostnader fra foretak i samme konsern</t>
  </si>
  <si>
    <t>N21.043</t>
  </si>
  <si>
    <t>N21.044</t>
  </si>
  <si>
    <t xml:space="preserve">    -herav studie- og eksamensavgift fra studenter innenfor og utenfor EØS og Sveits</t>
  </si>
  <si>
    <t>Studie- og eksamensavgift fra studenter (eksklusiv studenter utenfor EØS og Sveits)</t>
  </si>
  <si>
    <t>Studie- og eksamensavgift fra studenter utenfor EØS og Sveits</t>
  </si>
  <si>
    <t>Virksomhetens navn: Bergen Arkitekthøgskole</t>
  </si>
  <si>
    <t>Org.nr: 977155061</t>
  </si>
  <si>
    <t>BAS Eiendom AS</t>
  </si>
  <si>
    <t>Lån til BAS Eiendom AS</t>
  </si>
  <si>
    <t>Langsiktig fordring på heileid datterselskap BAS Eiendom AS.</t>
  </si>
  <si>
    <t>Gjelder lån på 2 mill kroner fra BAS til datterselskap BAS Eiendom AS for å finansiere ny heis, som oppfyller</t>
  </si>
  <si>
    <t>krav til universell utforming. Vedtatt av styret i BAS. Gjennomført av BAS Eiendom AS som eier av skolebygget.</t>
  </si>
  <si>
    <t>Lånet på 2 mill. kroner er gitt på markedsmessige vilkår og regulert i skriftlig  låneavtale.</t>
  </si>
  <si>
    <t>N5A.010</t>
  </si>
  <si>
    <t>N5A.011</t>
  </si>
  <si>
    <t>N5A.012</t>
  </si>
  <si>
    <t>N5A.1</t>
  </si>
  <si>
    <t>N6A.010</t>
  </si>
  <si>
    <t>N6A.011</t>
  </si>
  <si>
    <t>N6A.012</t>
  </si>
  <si>
    <t>N6A.1</t>
  </si>
  <si>
    <t>2900 Depositum</t>
  </si>
  <si>
    <t>2905 Depositum kopikort</t>
  </si>
  <si>
    <t>2940 Skyldig ferielønn</t>
  </si>
  <si>
    <t>2960 Påløpt kostnader</t>
  </si>
  <si>
    <t>2990 Annen kortsiktig gjeld</t>
  </si>
  <si>
    <t>2130 Forskuddsbetalt offentlig støtte</t>
  </si>
  <si>
    <t>2131 Forskuddbetalt annen støtte/tilskudd</t>
  </si>
  <si>
    <t>2150 Avsetning vedrørende Norplus</t>
  </si>
  <si>
    <t>2295 Depositum langsiktig student skap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</si>
</sst>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3" formatCode="_-* #,##0.00_-;\-* #,##0.00_-;_-* &quot;-&quot;??_-;_-@_-"/>
    <numFmt numFmtId="164" formatCode="_ * #,##0.00_ ;_ * \-#,##0.00_ ;_ * &quot;-&quot;??_ ;_ @_ "/>
  </numFmts>
  <fonts count="78" x14ac:knownFonts="1">
    <font>
      <sz val="10"/>
      <name val="Arial"/>
      <family val="2"/>
    </font>
    <font>
      <sz val="11"/>
      <color theme="1"/>
      <name val="Calibri"/>
      <family val="2"/>
      <scheme val="minor"/>
    </font>
    <font>
      <sz val="11"/>
      <color theme="1"/>
      <name val="Calibri"/>
      <family val="2"/>
      <scheme val="minor"/>
    </font>
    <font>
      <sz val="10"/>
      <name val="Arial"/>
      <family val="2"/>
    </font>
    <font>
      <sz val="11"/>
      <name val="Calibri"/>
      <family val="2"/>
      <scheme val="minor"/>
    </font>
    <font>
      <b/>
      <sz val="11"/>
      <color rgb="FF000000"/>
      <name val="Calibri"/>
      <family val="2"/>
      <scheme val="minor"/>
    </font>
    <font>
      <sz val="11"/>
      <color rgb="FF000000"/>
      <name val="Calibri"/>
      <family val="2"/>
      <scheme val="minor"/>
    </font>
    <font>
      <b/>
      <i/>
      <sz val="11"/>
      <color rgb="FF000000"/>
      <name val="Calibri"/>
      <family val="2"/>
      <scheme val="minor"/>
    </font>
    <font>
      <i/>
      <sz val="11"/>
      <color rgb="FF000000"/>
      <name val="Calibri"/>
      <family val="2"/>
      <scheme val="minor"/>
    </font>
    <font>
      <b/>
      <sz val="11"/>
      <name val="Calibri"/>
      <family val="2"/>
      <scheme val="minor"/>
    </font>
    <font>
      <i/>
      <vertAlign val="superscript"/>
      <sz val="11"/>
      <color rgb="FF000000"/>
      <name val="Calibri"/>
      <family val="2"/>
      <scheme val="minor"/>
    </font>
    <font>
      <i/>
      <sz val="10"/>
      <name val="Times New Roman"/>
      <family val="1"/>
    </font>
    <font>
      <vertAlign val="superscript"/>
      <sz val="11"/>
      <color rgb="FF000000"/>
      <name val="Calibri"/>
      <family val="2"/>
      <scheme val="minor"/>
    </font>
    <font>
      <sz val="11"/>
      <name val="Times New Roman"/>
      <family val="1"/>
    </font>
    <font>
      <b/>
      <i/>
      <sz val="11"/>
      <name val="Times New Roman"/>
      <family val="1"/>
    </font>
    <font>
      <b/>
      <sz val="11"/>
      <name val="Times New Roman"/>
      <family val="1"/>
    </font>
    <font>
      <i/>
      <sz val="11"/>
      <name val="Times New Roman"/>
      <family val="1"/>
    </font>
    <font>
      <sz val="10"/>
      <name val="Arial"/>
      <family val="2"/>
    </font>
    <font>
      <b/>
      <sz val="10"/>
      <name val="Arial"/>
      <family val="2"/>
    </font>
    <font>
      <i/>
      <sz val="11"/>
      <name val="Calibri"/>
      <family val="2"/>
      <scheme val="minor"/>
    </font>
    <font>
      <b/>
      <vertAlign val="superscript"/>
      <sz val="11"/>
      <color rgb="FF000000"/>
      <name val="Calibri"/>
      <family val="2"/>
      <scheme val="minor"/>
    </font>
    <font>
      <sz val="11"/>
      <name val="Calibri"/>
      <family val="2"/>
    </font>
    <font>
      <vertAlign val="superscript"/>
      <sz val="11"/>
      <name val="Calibri"/>
      <family val="2"/>
    </font>
    <font>
      <vertAlign val="superscript"/>
      <sz val="11"/>
      <name val="Calibri"/>
      <family val="2"/>
      <scheme val="minor"/>
    </font>
    <font>
      <i/>
      <sz val="10"/>
      <name val="Arial"/>
      <family val="2"/>
    </font>
    <font>
      <i/>
      <vertAlign val="superscript"/>
      <sz val="11"/>
      <color theme="1"/>
      <name val="Calibri"/>
      <family val="2"/>
      <scheme val="minor"/>
    </font>
    <font>
      <sz val="11"/>
      <color rgb="FFFF0000"/>
      <name val="Calibri"/>
      <family val="2"/>
      <scheme val="minor"/>
    </font>
    <font>
      <sz val="10"/>
      <color rgb="FFFF0000"/>
      <name val="Arial"/>
      <family val="2"/>
    </font>
    <font>
      <b/>
      <vertAlign val="superscript"/>
      <sz val="10"/>
      <name val="Arial"/>
      <family val="2"/>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amily val="2"/>
    </font>
    <font>
      <b/>
      <sz val="11"/>
      <color indexed="8"/>
      <name val="Calibri"/>
      <family val="2"/>
    </font>
    <font>
      <sz val="11"/>
      <color indexed="8"/>
      <name val="Calibri"/>
      <family val="2"/>
    </font>
    <font>
      <sz val="11"/>
      <color indexed="10"/>
      <name val="Calibri"/>
      <family val="2"/>
    </font>
    <font>
      <b/>
      <sz val="18"/>
      <color theme="3"/>
      <name val="Cambria"/>
      <family val="2"/>
      <scheme val="major"/>
    </font>
    <font>
      <sz val="11"/>
      <color indexed="9"/>
      <name val="Calibri"/>
      <family val="2"/>
    </font>
    <font>
      <sz val="10"/>
      <color rgb="FF000000"/>
      <name val="Arial"/>
      <family val="2"/>
    </font>
    <font>
      <b/>
      <sz val="11"/>
      <color indexed="52"/>
      <name val="Calibri"/>
      <family val="2"/>
    </font>
    <font>
      <sz val="11"/>
      <color indexed="20"/>
      <name val="Calibri"/>
      <family val="2"/>
    </font>
    <font>
      <i/>
      <sz val="11"/>
      <color indexed="23"/>
      <name val="Calibri"/>
      <family val="2"/>
    </font>
    <font>
      <sz val="11"/>
      <color indexed="17"/>
      <name val="Calibri"/>
      <family val="2"/>
    </font>
    <font>
      <sz val="11"/>
      <color indexed="62"/>
      <name val="Calibri"/>
      <family val="2"/>
    </font>
    <font>
      <sz val="11"/>
      <color indexed="52"/>
      <name val="Calibri"/>
      <family val="2"/>
    </font>
    <font>
      <b/>
      <sz val="11"/>
      <color indexed="9"/>
      <name val="Calibri"/>
      <family val="2"/>
    </font>
    <font>
      <sz val="11"/>
      <color indexed="60"/>
      <name val="Calibri"/>
      <family val="2"/>
    </font>
    <font>
      <b/>
      <sz val="15"/>
      <color indexed="56"/>
      <name val="Calibri"/>
      <family val="2"/>
    </font>
    <font>
      <b/>
      <sz val="13"/>
      <color indexed="56"/>
      <name val="Calibri"/>
      <family val="2"/>
    </font>
    <font>
      <b/>
      <sz val="11"/>
      <color indexed="56"/>
      <name val="Calibri"/>
      <family val="2"/>
    </font>
    <font>
      <b/>
      <sz val="18"/>
      <color indexed="56"/>
      <name val="Cambria"/>
      <family val="2"/>
    </font>
    <font>
      <b/>
      <sz val="11"/>
      <color indexed="63"/>
      <name val="Calibri"/>
      <family val="2"/>
    </font>
    <font>
      <b/>
      <sz val="10"/>
      <color rgb="FFFF0000"/>
      <name val="Arial"/>
      <family val="2"/>
    </font>
    <font>
      <b/>
      <sz val="11"/>
      <color indexed="8"/>
      <name val="Arial"/>
      <family val="2"/>
    </font>
    <font>
      <sz val="10"/>
      <color indexed="8"/>
      <name val="Arial"/>
      <family val="2"/>
    </font>
    <font>
      <sz val="12"/>
      <color indexed="8"/>
      <name val="Arial"/>
      <family val="2"/>
    </font>
    <font>
      <i/>
      <sz val="11"/>
      <color indexed="8"/>
      <name val="Times New Roman"/>
      <family val="1"/>
    </font>
    <font>
      <b/>
      <sz val="12"/>
      <color indexed="8"/>
      <name val="Arial"/>
      <family val="2"/>
    </font>
    <font>
      <b/>
      <sz val="10"/>
      <color indexed="8"/>
      <name val="Arial"/>
      <family val="2"/>
    </font>
    <font>
      <u/>
      <sz val="10"/>
      <color indexed="8"/>
      <name val="Arial"/>
      <family val="2"/>
    </font>
    <font>
      <b/>
      <i/>
      <vertAlign val="superscript"/>
      <sz val="11"/>
      <name val="Calibri"/>
      <family val="2"/>
      <scheme val="minor"/>
    </font>
    <font>
      <b/>
      <i/>
      <sz val="11"/>
      <name val="Calibri"/>
      <family val="2"/>
      <scheme val="minor"/>
    </font>
    <font>
      <i/>
      <u/>
      <sz val="11"/>
      <name val="Calibri"/>
      <family val="2"/>
      <scheme val="minor"/>
    </font>
    <font>
      <b/>
      <vertAlign val="superscript"/>
      <sz val="11"/>
      <name val="Calibri"/>
      <family val="2"/>
      <scheme val="minor"/>
    </font>
    <font>
      <b/>
      <sz val="10"/>
      <color rgb="FF000000"/>
      <name val="Arial"/>
      <family val="2"/>
    </font>
    <font>
      <u/>
      <sz val="10"/>
      <color theme="10"/>
      <name val="Arial"/>
      <family val="2"/>
    </font>
    <font>
      <sz val="11"/>
      <color theme="4" tint="-0.249977111117893"/>
      <name val="Calibri"/>
      <family val="2"/>
      <scheme val="minor"/>
    </font>
  </fonts>
  <fills count="60">
    <fill>
      <patternFill patternType="none"/>
    </fill>
    <fill>
      <patternFill patternType="gray125"/>
    </fill>
    <fill>
      <patternFill patternType="solid">
        <fgColor rgb="FFBFBFBF"/>
        <bgColor rgb="FFBFBFBF"/>
      </patternFill>
    </fill>
    <fill>
      <patternFill patternType="solid">
        <fgColor rgb="FFC0C0C0"/>
        <bgColor rgb="FFC0C0C0"/>
      </patternFill>
    </fill>
    <fill>
      <patternFill patternType="solid">
        <fgColor rgb="FFD8D8D8"/>
        <bgColor rgb="FFD8D8D8"/>
      </patternFill>
    </fill>
    <fill>
      <patternFill patternType="solid">
        <fgColor theme="0" tint="-0.14999847407452621"/>
        <bgColor indexed="64"/>
      </patternFill>
    </fill>
    <fill>
      <patternFill patternType="solid">
        <fgColor rgb="FFFFFFFF"/>
        <bgColor rgb="FFFFFFFF"/>
      </patternFill>
    </fill>
    <fill>
      <patternFill patternType="solid">
        <fgColor rgb="FFD9D9D9"/>
        <bgColor rgb="FF000000"/>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9"/>
      </patternFill>
    </fill>
    <fill>
      <patternFill patternType="solid">
        <fgColor indexed="26"/>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47"/>
      </patternFill>
    </fill>
    <fill>
      <patternFill patternType="solid">
        <fgColor indexed="44"/>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2"/>
      </patternFill>
    </fill>
    <fill>
      <patternFill patternType="solid">
        <fgColor indexed="55"/>
      </patternFill>
    </fill>
    <fill>
      <patternFill patternType="solid">
        <fgColor indexed="43"/>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rgb="FFCCC0DA"/>
        <bgColor rgb="FF000000"/>
      </patternFill>
    </fill>
  </fills>
  <borders count="71">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right style="thin">
        <color rgb="FF000000"/>
      </right>
      <top/>
      <bottom style="thin">
        <color rgb="FF000000"/>
      </bottom>
      <diagonal/>
    </border>
    <border>
      <left style="thin">
        <color rgb="FF000000"/>
      </left>
      <right/>
      <top/>
      <bottom/>
      <diagonal/>
    </border>
    <border>
      <left style="thin">
        <color rgb="FF000000"/>
      </left>
      <right/>
      <top/>
      <bottom style="thin">
        <color rgb="FF000000"/>
      </bottom>
      <diagonal/>
    </border>
    <border>
      <left style="thin">
        <color rgb="FF000000"/>
      </left>
      <right/>
      <top style="thin">
        <color rgb="FF000000"/>
      </top>
      <bottom style="thin">
        <color rgb="FF000000"/>
      </bottom>
      <diagonal/>
    </border>
    <border>
      <left/>
      <right/>
      <top/>
      <bottom style="thin">
        <color rgb="FF000000"/>
      </bottom>
      <diagonal/>
    </border>
    <border>
      <left style="thin">
        <color indexed="64"/>
      </left>
      <right style="thin">
        <color indexed="64"/>
      </right>
      <top style="thin">
        <color indexed="64"/>
      </top>
      <bottom style="thin">
        <color indexed="64"/>
      </bottom>
      <diagonal/>
    </border>
    <border>
      <left/>
      <right style="thin">
        <color rgb="FF000000"/>
      </right>
      <top style="thin">
        <color indexed="64"/>
      </top>
      <bottom style="thin">
        <color rgb="FF000000"/>
      </bottom>
      <diagonal/>
    </border>
    <border>
      <left style="thin">
        <color rgb="FF000000"/>
      </left>
      <right style="thin">
        <color rgb="FF000000"/>
      </right>
      <top style="thin">
        <color indexed="64"/>
      </top>
      <bottom style="thin">
        <color rgb="FF000000"/>
      </bottom>
      <diagonal/>
    </border>
    <border>
      <left/>
      <right/>
      <top style="thin">
        <color rgb="FF000000"/>
      </top>
      <bottom style="thin">
        <color rgb="FF000000"/>
      </bottom>
      <diagonal/>
    </border>
    <border>
      <left/>
      <right/>
      <top style="thin">
        <color rgb="FF000000"/>
      </top>
      <bottom/>
      <diagonal/>
    </border>
    <border>
      <left style="thin">
        <color rgb="FF000000"/>
      </left>
      <right style="thin">
        <color rgb="FF000000"/>
      </right>
      <top style="thin">
        <color indexed="64"/>
      </top>
      <bottom/>
      <diagonal/>
    </border>
    <border>
      <left style="thin">
        <color rgb="FF000000"/>
      </left>
      <right style="thin">
        <color rgb="FF000000"/>
      </right>
      <top style="thin">
        <color indexed="64"/>
      </top>
      <bottom style="thin">
        <color indexed="64"/>
      </bottom>
      <diagonal/>
    </border>
    <border>
      <left style="thin">
        <color rgb="FF000000"/>
      </left>
      <right style="thin">
        <color rgb="FF000000"/>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rgb="FF000000"/>
      </left>
      <right style="thin">
        <color indexed="64"/>
      </right>
      <top style="thin">
        <color indexed="64"/>
      </top>
      <bottom style="thin">
        <color indexed="64"/>
      </bottom>
      <diagonal/>
    </border>
    <border>
      <left style="thin">
        <color rgb="FF000000"/>
      </left>
      <right style="thin">
        <color indexed="64"/>
      </right>
      <top/>
      <bottom/>
      <diagonal/>
    </border>
    <border>
      <left style="thin">
        <color rgb="FF000000"/>
      </left>
      <right style="thin">
        <color indexed="64"/>
      </right>
      <top style="thin">
        <color rgb="FF000000"/>
      </top>
      <bottom style="thin">
        <color indexed="64"/>
      </bottom>
      <diagonal/>
    </border>
    <border>
      <left style="thin">
        <color rgb="FF000000"/>
      </left>
      <right style="thin">
        <color indexed="64"/>
      </right>
      <top style="thin">
        <color rgb="FF000000"/>
      </top>
      <bottom style="thin">
        <color rgb="FF000000"/>
      </bottom>
      <diagonal/>
    </border>
    <border>
      <left/>
      <right/>
      <top style="thin">
        <color indexed="64"/>
      </top>
      <bottom style="thin">
        <color indexed="64"/>
      </bottom>
      <diagonal/>
    </border>
    <border>
      <left/>
      <right/>
      <top/>
      <bottom style="thin">
        <color indexed="64"/>
      </bottom>
      <diagonal/>
    </border>
    <border>
      <left/>
      <right/>
      <top style="thin">
        <color auto="1"/>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top style="thin">
        <color rgb="FF000000"/>
      </top>
      <bottom style="thin">
        <color rgb="FF000000"/>
      </bottom>
      <diagonal/>
    </border>
    <border>
      <left/>
      <right/>
      <top style="thin">
        <color indexed="64"/>
      </top>
      <bottom style="thin">
        <color rgb="FF000000"/>
      </bottom>
      <diagonal/>
    </border>
    <border>
      <left style="thin">
        <color indexed="64"/>
      </left>
      <right style="thin">
        <color indexed="64"/>
      </right>
      <top/>
      <bottom style="thin">
        <color rgb="FF000000"/>
      </bottom>
      <diagonal/>
    </border>
    <border>
      <left style="thin">
        <color indexed="64"/>
      </left>
      <right style="thin">
        <color indexed="64"/>
      </right>
      <top style="thin">
        <color rgb="FF000000"/>
      </top>
      <bottom style="thin">
        <color rgb="FF000000"/>
      </bottom>
      <diagonal/>
    </border>
    <border>
      <left style="thin">
        <color indexed="64"/>
      </left>
      <right style="thin">
        <color indexed="64"/>
      </right>
      <top style="thin">
        <color rgb="FF000000"/>
      </top>
      <bottom/>
      <diagonal/>
    </border>
    <border>
      <left style="thin">
        <color indexed="64"/>
      </left>
      <right style="thin">
        <color indexed="64"/>
      </right>
      <top style="thin">
        <color rgb="FF000000"/>
      </top>
      <bottom style="thin">
        <color indexed="64"/>
      </bottom>
      <diagonal/>
    </border>
    <border>
      <left style="thin">
        <color rgb="FF000000"/>
      </left>
      <right style="thin">
        <color indexed="64"/>
      </right>
      <top/>
      <bottom style="thin">
        <color rgb="FF000000"/>
      </bottom>
      <diagonal/>
    </border>
    <border>
      <left style="thin">
        <color indexed="64"/>
      </left>
      <right style="thin">
        <color indexed="64"/>
      </right>
      <top style="thin">
        <color indexed="64"/>
      </top>
      <bottom style="thin">
        <color rgb="FF000000"/>
      </bottom>
      <diagonal/>
    </border>
    <border>
      <left style="thin">
        <color rgb="FF000000"/>
      </left>
      <right/>
      <top style="thin">
        <color indexed="64"/>
      </top>
      <bottom style="thin">
        <color rgb="FF000000"/>
      </bottom>
      <diagonal/>
    </border>
    <border>
      <left style="thin">
        <color indexed="64"/>
      </left>
      <right style="thin">
        <color rgb="FF000000"/>
      </right>
      <top/>
      <bottom style="thin">
        <color rgb="FF000000"/>
      </bottom>
      <diagonal/>
    </border>
    <border>
      <left/>
      <right style="thin">
        <color indexed="64"/>
      </right>
      <top/>
      <bottom/>
      <diagonal/>
    </border>
    <border>
      <left/>
      <right style="thin">
        <color indexed="64"/>
      </right>
      <top style="thin">
        <color auto="1"/>
      </top>
      <bottom/>
      <diagonal/>
    </border>
    <border>
      <left style="thin">
        <color rgb="FF000000"/>
      </left>
      <right style="thin">
        <color indexed="64"/>
      </right>
      <top style="thin">
        <color rgb="FF000000"/>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right/>
      <top style="thin">
        <color indexed="64"/>
      </top>
      <bottom/>
      <diagonal/>
    </border>
    <border>
      <left/>
      <right style="thin">
        <color indexed="64"/>
      </right>
      <top style="thin">
        <color indexed="64"/>
      </top>
      <bottom/>
      <diagonal/>
    </border>
    <border>
      <left style="thin">
        <color indexed="64"/>
      </left>
      <right style="thin">
        <color rgb="FF000000"/>
      </right>
      <top/>
      <bottom/>
      <diagonal/>
    </border>
  </borders>
  <cellStyleXfs count="2478">
    <xf numFmtId="0" fontId="0" fillId="0" borderId="0"/>
    <xf numFmtId="0" fontId="3" fillId="0" borderId="0"/>
    <xf numFmtId="0" fontId="3" fillId="0" borderId="0"/>
    <xf numFmtId="9" fontId="3" fillId="0" borderId="0" applyFont="0" applyFill="0" applyBorder="0" applyAlignment="0" applyProtection="0"/>
    <xf numFmtId="9" fontId="3" fillId="0" borderId="0" applyFont="0" applyFill="0" applyBorder="0" applyAlignment="0" applyProtection="0"/>
    <xf numFmtId="0" fontId="43" fillId="0" borderId="0"/>
    <xf numFmtId="0" fontId="3" fillId="0" borderId="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0" fontId="3" fillId="0" borderId="0"/>
    <xf numFmtId="0" fontId="3" fillId="0" borderId="0"/>
    <xf numFmtId="0" fontId="1" fillId="0" borderId="0"/>
    <xf numFmtId="9" fontId="3" fillId="0" borderId="0" applyFont="0" applyFill="0" applyBorder="0" applyAlignment="0" applyProtection="0"/>
    <xf numFmtId="0" fontId="1" fillId="0" borderId="0"/>
    <xf numFmtId="0" fontId="42" fillId="30" borderId="0" applyNumberFormat="0" applyBorder="0" applyAlignment="0" applyProtection="0"/>
    <xf numFmtId="0" fontId="1" fillId="0" borderId="0"/>
    <xf numFmtId="164" fontId="3" fillId="0" borderId="0" applyFont="0" applyFill="0" applyBorder="0" applyAlignment="0" applyProtection="0"/>
    <xf numFmtId="164" fontId="3"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3" fillId="0" borderId="0" applyFont="0" applyFill="0" applyBorder="0" applyAlignment="0" applyProtection="0"/>
    <xf numFmtId="164" fontId="3" fillId="0" borderId="0" applyFont="0" applyFill="0" applyBorder="0" applyAlignment="0" applyProtection="0"/>
    <xf numFmtId="0" fontId="1" fillId="0" borderId="0"/>
    <xf numFmtId="0" fontId="3" fillId="0" borderId="0"/>
    <xf numFmtId="164" fontId="3" fillId="0" borderId="0" applyFont="0" applyFill="0" applyBorder="0" applyAlignment="0" applyProtection="0"/>
    <xf numFmtId="0" fontId="1" fillId="16"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5" borderId="0" applyNumberFormat="0" applyBorder="0" applyAlignment="0" applyProtection="0"/>
    <xf numFmtId="0" fontId="1" fillId="17" borderId="0" applyNumberFormat="0" applyBorder="0" applyAlignment="0" applyProtection="0"/>
    <xf numFmtId="0" fontId="1" fillId="21"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1" fillId="36" borderId="0" applyNumberFormat="0" applyBorder="0" applyAlignment="0" applyProtection="0"/>
    <xf numFmtId="0" fontId="42" fillId="18" borderId="0" applyNumberFormat="0" applyBorder="0" applyAlignment="0" applyProtection="0"/>
    <xf numFmtId="0" fontId="48" fillId="38" borderId="0" applyNumberFormat="0" applyBorder="0" applyAlignment="0" applyProtection="0"/>
    <xf numFmtId="0" fontId="42" fillId="25" borderId="0" applyNumberFormat="0" applyBorder="0" applyAlignment="0" applyProtection="0"/>
    <xf numFmtId="0" fontId="42" fillId="29" borderId="0" applyNumberFormat="0" applyBorder="0" applyAlignment="0" applyProtection="0"/>
    <xf numFmtId="0" fontId="42" fillId="33" borderId="0" applyNumberFormat="0" applyBorder="0" applyAlignment="0" applyProtection="0"/>
    <xf numFmtId="0" fontId="42" fillId="37" borderId="0" applyNumberFormat="0" applyBorder="0" applyAlignment="0" applyProtection="0"/>
    <xf numFmtId="0" fontId="42" fillId="15" borderId="0" applyNumberFormat="0" applyBorder="0" applyAlignment="0" applyProtection="0"/>
    <xf numFmtId="0" fontId="42" fillId="19" borderId="0" applyNumberFormat="0" applyBorder="0" applyAlignment="0" applyProtection="0"/>
    <xf numFmtId="0" fontId="42" fillId="22" borderId="0" applyNumberFormat="0" applyBorder="0" applyAlignment="0" applyProtection="0"/>
    <xf numFmtId="0" fontId="42" fillId="26" borderId="0" applyNumberFormat="0" applyBorder="0" applyAlignment="0" applyProtection="0"/>
    <xf numFmtId="0" fontId="42" fillId="34" borderId="0" applyNumberFormat="0" applyBorder="0" applyAlignment="0" applyProtection="0"/>
    <xf numFmtId="0" fontId="33" fillId="9" borderId="0" applyNumberFormat="0" applyBorder="0" applyAlignment="0" applyProtection="0"/>
    <xf numFmtId="0" fontId="37" fillId="12" borderId="53" applyNumberFormat="0" applyAlignment="0" applyProtection="0"/>
    <xf numFmtId="0" fontId="39" fillId="13" borderId="56" applyNumberFormat="0" applyAlignment="0" applyProtection="0"/>
    <xf numFmtId="164" fontId="49" fillId="0" borderId="0" applyFont="0" applyFill="0" applyBorder="0" applyAlignment="0" applyProtection="0"/>
    <xf numFmtId="0" fontId="40" fillId="0" borderId="0" applyNumberFormat="0" applyFill="0" applyBorder="0" applyAlignment="0" applyProtection="0"/>
    <xf numFmtId="0" fontId="32" fillId="8" borderId="0" applyNumberFormat="0" applyBorder="0" applyAlignment="0" applyProtection="0"/>
    <xf numFmtId="0" fontId="29" fillId="0" borderId="50" applyNumberFormat="0" applyFill="0" applyAlignment="0" applyProtection="0"/>
    <xf numFmtId="0" fontId="30" fillId="0" borderId="51" applyNumberFormat="0" applyFill="0" applyAlignment="0" applyProtection="0"/>
    <xf numFmtId="0" fontId="31" fillId="0" borderId="52" applyNumberFormat="0" applyFill="0" applyAlignment="0" applyProtection="0"/>
    <xf numFmtId="0" fontId="31" fillId="0" borderId="0" applyNumberFormat="0" applyFill="0" applyBorder="0" applyAlignment="0" applyProtection="0"/>
    <xf numFmtId="0" fontId="35" fillId="11" borderId="53" applyNumberFormat="0" applyAlignment="0" applyProtection="0"/>
    <xf numFmtId="0" fontId="38" fillId="0" borderId="55" applyNumberFormat="0" applyFill="0" applyAlignment="0" applyProtection="0"/>
    <xf numFmtId="0" fontId="34" fillId="10" borderId="0" applyNumberFormat="0" applyBorder="0" applyAlignment="0" applyProtection="0"/>
    <xf numFmtId="0" fontId="1" fillId="14" borderId="57" applyNumberFormat="0" applyFont="0" applyAlignment="0" applyProtection="0"/>
    <xf numFmtId="0" fontId="36" fillId="12" borderId="54" applyNumberFormat="0" applyAlignment="0" applyProtection="0"/>
    <xf numFmtId="0" fontId="47" fillId="0" borderId="0" applyNumberFormat="0" applyFill="0" applyBorder="0" applyAlignment="0" applyProtection="0"/>
    <xf numFmtId="0" fontId="41" fillId="0" borderId="58" applyNumberFormat="0" applyFill="0" applyAlignment="0" applyProtection="0"/>
    <xf numFmtId="0" fontId="26" fillId="0" borderId="0" applyNumberForma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0" fontId="3" fillId="39" borderId="59" applyNumberFormat="0" applyFont="0" applyAlignment="0" applyProtection="0"/>
    <xf numFmtId="0" fontId="3" fillId="39" borderId="59" applyNumberFormat="0" applyFont="0" applyAlignment="0" applyProtection="0"/>
    <xf numFmtId="0" fontId="3" fillId="39" borderId="59"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3" fillId="0" borderId="0"/>
    <xf numFmtId="9" fontId="3" fillId="0" borderId="0" applyFont="0" applyFill="0" applyBorder="0" applyAlignment="0" applyProtection="0"/>
    <xf numFmtId="9" fontId="3" fillId="0" borderId="0" applyFont="0" applyFill="0" applyBorder="0" applyAlignment="0" applyProtection="0"/>
    <xf numFmtId="164" fontId="3"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6"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5" borderId="0" applyNumberFormat="0" applyBorder="0" applyAlignment="0" applyProtection="0"/>
    <xf numFmtId="0" fontId="1" fillId="17" borderId="0" applyNumberFormat="0" applyBorder="0" applyAlignment="0" applyProtection="0"/>
    <xf numFmtId="0" fontId="1" fillId="21"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1" fillId="36" borderId="0" applyNumberFormat="0" applyBorder="0" applyAlignment="0" applyProtection="0"/>
    <xf numFmtId="0" fontId="1" fillId="14" borderId="57"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39" borderId="59" applyNumberFormat="0" applyFont="0" applyAlignment="0" applyProtection="0"/>
    <xf numFmtId="0" fontId="3" fillId="39" borderId="59" applyNumberFormat="0" applyFont="0" applyAlignment="0" applyProtection="0"/>
    <xf numFmtId="0" fontId="3" fillId="39" borderId="59" applyNumberFormat="0" applyFont="0" applyAlignment="0" applyProtection="0"/>
    <xf numFmtId="0" fontId="1" fillId="31" borderId="0" applyNumberFormat="0" applyBorder="0" applyAlignment="0" applyProtection="0"/>
    <xf numFmtId="0" fontId="1" fillId="0" borderId="0"/>
    <xf numFmtId="0" fontId="45" fillId="40" borderId="0" applyNumberFormat="0" applyBorder="0" applyAlignment="0" applyProtection="0"/>
    <xf numFmtId="0" fontId="45" fillId="41" borderId="0" applyNumberFormat="0" applyBorder="0" applyAlignment="0" applyProtection="0"/>
    <xf numFmtId="0" fontId="45" fillId="42" borderId="0" applyNumberFormat="0" applyBorder="0" applyAlignment="0" applyProtection="0"/>
    <xf numFmtId="0" fontId="45" fillId="43"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45" fillId="44" borderId="0" applyNumberFormat="0" applyBorder="0" applyAlignment="0" applyProtection="0"/>
    <xf numFmtId="0" fontId="45" fillId="45" borderId="0" applyNumberFormat="0" applyBorder="0" applyAlignment="0" applyProtection="0"/>
    <xf numFmtId="0" fontId="45" fillId="38" borderId="0" applyNumberFormat="0" applyBorder="0" applyAlignment="0" applyProtection="0"/>
    <xf numFmtId="0" fontId="45" fillId="46" borderId="0" applyNumberFormat="0" applyBorder="0" applyAlignment="0" applyProtection="0"/>
    <xf numFmtId="0" fontId="45" fillId="43"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45" fillId="45"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45" fillId="47" borderId="0" applyNumberFormat="0" applyBorder="0" applyAlignment="0" applyProtection="0"/>
    <xf numFmtId="0" fontId="48" fillId="48" borderId="0" applyNumberFormat="0" applyBorder="0" applyAlignment="0" applyProtection="0"/>
    <xf numFmtId="0" fontId="48" fillId="38" borderId="0" applyNumberFormat="0" applyBorder="0" applyAlignment="0" applyProtection="0"/>
    <xf numFmtId="0" fontId="48" fillId="46" borderId="0" applyNumberFormat="0" applyBorder="0" applyAlignment="0" applyProtection="0"/>
    <xf numFmtId="0" fontId="48" fillId="49" borderId="0" applyNumberFormat="0" applyBorder="0" applyAlignment="0" applyProtection="0"/>
    <xf numFmtId="0" fontId="48" fillId="50" borderId="0" applyNumberFormat="0" applyBorder="0" applyAlignment="0" applyProtection="0"/>
    <xf numFmtId="0" fontId="48" fillId="51" borderId="0" applyNumberFormat="0" applyBorder="0" applyAlignment="0" applyProtection="0"/>
    <xf numFmtId="0" fontId="50" fillId="52" borderId="60" applyNumberFormat="0" applyAlignment="0" applyProtection="0"/>
    <xf numFmtId="0" fontId="51" fillId="41" borderId="0" applyNumberFormat="0" applyBorder="0" applyAlignment="0" applyProtection="0"/>
    <xf numFmtId="0" fontId="52" fillId="0" borderId="0" applyNumberFormat="0" applyFill="0" applyBorder="0" applyAlignment="0" applyProtection="0"/>
    <xf numFmtId="0" fontId="53" fillId="42" borderId="0" applyNumberFormat="0" applyBorder="0" applyAlignment="0" applyProtection="0"/>
    <xf numFmtId="0" fontId="54" fillId="44" borderId="60" applyNumberFormat="0" applyAlignment="0" applyProtection="0"/>
    <xf numFmtId="0" fontId="55" fillId="0" borderId="61" applyNumberFormat="0" applyFill="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56" fillId="53" borderId="62"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57" fillId="54" borderId="0" applyNumberFormat="0" applyBorder="0" applyAlignment="0" applyProtection="0"/>
    <xf numFmtId="0" fontId="58" fillId="0" borderId="63" applyNumberFormat="0" applyFill="0" applyAlignment="0" applyProtection="0"/>
    <xf numFmtId="0" fontId="59" fillId="0" borderId="64" applyNumberFormat="0" applyFill="0" applyAlignment="0" applyProtection="0"/>
    <xf numFmtId="0" fontId="60" fillId="0" borderId="65" applyNumberFormat="0" applyFill="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44" fillId="0" borderId="66" applyNumberFormat="0" applyFill="0" applyAlignment="0" applyProtection="0"/>
    <xf numFmtId="0" fontId="62" fillId="52" borderId="67" applyNumberFormat="0" applyAlignment="0" applyProtection="0"/>
    <xf numFmtId="0" fontId="48" fillId="55" borderId="0" applyNumberFormat="0" applyBorder="0" applyAlignment="0" applyProtection="0"/>
    <xf numFmtId="0" fontId="48" fillId="56" borderId="0" applyNumberFormat="0" applyBorder="0" applyAlignment="0" applyProtection="0"/>
    <xf numFmtId="0" fontId="48" fillId="57" borderId="0" applyNumberFormat="0" applyBorder="0" applyAlignment="0" applyProtection="0"/>
    <xf numFmtId="0" fontId="48" fillId="49" borderId="0" applyNumberFormat="0" applyBorder="0" applyAlignment="0" applyProtection="0"/>
    <xf numFmtId="0" fontId="48" fillId="50" borderId="0" applyNumberFormat="0" applyBorder="0" applyAlignment="0" applyProtection="0"/>
    <xf numFmtId="0" fontId="48" fillId="58" borderId="0" applyNumberFormat="0" applyBorder="0" applyAlignment="0" applyProtection="0"/>
    <xf numFmtId="0" fontId="46" fillId="0" borderId="0" applyNumberFormat="0" applyFill="0" applyBorder="0" applyAlignment="0" applyProtection="0"/>
    <xf numFmtId="0" fontId="1" fillId="0" borderId="0"/>
    <xf numFmtId="0" fontId="1" fillId="0" borderId="0"/>
    <xf numFmtId="0" fontId="1" fillId="0" borderId="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0" fontId="1" fillId="0" borderId="0"/>
    <xf numFmtId="0" fontId="1" fillId="0" borderId="0"/>
    <xf numFmtId="0" fontId="1" fillId="0" borderId="0"/>
    <xf numFmtId="164" fontId="3" fillId="0" borderId="0" applyFont="0" applyFill="0" applyBorder="0" applyAlignment="0" applyProtection="0"/>
    <xf numFmtId="164" fontId="3"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3" fillId="0" borderId="0" applyFont="0" applyFill="0" applyBorder="0" applyAlignment="0" applyProtection="0"/>
    <xf numFmtId="164" fontId="3" fillId="0" borderId="0" applyFont="0" applyFill="0" applyBorder="0" applyAlignment="0" applyProtection="0"/>
    <xf numFmtId="0" fontId="1" fillId="0" borderId="0"/>
    <xf numFmtId="164" fontId="3" fillId="0" borderId="0" applyFont="0" applyFill="0" applyBorder="0" applyAlignment="0" applyProtection="0"/>
    <xf numFmtId="0" fontId="1" fillId="16"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5" borderId="0" applyNumberFormat="0" applyBorder="0" applyAlignment="0" applyProtection="0"/>
    <xf numFmtId="0" fontId="1" fillId="17" borderId="0" applyNumberFormat="0" applyBorder="0" applyAlignment="0" applyProtection="0"/>
    <xf numFmtId="0" fontId="1" fillId="21"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1" fillId="36" borderId="0" applyNumberFormat="0" applyBorder="0" applyAlignment="0" applyProtection="0"/>
    <xf numFmtId="164" fontId="49" fillId="0" borderId="0" applyFont="0" applyFill="0" applyBorder="0" applyAlignment="0" applyProtection="0"/>
    <xf numFmtId="0" fontId="1" fillId="14" borderId="57" applyNumberFormat="0" applyFont="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0" fontId="3" fillId="39" borderId="59" applyNumberFormat="0" applyFont="0" applyAlignment="0" applyProtection="0"/>
    <xf numFmtId="0" fontId="3" fillId="39" borderId="59" applyNumberFormat="0" applyFont="0" applyAlignment="0" applyProtection="0"/>
    <xf numFmtId="0" fontId="3" fillId="39" borderId="59" applyNumberFormat="0" applyFont="0" applyAlignment="0" applyProtection="0"/>
    <xf numFmtId="0" fontId="1" fillId="0" borderId="0"/>
    <xf numFmtId="0" fontId="1" fillId="0" borderId="0"/>
    <xf numFmtId="0" fontId="1" fillId="0" borderId="0"/>
    <xf numFmtId="0" fontId="1" fillId="0" borderId="0"/>
    <xf numFmtId="164" fontId="3"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6"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5" borderId="0" applyNumberFormat="0" applyBorder="0" applyAlignment="0" applyProtection="0"/>
    <xf numFmtId="0" fontId="1" fillId="17" borderId="0" applyNumberFormat="0" applyBorder="0" applyAlignment="0" applyProtection="0"/>
    <xf numFmtId="0" fontId="1" fillId="21"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1" fillId="36" borderId="0" applyNumberFormat="0" applyBorder="0" applyAlignment="0" applyProtection="0"/>
    <xf numFmtId="0" fontId="1" fillId="14" borderId="57"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39" borderId="59" applyNumberFormat="0" applyFont="0" applyAlignment="0" applyProtection="0"/>
    <xf numFmtId="0" fontId="3" fillId="39" borderId="59" applyNumberFormat="0" applyFont="0" applyAlignment="0" applyProtection="0"/>
    <xf numFmtId="0" fontId="3" fillId="39" borderId="59" applyNumberFormat="0" applyFont="0" applyAlignment="0" applyProtection="0"/>
    <xf numFmtId="0" fontId="1" fillId="31" borderId="0" applyNumberFormat="0" applyBorder="0" applyAlignment="0" applyProtection="0"/>
    <xf numFmtId="0" fontId="1" fillId="0" borderId="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50" fillId="52" borderId="60" applyNumberFormat="0" applyAlignment="0" applyProtection="0"/>
    <xf numFmtId="0" fontId="54" fillId="44" borderId="60" applyNumberFormat="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4" fillId="0" borderId="66" applyNumberFormat="0" applyFill="0" applyAlignment="0" applyProtection="0"/>
    <xf numFmtId="0" fontId="62" fillId="52" borderId="67" applyNumberFormat="0" applyAlignment="0" applyProtection="0"/>
    <xf numFmtId="0" fontId="1" fillId="0" borderId="0"/>
    <xf numFmtId="0" fontId="1" fillId="0" borderId="0"/>
    <xf numFmtId="0" fontId="1" fillId="0" borderId="0"/>
    <xf numFmtId="164" fontId="3" fillId="0" borderId="0" applyFont="0" applyFill="0" applyBorder="0" applyAlignment="0" applyProtection="0"/>
    <xf numFmtId="0" fontId="1" fillId="31" borderId="0" applyNumberFormat="0" applyBorder="0" applyAlignment="0" applyProtection="0"/>
    <xf numFmtId="0" fontId="1" fillId="0" borderId="0"/>
    <xf numFmtId="0" fontId="1" fillId="0" borderId="0"/>
    <xf numFmtId="0" fontId="1" fillId="0" borderId="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6"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5" borderId="0" applyNumberFormat="0" applyBorder="0" applyAlignment="0" applyProtection="0"/>
    <xf numFmtId="0" fontId="1" fillId="17" borderId="0" applyNumberFormat="0" applyBorder="0" applyAlignment="0" applyProtection="0"/>
    <xf numFmtId="0" fontId="1" fillId="21"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1" fillId="36" borderId="0" applyNumberFormat="0" applyBorder="0" applyAlignment="0" applyProtection="0"/>
    <xf numFmtId="0" fontId="1" fillId="14" borderId="57"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6"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5" borderId="0" applyNumberFormat="0" applyBorder="0" applyAlignment="0" applyProtection="0"/>
    <xf numFmtId="0" fontId="1" fillId="17" borderId="0" applyNumberFormat="0" applyBorder="0" applyAlignment="0" applyProtection="0"/>
    <xf numFmtId="0" fontId="1" fillId="21"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1" fillId="36" borderId="0" applyNumberFormat="0" applyBorder="0" applyAlignment="0" applyProtection="0"/>
    <xf numFmtId="0" fontId="1" fillId="14" borderId="57"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1" borderId="0" applyNumberFormat="0" applyBorder="0" applyAlignment="0" applyProtection="0"/>
    <xf numFmtId="0" fontId="1" fillId="0" borderId="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0" fontId="1" fillId="0" borderId="0"/>
    <xf numFmtId="0" fontId="1" fillId="0" borderId="0"/>
    <xf numFmtId="0" fontId="1" fillId="0" borderId="0"/>
    <xf numFmtId="164" fontId="3" fillId="0" borderId="0" applyFont="0" applyFill="0" applyBorder="0" applyAlignment="0" applyProtection="0"/>
    <xf numFmtId="164" fontId="3"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3" fillId="0" borderId="0" applyFont="0" applyFill="0" applyBorder="0" applyAlignment="0" applyProtection="0"/>
    <xf numFmtId="164" fontId="3" fillId="0" borderId="0" applyFont="0" applyFill="0" applyBorder="0" applyAlignment="0" applyProtection="0"/>
    <xf numFmtId="0" fontId="1" fillId="0" borderId="0"/>
    <xf numFmtId="164" fontId="3" fillId="0" borderId="0" applyFont="0" applyFill="0" applyBorder="0" applyAlignment="0" applyProtection="0"/>
    <xf numFmtId="0" fontId="1" fillId="16"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5" borderId="0" applyNumberFormat="0" applyBorder="0" applyAlignment="0" applyProtection="0"/>
    <xf numFmtId="0" fontId="1" fillId="17" borderId="0" applyNumberFormat="0" applyBorder="0" applyAlignment="0" applyProtection="0"/>
    <xf numFmtId="0" fontId="1" fillId="21"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1" fillId="36" borderId="0" applyNumberFormat="0" applyBorder="0" applyAlignment="0" applyProtection="0"/>
    <xf numFmtId="164" fontId="49" fillId="0" borderId="0" applyFont="0" applyFill="0" applyBorder="0" applyAlignment="0" applyProtection="0"/>
    <xf numFmtId="0" fontId="1" fillId="14" borderId="57" applyNumberFormat="0" applyFont="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0" fontId="1" fillId="0" borderId="0"/>
    <xf numFmtId="0" fontId="1" fillId="0" borderId="0"/>
    <xf numFmtId="0" fontId="1" fillId="0" borderId="0"/>
    <xf numFmtId="0" fontId="1" fillId="0" borderId="0"/>
    <xf numFmtId="164" fontId="3"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6"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5" borderId="0" applyNumberFormat="0" applyBorder="0" applyAlignment="0" applyProtection="0"/>
    <xf numFmtId="0" fontId="1" fillId="17" borderId="0" applyNumberFormat="0" applyBorder="0" applyAlignment="0" applyProtection="0"/>
    <xf numFmtId="0" fontId="1" fillId="21"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1" fillId="36" borderId="0" applyNumberFormat="0" applyBorder="0" applyAlignment="0" applyProtection="0"/>
    <xf numFmtId="0" fontId="1" fillId="14" borderId="57"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1" borderId="0" applyNumberFormat="0" applyBorder="0" applyAlignment="0" applyProtection="0"/>
    <xf numFmtId="0" fontId="1" fillId="0" borderId="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3" fillId="0" borderId="0" applyFont="0" applyFill="0" applyBorder="0" applyAlignment="0" applyProtection="0"/>
    <xf numFmtId="0" fontId="1" fillId="31" borderId="0" applyNumberFormat="0" applyBorder="0" applyAlignment="0" applyProtection="0"/>
    <xf numFmtId="0" fontId="1" fillId="0" borderId="0"/>
    <xf numFmtId="0" fontId="3" fillId="0" borderId="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1" fillId="0" borderId="0"/>
    <xf numFmtId="0" fontId="1" fillId="0" borderId="0"/>
    <xf numFmtId="0" fontId="1" fillId="0" borderId="0"/>
    <xf numFmtId="43" fontId="3" fillId="0" borderId="0" applyFont="0" applyFill="0" applyBorder="0" applyAlignment="0" applyProtection="0"/>
    <xf numFmtId="43" fontId="3"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3" fontId="3" fillId="0" borderId="0" applyFont="0" applyFill="0" applyBorder="0" applyAlignment="0" applyProtection="0"/>
    <xf numFmtId="43" fontId="3" fillId="0" borderId="0" applyFont="0" applyFill="0" applyBorder="0" applyAlignment="0" applyProtection="0"/>
    <xf numFmtId="0" fontId="1" fillId="0" borderId="0"/>
    <xf numFmtId="43" fontId="3" fillId="0" borderId="0" applyFont="0" applyFill="0" applyBorder="0" applyAlignment="0" applyProtection="0"/>
    <xf numFmtId="0" fontId="1" fillId="16"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5" borderId="0" applyNumberFormat="0" applyBorder="0" applyAlignment="0" applyProtection="0"/>
    <xf numFmtId="0" fontId="1" fillId="17" borderId="0" applyNumberFormat="0" applyBorder="0" applyAlignment="0" applyProtection="0"/>
    <xf numFmtId="0" fontId="1" fillId="21"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1" fillId="36" borderId="0" applyNumberFormat="0" applyBorder="0" applyAlignment="0" applyProtection="0"/>
    <xf numFmtId="0" fontId="3" fillId="39" borderId="59" applyNumberFormat="0" applyFont="0" applyAlignment="0" applyProtection="0"/>
    <xf numFmtId="43" fontId="49" fillId="0" borderId="0" applyFont="0" applyFill="0" applyBorder="0" applyAlignment="0" applyProtection="0"/>
    <xf numFmtId="0" fontId="1" fillId="14" borderId="57" applyNumberFormat="0" applyFont="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44" fillId="0" borderId="66" applyNumberFormat="0" applyFill="0" applyAlignment="0" applyProtection="0"/>
    <xf numFmtId="0" fontId="1" fillId="0" borderId="0"/>
    <xf numFmtId="0" fontId="1" fillId="0" borderId="0"/>
    <xf numFmtId="0" fontId="1" fillId="0" borderId="0"/>
    <xf numFmtId="0" fontId="1" fillId="0" borderId="0"/>
    <xf numFmtId="43" fontId="3"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6"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5" borderId="0" applyNumberFormat="0" applyBorder="0" applyAlignment="0" applyProtection="0"/>
    <xf numFmtId="0" fontId="1" fillId="17" borderId="0" applyNumberFormat="0" applyBorder="0" applyAlignment="0" applyProtection="0"/>
    <xf numFmtId="0" fontId="1" fillId="21"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1" fillId="36" borderId="0" applyNumberFormat="0" applyBorder="0" applyAlignment="0" applyProtection="0"/>
    <xf numFmtId="0" fontId="1" fillId="14" borderId="57"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1" borderId="0" applyNumberFormat="0" applyBorder="0" applyAlignment="0" applyProtection="0"/>
    <xf numFmtId="0" fontId="1" fillId="0" borderId="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3" fillId="39" borderId="59" applyNumberFormat="0" applyFont="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3" fontId="3" fillId="0" borderId="0" applyFont="0" applyFill="0" applyBorder="0" applyAlignment="0" applyProtection="0"/>
    <xf numFmtId="0" fontId="1" fillId="31" borderId="0" applyNumberFormat="0" applyBorder="0" applyAlignment="0" applyProtection="0"/>
    <xf numFmtId="0" fontId="1" fillId="0" borderId="0"/>
    <xf numFmtId="43" fontId="3" fillId="0" borderId="0" applyFont="0" applyFill="0" applyBorder="0" applyAlignment="0" applyProtection="0"/>
    <xf numFmtId="0" fontId="3" fillId="0" borderId="0"/>
    <xf numFmtId="0" fontId="54" fillId="44" borderId="60" applyNumberFormat="0" applyAlignment="0" applyProtection="0"/>
    <xf numFmtId="0" fontId="3" fillId="39" borderId="59" applyNumberFormat="0" applyFont="0" applyAlignment="0" applyProtection="0"/>
    <xf numFmtId="0" fontId="62" fillId="52" borderId="67" applyNumberFormat="0" applyAlignment="0" applyProtection="0"/>
    <xf numFmtId="0" fontId="3" fillId="39" borderId="59" applyNumberFormat="0" applyFont="0" applyAlignment="0" applyProtection="0"/>
    <xf numFmtId="0" fontId="3" fillId="39" borderId="59" applyNumberFormat="0" applyFont="0" applyAlignment="0" applyProtection="0"/>
    <xf numFmtId="0" fontId="50" fillId="52" borderId="60" applyNumberFormat="0" applyAlignment="0" applyProtection="0"/>
    <xf numFmtId="0" fontId="3" fillId="39" borderId="59"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6"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5" borderId="0" applyNumberFormat="0" applyBorder="0" applyAlignment="0" applyProtection="0"/>
    <xf numFmtId="0" fontId="1" fillId="17" borderId="0" applyNumberFormat="0" applyBorder="0" applyAlignment="0" applyProtection="0"/>
    <xf numFmtId="0" fontId="1" fillId="21"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1" fillId="36" borderId="0" applyNumberFormat="0" applyBorder="0" applyAlignment="0" applyProtection="0"/>
    <xf numFmtId="0" fontId="1" fillId="14" borderId="57"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6"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5" borderId="0" applyNumberFormat="0" applyBorder="0" applyAlignment="0" applyProtection="0"/>
    <xf numFmtId="0" fontId="1" fillId="17" borderId="0" applyNumberFormat="0" applyBorder="0" applyAlignment="0" applyProtection="0"/>
    <xf numFmtId="0" fontId="1" fillId="21"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1" fillId="36" borderId="0" applyNumberFormat="0" applyBorder="0" applyAlignment="0" applyProtection="0"/>
    <xf numFmtId="0" fontId="1" fillId="14" borderId="57"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1" borderId="0" applyNumberFormat="0" applyBorder="0" applyAlignment="0" applyProtection="0"/>
    <xf numFmtId="0" fontId="1" fillId="0" borderId="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6"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5" borderId="0" applyNumberFormat="0" applyBorder="0" applyAlignment="0" applyProtection="0"/>
    <xf numFmtId="0" fontId="1" fillId="17" borderId="0" applyNumberFormat="0" applyBorder="0" applyAlignment="0" applyProtection="0"/>
    <xf numFmtId="0" fontId="1" fillId="21"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1" fillId="36" borderId="0" applyNumberFormat="0" applyBorder="0" applyAlignment="0" applyProtection="0"/>
    <xf numFmtId="0" fontId="1" fillId="14" borderId="57"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6"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5" borderId="0" applyNumberFormat="0" applyBorder="0" applyAlignment="0" applyProtection="0"/>
    <xf numFmtId="0" fontId="1" fillId="17" borderId="0" applyNumberFormat="0" applyBorder="0" applyAlignment="0" applyProtection="0"/>
    <xf numFmtId="0" fontId="1" fillId="21"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1" fillId="36" borderId="0" applyNumberFormat="0" applyBorder="0" applyAlignment="0" applyProtection="0"/>
    <xf numFmtId="0" fontId="1" fillId="14" borderId="57"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1" borderId="0" applyNumberFormat="0" applyBorder="0" applyAlignment="0" applyProtection="0"/>
    <xf numFmtId="0" fontId="1" fillId="0" borderId="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1" borderId="0" applyNumberFormat="0" applyBorder="0" applyAlignment="0" applyProtection="0"/>
    <xf numFmtId="0" fontId="1" fillId="0" borderId="0"/>
    <xf numFmtId="0" fontId="1" fillId="0" borderId="0"/>
    <xf numFmtId="0" fontId="1" fillId="0" borderId="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6"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5" borderId="0" applyNumberFormat="0" applyBorder="0" applyAlignment="0" applyProtection="0"/>
    <xf numFmtId="0" fontId="1" fillId="17" borderId="0" applyNumberFormat="0" applyBorder="0" applyAlignment="0" applyProtection="0"/>
    <xf numFmtId="0" fontId="1" fillId="21"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1" fillId="36" borderId="0" applyNumberFormat="0" applyBorder="0" applyAlignment="0" applyProtection="0"/>
    <xf numFmtId="0" fontId="1" fillId="14" borderId="57"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6"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5" borderId="0" applyNumberFormat="0" applyBorder="0" applyAlignment="0" applyProtection="0"/>
    <xf numFmtId="0" fontId="1" fillId="17" borderId="0" applyNumberFormat="0" applyBorder="0" applyAlignment="0" applyProtection="0"/>
    <xf numFmtId="0" fontId="1" fillId="21"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1" fillId="36" borderId="0" applyNumberFormat="0" applyBorder="0" applyAlignment="0" applyProtection="0"/>
    <xf numFmtId="0" fontId="1" fillId="14" borderId="57"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1" borderId="0" applyNumberFormat="0" applyBorder="0" applyAlignment="0" applyProtection="0"/>
    <xf numFmtId="0" fontId="1" fillId="0" borderId="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6"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5" borderId="0" applyNumberFormat="0" applyBorder="0" applyAlignment="0" applyProtection="0"/>
    <xf numFmtId="0" fontId="1" fillId="17" borderId="0" applyNumberFormat="0" applyBorder="0" applyAlignment="0" applyProtection="0"/>
    <xf numFmtId="0" fontId="1" fillId="21"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1" fillId="36" borderId="0" applyNumberFormat="0" applyBorder="0" applyAlignment="0" applyProtection="0"/>
    <xf numFmtId="0" fontId="1" fillId="14" borderId="57"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6"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5" borderId="0" applyNumberFormat="0" applyBorder="0" applyAlignment="0" applyProtection="0"/>
    <xf numFmtId="0" fontId="1" fillId="17" borderId="0" applyNumberFormat="0" applyBorder="0" applyAlignment="0" applyProtection="0"/>
    <xf numFmtId="0" fontId="1" fillId="21"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1" fillId="36" borderId="0" applyNumberFormat="0" applyBorder="0" applyAlignment="0" applyProtection="0"/>
    <xf numFmtId="0" fontId="1" fillId="14" borderId="57"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1" borderId="0" applyNumberFormat="0" applyBorder="0" applyAlignment="0" applyProtection="0"/>
    <xf numFmtId="0" fontId="1" fillId="0" borderId="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6"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5" borderId="0" applyNumberFormat="0" applyBorder="0" applyAlignment="0" applyProtection="0"/>
    <xf numFmtId="0" fontId="1" fillId="17" borderId="0" applyNumberFormat="0" applyBorder="0" applyAlignment="0" applyProtection="0"/>
    <xf numFmtId="0" fontId="1" fillId="21"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1" fillId="36" borderId="0" applyNumberFormat="0" applyBorder="0" applyAlignment="0" applyProtection="0"/>
    <xf numFmtId="0" fontId="1" fillId="14" borderId="57"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6"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5" borderId="0" applyNumberFormat="0" applyBorder="0" applyAlignment="0" applyProtection="0"/>
    <xf numFmtId="0" fontId="1" fillId="17" borderId="0" applyNumberFormat="0" applyBorder="0" applyAlignment="0" applyProtection="0"/>
    <xf numFmtId="0" fontId="1" fillId="21"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1" fillId="36" borderId="0" applyNumberFormat="0" applyBorder="0" applyAlignment="0" applyProtection="0"/>
    <xf numFmtId="0" fontId="1" fillId="14" borderId="57"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1" borderId="0" applyNumberFormat="0" applyBorder="0" applyAlignment="0" applyProtection="0"/>
    <xf numFmtId="0" fontId="1" fillId="0" borderId="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6"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5" borderId="0" applyNumberFormat="0" applyBorder="0" applyAlignment="0" applyProtection="0"/>
    <xf numFmtId="0" fontId="1" fillId="17" borderId="0" applyNumberFormat="0" applyBorder="0" applyAlignment="0" applyProtection="0"/>
    <xf numFmtId="0" fontId="1" fillId="21"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1" fillId="36" borderId="0" applyNumberFormat="0" applyBorder="0" applyAlignment="0" applyProtection="0"/>
    <xf numFmtId="0" fontId="1" fillId="14" borderId="57"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6"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5" borderId="0" applyNumberFormat="0" applyBorder="0" applyAlignment="0" applyProtection="0"/>
    <xf numFmtId="0" fontId="1" fillId="17" borderId="0" applyNumberFormat="0" applyBorder="0" applyAlignment="0" applyProtection="0"/>
    <xf numFmtId="0" fontId="1" fillId="21"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1" fillId="36" borderId="0" applyNumberFormat="0" applyBorder="0" applyAlignment="0" applyProtection="0"/>
    <xf numFmtId="0" fontId="1" fillId="14" borderId="57"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1" borderId="0" applyNumberFormat="0" applyBorder="0" applyAlignment="0" applyProtection="0"/>
    <xf numFmtId="0" fontId="1" fillId="0" borderId="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1" borderId="0" applyNumberFormat="0" applyBorder="0" applyAlignment="0" applyProtection="0"/>
    <xf numFmtId="0" fontId="1" fillId="0" borderId="0"/>
    <xf numFmtId="0" fontId="1" fillId="0" borderId="0"/>
    <xf numFmtId="0" fontId="1" fillId="0" borderId="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6"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5" borderId="0" applyNumberFormat="0" applyBorder="0" applyAlignment="0" applyProtection="0"/>
    <xf numFmtId="0" fontId="1" fillId="17" borderId="0" applyNumberFormat="0" applyBorder="0" applyAlignment="0" applyProtection="0"/>
    <xf numFmtId="0" fontId="1" fillId="21"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1" fillId="36" borderId="0" applyNumberFormat="0" applyBorder="0" applyAlignment="0" applyProtection="0"/>
    <xf numFmtId="0" fontId="1" fillId="14" borderId="57"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6"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5" borderId="0" applyNumberFormat="0" applyBorder="0" applyAlignment="0" applyProtection="0"/>
    <xf numFmtId="0" fontId="1" fillId="17" borderId="0" applyNumberFormat="0" applyBorder="0" applyAlignment="0" applyProtection="0"/>
    <xf numFmtId="0" fontId="1" fillId="21"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1" fillId="36" borderId="0" applyNumberFormat="0" applyBorder="0" applyAlignment="0" applyProtection="0"/>
    <xf numFmtId="0" fontId="1" fillId="14" borderId="57"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1" borderId="0" applyNumberFormat="0" applyBorder="0" applyAlignment="0" applyProtection="0"/>
    <xf numFmtId="0" fontId="1" fillId="0" borderId="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6"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5" borderId="0" applyNumberFormat="0" applyBorder="0" applyAlignment="0" applyProtection="0"/>
    <xf numFmtId="0" fontId="1" fillId="17" borderId="0" applyNumberFormat="0" applyBorder="0" applyAlignment="0" applyProtection="0"/>
    <xf numFmtId="0" fontId="1" fillId="21"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1" fillId="36" borderId="0" applyNumberFormat="0" applyBorder="0" applyAlignment="0" applyProtection="0"/>
    <xf numFmtId="0" fontId="1" fillId="14" borderId="57"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6"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5" borderId="0" applyNumberFormat="0" applyBorder="0" applyAlignment="0" applyProtection="0"/>
    <xf numFmtId="0" fontId="1" fillId="17" borderId="0" applyNumberFormat="0" applyBorder="0" applyAlignment="0" applyProtection="0"/>
    <xf numFmtId="0" fontId="1" fillId="21"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1" fillId="36" borderId="0" applyNumberFormat="0" applyBorder="0" applyAlignment="0" applyProtection="0"/>
    <xf numFmtId="0" fontId="1" fillId="14" borderId="57"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1" borderId="0" applyNumberFormat="0" applyBorder="0" applyAlignment="0" applyProtection="0"/>
    <xf numFmtId="0" fontId="1" fillId="0" borderId="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1" borderId="0" applyNumberFormat="0" applyBorder="0" applyAlignment="0" applyProtection="0"/>
    <xf numFmtId="0" fontId="1" fillId="0" borderId="0"/>
    <xf numFmtId="0" fontId="76" fillId="0" borderId="0" applyNumberFormat="0" applyFill="0" applyBorder="0" applyAlignment="0" applyProtection="0"/>
  </cellStyleXfs>
  <cellXfs count="654">
    <xf numFmtId="0" fontId="0" fillId="0" borderId="0" xfId="0"/>
    <xf numFmtId="0" fontId="6" fillId="0" borderId="0" xfId="0" applyFont="1" applyFill="1" applyBorder="1" applyAlignment="1" applyProtection="1">
      <alignment wrapText="1"/>
      <protection locked="0"/>
    </xf>
    <xf numFmtId="0" fontId="4" fillId="0" borderId="0" xfId="0" applyFont="1" applyFill="1" applyBorder="1" applyAlignment="1" applyProtection="1">
      <alignment wrapText="1"/>
      <protection locked="0"/>
    </xf>
    <xf numFmtId="0" fontId="5" fillId="2" borderId="0" xfId="0" applyFont="1" applyFill="1" applyBorder="1" applyProtection="1"/>
    <xf numFmtId="0" fontId="5" fillId="3" borderId="0" xfId="0" applyFont="1" applyFill="1" applyBorder="1" applyAlignment="1" applyProtection="1">
      <alignment horizontal="center"/>
      <protection locked="0"/>
    </xf>
    <xf numFmtId="0" fontId="6" fillId="2" borderId="0" xfId="0" applyFont="1" applyFill="1" applyBorder="1" applyAlignment="1" applyProtection="1">
      <alignment wrapText="1"/>
      <protection locked="0"/>
    </xf>
    <xf numFmtId="0" fontId="5" fillId="0" borderId="0" xfId="0" applyFont="1" applyFill="1" applyBorder="1" applyProtection="1">
      <protection locked="0"/>
    </xf>
    <xf numFmtId="0" fontId="5" fillId="0" borderId="0" xfId="0" applyFont="1" applyFill="1" applyBorder="1" applyAlignment="1" applyProtection="1">
      <alignment horizontal="center"/>
      <protection locked="0"/>
    </xf>
    <xf numFmtId="0" fontId="7" fillId="0" borderId="0" xfId="0" applyFont="1" applyFill="1" applyBorder="1" applyProtection="1"/>
    <xf numFmtId="0" fontId="7" fillId="0" borderId="0" xfId="0" applyFont="1" applyFill="1" applyBorder="1" applyProtection="1">
      <protection locked="0"/>
    </xf>
    <xf numFmtId="0" fontId="6" fillId="0" borderId="0" xfId="0" applyFont="1" applyFill="1" applyBorder="1" applyAlignment="1" applyProtection="1">
      <alignment horizontal="center" wrapText="1"/>
      <protection locked="0"/>
    </xf>
    <xf numFmtId="0" fontId="6" fillId="0" borderId="0" xfId="0" applyFont="1" applyFill="1" applyBorder="1" applyProtection="1">
      <protection locked="0"/>
    </xf>
    <xf numFmtId="0" fontId="8" fillId="0" borderId="0" xfId="0" applyFont="1" applyFill="1" applyBorder="1" applyProtection="1"/>
    <xf numFmtId="0" fontId="8" fillId="0" borderId="0" xfId="0" applyFont="1" applyFill="1" applyBorder="1" applyProtection="1">
      <protection locked="0"/>
    </xf>
    <xf numFmtId="0" fontId="6" fillId="0" borderId="0" xfId="0" applyFont="1" applyFill="1" applyBorder="1" applyAlignment="1" applyProtection="1">
      <alignment vertical="center" wrapText="1"/>
      <protection locked="0"/>
    </xf>
    <xf numFmtId="0" fontId="8" fillId="0" borderId="0" xfId="0" applyFont="1" applyFill="1" applyBorder="1" applyAlignment="1" applyProtection="1">
      <alignment wrapText="1"/>
    </xf>
    <xf numFmtId="0" fontId="8" fillId="0" borderId="0" xfId="0" applyFont="1" applyFill="1" applyBorder="1" applyAlignment="1" applyProtection="1">
      <alignment wrapText="1"/>
      <protection locked="0"/>
    </xf>
    <xf numFmtId="0" fontId="5" fillId="4" borderId="0" xfId="0" applyFont="1" applyFill="1" applyBorder="1" applyAlignment="1" applyProtection="1">
      <alignment wrapText="1"/>
    </xf>
    <xf numFmtId="0" fontId="4" fillId="5" borderId="0" xfId="0" applyFont="1" applyFill="1" applyAlignment="1" applyProtection="1">
      <protection locked="0"/>
    </xf>
    <xf numFmtId="0" fontId="6" fillId="0" borderId="1" xfId="0" applyFont="1" applyFill="1" applyBorder="1" applyProtection="1">
      <protection locked="0"/>
    </xf>
    <xf numFmtId="0" fontId="6" fillId="0" borderId="0" xfId="0" applyFont="1" applyFill="1" applyBorder="1" applyAlignment="1" applyProtection="1"/>
    <xf numFmtId="0" fontId="5" fillId="0" borderId="3" xfId="0" applyFont="1" applyFill="1" applyBorder="1" applyProtection="1"/>
    <xf numFmtId="0" fontId="6" fillId="0" borderId="3" xfId="0" applyFont="1" applyFill="1" applyBorder="1" applyAlignment="1" applyProtection="1">
      <alignment horizontal="center"/>
      <protection locked="0"/>
    </xf>
    <xf numFmtId="0" fontId="6" fillId="0" borderId="3" xfId="0" applyFont="1" applyFill="1" applyBorder="1" applyProtection="1"/>
    <xf numFmtId="0" fontId="6" fillId="0" borderId="3" xfId="0" applyFont="1" applyFill="1" applyBorder="1" applyAlignment="1" applyProtection="1">
      <alignment horizontal="center"/>
    </xf>
    <xf numFmtId="0" fontId="6" fillId="0" borderId="5" xfId="0" applyFont="1" applyFill="1" applyBorder="1" applyAlignment="1" applyProtection="1">
      <alignment horizontal="left"/>
    </xf>
    <xf numFmtId="0" fontId="6" fillId="0" borderId="5" xfId="0" applyFont="1" applyFill="1" applyBorder="1" applyAlignment="1" applyProtection="1">
      <alignment horizontal="center"/>
    </xf>
    <xf numFmtId="37" fontId="6" fillId="0" borderId="3" xfId="0" applyNumberFormat="1" applyFont="1" applyFill="1" applyBorder="1" applyProtection="1">
      <protection locked="0"/>
    </xf>
    <xf numFmtId="37" fontId="6" fillId="0" borderId="4" xfId="0" applyNumberFormat="1" applyFont="1" applyFill="1" applyBorder="1" applyProtection="1">
      <protection locked="0"/>
    </xf>
    <xf numFmtId="0" fontId="5" fillId="0" borderId="5" xfId="0" applyFont="1" applyFill="1" applyBorder="1" applyProtection="1"/>
    <xf numFmtId="0" fontId="6" fillId="0" borderId="5" xfId="0" applyFont="1" applyFill="1" applyBorder="1" applyAlignment="1" applyProtection="1">
      <alignment horizontal="center"/>
      <protection locked="0"/>
    </xf>
    <xf numFmtId="37" fontId="5" fillId="0" borderId="1" xfId="0" applyNumberFormat="1" applyFont="1" applyFill="1" applyBorder="1" applyProtection="1"/>
    <xf numFmtId="37" fontId="6" fillId="0" borderId="1" xfId="0" applyNumberFormat="1" applyFont="1" applyFill="1" applyBorder="1" applyProtection="1"/>
    <xf numFmtId="0" fontId="6" fillId="0" borderId="3" xfId="0" applyFont="1" applyFill="1" applyBorder="1" applyProtection="1">
      <protection locked="0"/>
    </xf>
    <xf numFmtId="0" fontId="5" fillId="0" borderId="3" xfId="0" applyFont="1" applyFill="1" applyBorder="1" applyAlignment="1" applyProtection="1">
      <alignment horizontal="left"/>
    </xf>
    <xf numFmtId="0" fontId="6" fillId="0" borderId="3" xfId="0" applyFont="1" applyFill="1" applyBorder="1" applyAlignment="1" applyProtection="1">
      <alignment horizontal="left"/>
    </xf>
    <xf numFmtId="0" fontId="5" fillId="0" borderId="1" xfId="0" applyFont="1" applyFill="1" applyBorder="1" applyProtection="1"/>
    <xf numFmtId="0" fontId="6" fillId="0" borderId="1" xfId="0" applyFont="1" applyFill="1" applyBorder="1" applyAlignment="1" applyProtection="1">
      <alignment horizontal="center"/>
      <protection locked="0"/>
    </xf>
    <xf numFmtId="0" fontId="6" fillId="0" borderId="1" xfId="0" applyFont="1" applyFill="1" applyBorder="1" applyProtection="1"/>
    <xf numFmtId="0" fontId="6" fillId="0" borderId="5" xfId="0" applyFont="1" applyFill="1" applyBorder="1" applyProtection="1">
      <protection locked="0"/>
    </xf>
    <xf numFmtId="0" fontId="6" fillId="0" borderId="0" xfId="0" applyFont="1" applyFill="1" applyBorder="1" applyAlignment="1" applyProtection="1">
      <protection locked="0"/>
    </xf>
    <xf numFmtId="0" fontId="4" fillId="0" borderId="0" xfId="0" applyFont="1" applyFill="1" applyBorder="1" applyAlignment="1" applyProtection="1">
      <protection locked="0"/>
    </xf>
    <xf numFmtId="0" fontId="4" fillId="0" borderId="0" xfId="0" applyFont="1" applyFill="1" applyProtection="1">
      <protection locked="0"/>
    </xf>
    <xf numFmtId="0" fontId="5" fillId="0" borderId="0" xfId="0" applyFont="1" applyFill="1" applyBorder="1" applyAlignment="1" applyProtection="1">
      <alignment horizontal="left"/>
      <protection locked="0"/>
    </xf>
    <xf numFmtId="49" fontId="6" fillId="0" borderId="1" xfId="0" applyNumberFormat="1" applyFont="1" applyFill="1" applyBorder="1" applyAlignment="1" applyProtection="1">
      <alignment horizontal="center"/>
    </xf>
    <xf numFmtId="0" fontId="5" fillId="0" borderId="9" xfId="0" applyFont="1" applyFill="1" applyBorder="1" applyProtection="1"/>
    <xf numFmtId="37" fontId="6" fillId="0" borderId="6" xfId="0" applyNumberFormat="1" applyFont="1" applyFill="1" applyBorder="1" applyProtection="1">
      <protection locked="0"/>
    </xf>
    <xf numFmtId="37" fontId="6" fillId="0" borderId="7" xfId="0" applyNumberFormat="1" applyFont="1" applyFill="1" applyBorder="1" applyProtection="1">
      <protection locked="0"/>
    </xf>
    <xf numFmtId="0" fontId="6" fillId="0" borderId="9" xfId="0" applyFont="1" applyFill="1" applyBorder="1" applyProtection="1">
      <protection locked="0"/>
    </xf>
    <xf numFmtId="0" fontId="6" fillId="0" borderId="9" xfId="0" applyFont="1" applyFill="1" applyBorder="1" applyAlignment="1" applyProtection="1">
      <alignment horizontal="left"/>
    </xf>
    <xf numFmtId="0" fontId="6" fillId="0" borderId="10" xfId="0" applyFont="1" applyFill="1" applyBorder="1" applyAlignment="1" applyProtection="1">
      <alignment horizontal="left"/>
    </xf>
    <xf numFmtId="0" fontId="5" fillId="0" borderId="11" xfId="0" applyFont="1" applyFill="1" applyBorder="1" applyProtection="1"/>
    <xf numFmtId="0" fontId="5" fillId="0" borderId="9" xfId="0" applyFont="1" applyFill="1" applyBorder="1" applyProtection="1">
      <protection locked="0"/>
    </xf>
    <xf numFmtId="37" fontId="5" fillId="0" borderId="6" xfId="0" applyNumberFormat="1" applyFont="1" applyFill="1" applyBorder="1" applyProtection="1">
      <protection locked="0"/>
    </xf>
    <xf numFmtId="0" fontId="5" fillId="0" borderId="10" xfId="0" applyFont="1" applyFill="1" applyBorder="1" applyProtection="1"/>
    <xf numFmtId="0" fontId="4" fillId="0" borderId="0" xfId="0" applyFont="1" applyAlignment="1" applyProtection="1">
      <protection locked="0"/>
    </xf>
    <xf numFmtId="0" fontId="4" fillId="0" borderId="0" xfId="0" applyFont="1" applyBorder="1" applyAlignment="1" applyProtection="1">
      <protection locked="0"/>
    </xf>
    <xf numFmtId="0" fontId="5" fillId="0" borderId="13" xfId="0" applyFont="1" applyFill="1" applyBorder="1" applyProtection="1"/>
    <xf numFmtId="49" fontId="6" fillId="0" borderId="14" xfId="0" applyNumberFormat="1" applyFont="1" applyFill="1" applyBorder="1" applyAlignment="1" applyProtection="1">
      <alignment horizontal="center"/>
    </xf>
    <xf numFmtId="0" fontId="5" fillId="0" borderId="3" xfId="0" applyFont="1" applyFill="1" applyBorder="1" applyProtection="1">
      <protection locked="0"/>
    </xf>
    <xf numFmtId="0" fontId="9" fillId="4" borderId="0" xfId="0" applyFont="1" applyFill="1" applyBorder="1" applyAlignment="1" applyProtection="1"/>
    <xf numFmtId="0" fontId="5" fillId="0" borderId="12" xfId="0" applyFont="1" applyFill="1" applyBorder="1" applyAlignment="1" applyProtection="1">
      <alignment horizontal="left"/>
      <protection locked="0"/>
    </xf>
    <xf numFmtId="0" fontId="6" fillId="0" borderId="15" xfId="0" applyFont="1" applyFill="1" applyBorder="1" applyAlignment="1" applyProtection="1">
      <alignment horizontal="center"/>
    </xf>
    <xf numFmtId="0" fontId="6" fillId="0" borderId="5" xfId="0" applyFont="1" applyFill="1" applyBorder="1" applyProtection="1"/>
    <xf numFmtId="0" fontId="5" fillId="2" borderId="0" xfId="0" applyFont="1" applyFill="1" applyBorder="1" applyAlignment="1" applyProtection="1"/>
    <xf numFmtId="0" fontId="7" fillId="0" borderId="0" xfId="0" applyFont="1" applyFill="1" applyBorder="1" applyAlignment="1" applyProtection="1"/>
    <xf numFmtId="0" fontId="8" fillId="0" borderId="0" xfId="0" applyFont="1" applyFill="1" applyBorder="1" applyAlignment="1" applyProtection="1"/>
    <xf numFmtId="0" fontId="6" fillId="0" borderId="12" xfId="0" applyFont="1" applyFill="1" applyBorder="1" applyAlignment="1" applyProtection="1"/>
    <xf numFmtId="0" fontId="7" fillId="0" borderId="16" xfId="0" applyFont="1" applyFill="1" applyBorder="1" applyAlignment="1" applyProtection="1"/>
    <xf numFmtId="3" fontId="6" fillId="0" borderId="0" xfId="0" applyNumberFormat="1" applyFont="1" applyFill="1" applyBorder="1" applyAlignment="1" applyProtection="1">
      <alignment horizontal="right"/>
      <protection locked="0"/>
    </xf>
    <xf numFmtId="0" fontId="5" fillId="0" borderId="16" xfId="0" applyFont="1" applyFill="1" applyBorder="1" applyAlignment="1" applyProtection="1">
      <protection locked="0"/>
    </xf>
    <xf numFmtId="0" fontId="5" fillId="0" borderId="12" xfId="0" applyFont="1" applyFill="1" applyBorder="1" applyAlignment="1" applyProtection="1"/>
    <xf numFmtId="0" fontId="5" fillId="3" borderId="0" xfId="0" applyFont="1" applyFill="1" applyBorder="1" applyAlignment="1" applyProtection="1">
      <alignment vertical="center"/>
    </xf>
    <xf numFmtId="0" fontId="7" fillId="0" borderId="0" xfId="0" applyFont="1" applyFill="1" applyBorder="1" applyAlignment="1" applyProtection="1">
      <alignment wrapText="1"/>
      <protection locked="0"/>
    </xf>
    <xf numFmtId="0" fontId="6" fillId="0" borderId="17" xfId="0" applyFont="1" applyFill="1" applyBorder="1" applyAlignment="1" applyProtection="1">
      <alignment wrapText="1"/>
      <protection locked="0"/>
    </xf>
    <xf numFmtId="3" fontId="6" fillId="0" borderId="0" xfId="0" applyNumberFormat="1" applyFont="1" applyFill="1" applyBorder="1" applyProtection="1">
      <protection locked="0"/>
    </xf>
    <xf numFmtId="3" fontId="6" fillId="0" borderId="0" xfId="0" applyNumberFormat="1" applyFont="1" applyFill="1" applyBorder="1" applyAlignment="1" applyProtection="1">
      <protection locked="0"/>
    </xf>
    <xf numFmtId="0" fontId="6" fillId="0" borderId="0" xfId="0" applyFont="1" applyFill="1" applyBorder="1" applyAlignment="1" applyProtection="1">
      <alignment horizontal="left" wrapText="1"/>
      <protection locked="0"/>
    </xf>
    <xf numFmtId="0" fontId="4" fillId="0" borderId="0" xfId="0" applyFont="1" applyAlignment="1" applyProtection="1">
      <alignment horizontal="left"/>
      <protection locked="0"/>
    </xf>
    <xf numFmtId="3" fontId="6" fillId="0" borderId="1" xfId="0" applyNumberFormat="1" applyFont="1" applyFill="1" applyBorder="1" applyAlignment="1" applyProtection="1">
      <alignment horizontal="right"/>
    </xf>
    <xf numFmtId="3" fontId="6" fillId="6" borderId="1" xfId="0" applyNumberFormat="1" applyFont="1" applyFill="1" applyBorder="1" applyAlignment="1" applyProtection="1">
      <alignment horizontal="right"/>
    </xf>
    <xf numFmtId="3" fontId="6" fillId="0" borderId="1" xfId="0" applyNumberFormat="1" applyFont="1" applyFill="1" applyBorder="1" applyAlignment="1" applyProtection="1">
      <alignment horizontal="right"/>
      <protection locked="0"/>
    </xf>
    <xf numFmtId="0" fontId="6" fillId="0" borderId="17" xfId="0" applyFont="1" applyFill="1" applyBorder="1" applyProtection="1">
      <protection locked="0"/>
    </xf>
    <xf numFmtId="0" fontId="6" fillId="0" borderId="12" xfId="0" applyFont="1" applyFill="1" applyBorder="1" applyProtection="1">
      <protection locked="0"/>
    </xf>
    <xf numFmtId="0" fontId="5" fillId="0" borderId="1" xfId="0" applyFont="1" applyFill="1" applyBorder="1" applyAlignment="1" applyProtection="1">
      <alignment wrapText="1"/>
    </xf>
    <xf numFmtId="0" fontId="6" fillId="0" borderId="1" xfId="0" applyFont="1" applyFill="1" applyBorder="1" applyAlignment="1" applyProtection="1">
      <alignment wrapText="1"/>
    </xf>
    <xf numFmtId="3" fontId="4" fillId="5" borderId="0" xfId="0" applyNumberFormat="1" applyFont="1" applyFill="1" applyAlignment="1" applyProtection="1">
      <protection locked="0"/>
    </xf>
    <xf numFmtId="3" fontId="6" fillId="0" borderId="3" xfId="0" applyNumberFormat="1" applyFont="1" applyFill="1" applyBorder="1" applyAlignment="1" applyProtection="1">
      <alignment wrapText="1"/>
      <protection locked="0"/>
    </xf>
    <xf numFmtId="3" fontId="6" fillId="0" borderId="4" xfId="0" applyNumberFormat="1" applyFont="1" applyFill="1" applyBorder="1" applyProtection="1">
      <protection locked="0"/>
    </xf>
    <xf numFmtId="3" fontId="6" fillId="0" borderId="3" xfId="0" applyNumberFormat="1" applyFont="1" applyFill="1" applyBorder="1" applyProtection="1">
      <protection locked="0"/>
    </xf>
    <xf numFmtId="3" fontId="5" fillId="0" borderId="1" xfId="0" applyNumberFormat="1" applyFont="1" applyFill="1" applyBorder="1" applyProtection="1"/>
    <xf numFmtId="3" fontId="6" fillId="0" borderId="1" xfId="0" applyNumberFormat="1" applyFont="1" applyFill="1" applyBorder="1" applyProtection="1"/>
    <xf numFmtId="3" fontId="6" fillId="0" borderId="6" xfId="0" applyNumberFormat="1" applyFont="1" applyFill="1" applyBorder="1" applyProtection="1">
      <protection locked="0"/>
    </xf>
    <xf numFmtId="3" fontId="6" fillId="0" borderId="7" xfId="0" applyNumberFormat="1" applyFont="1" applyFill="1" applyBorder="1" applyProtection="1">
      <protection locked="0"/>
    </xf>
    <xf numFmtId="3" fontId="5" fillId="0" borderId="5" xfId="0" applyNumberFormat="1" applyFont="1" applyFill="1" applyBorder="1" applyProtection="1"/>
    <xf numFmtId="3" fontId="6" fillId="0" borderId="5" xfId="0" applyNumberFormat="1" applyFont="1" applyFill="1" applyBorder="1" applyProtection="1"/>
    <xf numFmtId="3" fontId="6" fillId="0" borderId="2" xfId="0" applyNumberFormat="1" applyFont="1" applyFill="1" applyBorder="1" applyProtection="1">
      <protection locked="0"/>
    </xf>
    <xf numFmtId="3" fontId="6" fillId="0" borderId="5" xfId="0" applyNumberFormat="1" applyFont="1" applyFill="1" applyBorder="1" applyProtection="1">
      <protection locked="0"/>
    </xf>
    <xf numFmtId="3" fontId="6" fillId="0" borderId="8" xfId="0" applyNumberFormat="1" applyFont="1" applyFill="1" applyBorder="1" applyProtection="1">
      <protection locked="0"/>
    </xf>
    <xf numFmtId="3" fontId="4" fillId="0" borderId="0" xfId="0" applyNumberFormat="1" applyFont="1" applyFill="1" applyBorder="1" applyAlignment="1" applyProtection="1">
      <protection locked="0"/>
    </xf>
    <xf numFmtId="3" fontId="6" fillId="0" borderId="0" xfId="0" applyNumberFormat="1" applyFont="1" applyFill="1" applyBorder="1" applyAlignment="1" applyProtection="1">
      <alignment horizontal="center" wrapText="1"/>
      <protection locked="0"/>
    </xf>
    <xf numFmtId="3" fontId="5" fillId="0" borderId="0" xfId="0" applyNumberFormat="1" applyFont="1" applyFill="1" applyBorder="1" applyAlignment="1" applyProtection="1">
      <alignment horizontal="left"/>
      <protection locked="0"/>
    </xf>
    <xf numFmtId="3" fontId="6" fillId="0" borderId="0" xfId="0" applyNumberFormat="1" applyFont="1" applyFill="1" applyBorder="1" applyAlignment="1" applyProtection="1">
      <alignment horizontal="left"/>
      <protection locked="0"/>
    </xf>
    <xf numFmtId="3" fontId="5" fillId="0" borderId="6" xfId="0" applyNumberFormat="1" applyFont="1" applyFill="1" applyBorder="1" applyProtection="1">
      <protection locked="0"/>
    </xf>
    <xf numFmtId="3" fontId="5" fillId="0" borderId="3" xfId="0" applyNumberFormat="1" applyFont="1" applyFill="1" applyBorder="1" applyProtection="1">
      <protection locked="0"/>
    </xf>
    <xf numFmtId="3" fontId="4" fillId="0" borderId="0" xfId="0" applyNumberFormat="1" applyFont="1" applyFill="1" applyProtection="1">
      <protection locked="0"/>
    </xf>
    <xf numFmtId="3" fontId="6" fillId="0" borderId="1" xfId="0" applyNumberFormat="1" applyFont="1" applyFill="1" applyBorder="1" applyProtection="1">
      <protection locked="0"/>
    </xf>
    <xf numFmtId="3" fontId="8" fillId="0" borderId="0" xfId="0" applyNumberFormat="1" applyFont="1" applyFill="1" applyBorder="1" applyAlignment="1" applyProtection="1"/>
    <xf numFmtId="3" fontId="4" fillId="0" borderId="0" xfId="0" applyNumberFormat="1" applyFont="1" applyAlignment="1" applyProtection="1">
      <protection locked="0"/>
    </xf>
    <xf numFmtId="3" fontId="6" fillId="3" borderId="0" xfId="0" applyNumberFormat="1" applyFont="1" applyFill="1" applyBorder="1" applyAlignment="1" applyProtection="1">
      <alignment wrapText="1"/>
      <protection locked="0"/>
    </xf>
    <xf numFmtId="3" fontId="5" fillId="0" borderId="0" xfId="0" applyNumberFormat="1" applyFont="1" applyFill="1" applyBorder="1" applyAlignment="1" applyProtection="1">
      <alignment wrapText="1"/>
      <protection locked="0"/>
    </xf>
    <xf numFmtId="3" fontId="6" fillId="3" borderId="0" xfId="0" applyNumberFormat="1" applyFont="1" applyFill="1" applyBorder="1" applyAlignment="1" applyProtection="1">
      <alignment horizontal="center" wrapText="1"/>
      <protection locked="0"/>
    </xf>
    <xf numFmtId="3" fontId="4" fillId="0" borderId="0" xfId="0" applyNumberFormat="1" applyFont="1" applyFill="1" applyBorder="1" applyAlignment="1" applyProtection="1">
      <alignment wrapText="1"/>
      <protection locked="0"/>
    </xf>
    <xf numFmtId="3" fontId="4" fillId="0" borderId="0" xfId="0" applyNumberFormat="1" applyFont="1" applyAlignment="1" applyProtection="1">
      <alignment wrapText="1"/>
      <protection locked="0"/>
    </xf>
    <xf numFmtId="3" fontId="6" fillId="3" borderId="0" xfId="0" applyNumberFormat="1" applyFont="1" applyFill="1" applyBorder="1" applyAlignment="1" applyProtection="1">
      <protection locked="0"/>
    </xf>
    <xf numFmtId="3" fontId="6" fillId="4" borderId="0" xfId="0" applyNumberFormat="1" applyFont="1" applyFill="1" applyBorder="1" applyAlignment="1" applyProtection="1">
      <alignment wrapText="1"/>
      <protection locked="0"/>
    </xf>
    <xf numFmtId="3" fontId="6" fillId="0" borderId="17" xfId="0" applyNumberFormat="1" applyFont="1" applyFill="1" applyBorder="1" applyProtection="1">
      <protection locked="0"/>
    </xf>
    <xf numFmtId="3" fontId="6" fillId="0" borderId="12" xfId="0" applyNumberFormat="1" applyFont="1" applyFill="1" applyBorder="1" applyProtection="1">
      <protection locked="0"/>
    </xf>
    <xf numFmtId="37" fontId="4" fillId="0" borderId="0" xfId="0" applyNumberFormat="1" applyFont="1" applyProtection="1">
      <protection locked="0"/>
    </xf>
    <xf numFmtId="37" fontId="6" fillId="0" borderId="0" xfId="0" applyNumberFormat="1" applyFont="1" applyFill="1" applyBorder="1" applyAlignment="1" applyProtection="1">
      <alignment wrapText="1"/>
      <protection locked="0"/>
    </xf>
    <xf numFmtId="3" fontId="6" fillId="0" borderId="0" xfId="0" applyNumberFormat="1" applyFont="1" applyFill="1" applyBorder="1" applyAlignment="1" applyProtection="1"/>
    <xf numFmtId="3" fontId="6" fillId="0" borderId="9" xfId="0" applyNumberFormat="1" applyFont="1" applyFill="1" applyBorder="1" applyProtection="1">
      <protection locked="0"/>
    </xf>
    <xf numFmtId="3" fontId="6" fillId="0" borderId="11" xfId="0" applyNumberFormat="1" applyFont="1" applyFill="1" applyBorder="1" applyProtection="1"/>
    <xf numFmtId="0" fontId="6" fillId="0" borderId="24" xfId="0" applyFont="1" applyFill="1" applyBorder="1" applyAlignment="1" applyProtection="1">
      <protection locked="0"/>
    </xf>
    <xf numFmtId="0" fontId="6" fillId="0" borderId="24" xfId="0" applyFont="1" applyFill="1" applyBorder="1" applyAlignment="1" applyProtection="1"/>
    <xf numFmtId="0" fontId="6" fillId="0" borderId="23" xfId="0" applyFont="1" applyFill="1" applyBorder="1" applyAlignment="1" applyProtection="1"/>
    <xf numFmtId="0" fontId="6" fillId="0" borderId="0" xfId="0" applyFont="1" applyFill="1" applyBorder="1" applyAlignment="1" applyProtection="1">
      <alignment horizontal="left" indent="1"/>
    </xf>
    <xf numFmtId="0" fontId="6" fillId="0" borderId="27" xfId="0" applyFont="1" applyFill="1" applyBorder="1" applyAlignment="1" applyProtection="1">
      <alignment horizontal="left"/>
    </xf>
    <xf numFmtId="0" fontId="6" fillId="0" borderId="27" xfId="0" applyFont="1" applyFill="1" applyBorder="1" applyAlignment="1" applyProtection="1"/>
    <xf numFmtId="0" fontId="8" fillId="0" borderId="27" xfId="0" applyFont="1" applyFill="1" applyBorder="1" applyAlignment="1" applyProtection="1"/>
    <xf numFmtId="3" fontId="5" fillId="0" borderId="0" xfId="0" applyNumberFormat="1" applyFont="1" applyFill="1" applyBorder="1" applyAlignment="1" applyProtection="1"/>
    <xf numFmtId="0" fontId="5" fillId="0" borderId="1" xfId="0" applyFont="1" applyFill="1" applyBorder="1" applyAlignment="1" applyProtection="1">
      <alignment vertical="center"/>
    </xf>
    <xf numFmtId="0" fontId="17" fillId="0" borderId="0" xfId="0" applyFont="1" applyFill="1" applyBorder="1"/>
    <xf numFmtId="0" fontId="5" fillId="0" borderId="0" xfId="0" applyFont="1" applyFill="1" applyBorder="1" applyAlignment="1" applyProtection="1">
      <alignment horizontal="left"/>
    </xf>
    <xf numFmtId="0" fontId="4" fillId="0" borderId="0" xfId="0" applyFont="1" applyFill="1" applyBorder="1" applyAlignment="1" applyProtection="1">
      <alignment horizontal="left" vertical="top" wrapText="1"/>
      <protection locked="0"/>
    </xf>
    <xf numFmtId="0" fontId="4" fillId="0" borderId="0" xfId="0" applyFont="1" applyFill="1" applyBorder="1" applyAlignment="1" applyProtection="1">
      <alignment horizontal="left" vertical="top" wrapText="1" indent="1"/>
      <protection locked="0"/>
    </xf>
    <xf numFmtId="0" fontId="4" fillId="0" borderId="27" xfId="0" applyFont="1" applyFill="1" applyBorder="1" applyAlignment="1" applyProtection="1">
      <alignment horizontal="left" vertical="top" wrapText="1"/>
      <protection locked="0"/>
    </xf>
    <xf numFmtId="0" fontId="6" fillId="0" borderId="0" xfId="0" applyFont="1" applyFill="1" applyBorder="1" applyAlignment="1" applyProtection="1">
      <alignment horizontal="left"/>
      <protection locked="0"/>
    </xf>
    <xf numFmtId="0" fontId="6" fillId="0" borderId="0" xfId="0" applyFont="1" applyFill="1" applyBorder="1" applyAlignment="1" applyProtection="1">
      <alignment horizontal="left"/>
    </xf>
    <xf numFmtId="3" fontId="4" fillId="0" borderId="0" xfId="0" applyNumberFormat="1" applyFont="1" applyFill="1" applyAlignment="1" applyProtection="1">
      <protection locked="0"/>
    </xf>
    <xf numFmtId="3" fontId="4" fillId="0" borderId="0" xfId="0" applyNumberFormat="1" applyFont="1" applyFill="1" applyAlignment="1" applyProtection="1">
      <alignment wrapText="1"/>
      <protection locked="0"/>
    </xf>
    <xf numFmtId="0" fontId="4" fillId="0" borderId="0" xfId="0" applyFont="1" applyFill="1" applyAlignment="1" applyProtection="1">
      <protection locked="0"/>
    </xf>
    <xf numFmtId="0" fontId="5" fillId="4" borderId="0" xfId="0" applyFont="1" applyFill="1" applyBorder="1" applyAlignment="1" applyProtection="1"/>
    <xf numFmtId="0" fontId="6" fillId="0" borderId="13" xfId="0" applyFont="1" applyFill="1" applyBorder="1" applyAlignment="1" applyProtection="1">
      <alignment horizontal="left"/>
    </xf>
    <xf numFmtId="0" fontId="6" fillId="0" borderId="21" xfId="0" applyFont="1" applyFill="1" applyBorder="1" applyAlignment="1" applyProtection="1">
      <alignment horizontal="left"/>
      <protection locked="0"/>
    </xf>
    <xf numFmtId="0" fontId="6" fillId="0" borderId="21" xfId="0" applyFont="1" applyFill="1" applyBorder="1" applyAlignment="1" applyProtection="1">
      <alignment horizontal="left"/>
    </xf>
    <xf numFmtId="3" fontId="4" fillId="5" borderId="0" xfId="0" applyNumberFormat="1" applyFont="1" applyFill="1" applyAlignment="1" applyProtection="1">
      <alignment horizontal="left"/>
      <protection locked="0"/>
    </xf>
    <xf numFmtId="0" fontId="6" fillId="0" borderId="18" xfId="0" applyFont="1" applyFill="1" applyBorder="1" applyAlignment="1" applyProtection="1">
      <alignment horizontal="left" wrapText="1"/>
      <protection locked="0"/>
    </xf>
    <xf numFmtId="0" fontId="6" fillId="0" borderId="3" xfId="0" applyFont="1" applyFill="1" applyBorder="1" applyAlignment="1" applyProtection="1">
      <alignment horizontal="left" wrapText="1"/>
    </xf>
    <xf numFmtId="0" fontId="6" fillId="0" borderId="19" xfId="0" applyFont="1" applyFill="1" applyBorder="1" applyAlignment="1" applyProtection="1">
      <alignment horizontal="left" wrapText="1"/>
    </xf>
    <xf numFmtId="0" fontId="6" fillId="0" borderId="3" xfId="0" applyFont="1" applyFill="1" applyBorder="1" applyAlignment="1" applyProtection="1">
      <alignment horizontal="left" wrapText="1"/>
      <protection locked="0"/>
    </xf>
    <xf numFmtId="0" fontId="6" fillId="0" borderId="1" xfId="0" applyFont="1" applyFill="1" applyBorder="1" applyAlignment="1" applyProtection="1">
      <alignment horizontal="left" wrapText="1"/>
    </xf>
    <xf numFmtId="0" fontId="6" fillId="0" borderId="20" xfId="0" applyFont="1" applyFill="1" applyBorder="1" applyAlignment="1" applyProtection="1">
      <alignment horizontal="left" wrapText="1"/>
    </xf>
    <xf numFmtId="0" fontId="6" fillId="0" borderId="15" xfId="0" applyFont="1" applyFill="1" applyBorder="1" applyAlignment="1" applyProtection="1">
      <alignment horizontal="left" wrapText="1"/>
    </xf>
    <xf numFmtId="0" fontId="6" fillId="0" borderId="23" xfId="0" applyFont="1" applyFill="1" applyBorder="1" applyAlignment="1" applyProtection="1">
      <alignment horizontal="left"/>
    </xf>
    <xf numFmtId="0" fontId="6" fillId="0" borderId="24" xfId="0" applyFont="1" applyFill="1" applyBorder="1" applyAlignment="1" applyProtection="1">
      <alignment horizontal="left"/>
      <protection locked="0"/>
    </xf>
    <xf numFmtId="0" fontId="6" fillId="0" borderId="24" xfId="0" applyFont="1" applyFill="1" applyBorder="1" applyAlignment="1" applyProtection="1">
      <alignment horizontal="left"/>
    </xf>
    <xf numFmtId="0" fontId="6" fillId="0" borderId="26" xfId="0" applyFont="1" applyFill="1" applyBorder="1" applyAlignment="1" applyProtection="1">
      <alignment horizontal="left"/>
    </xf>
    <xf numFmtId="0" fontId="6" fillId="0" borderId="25" xfId="0" applyFont="1" applyFill="1" applyBorder="1" applyAlignment="1" applyProtection="1">
      <alignment horizontal="left"/>
    </xf>
    <xf numFmtId="0" fontId="0" fillId="0" borderId="0" xfId="0" applyAlignment="1">
      <alignment horizontal="left"/>
    </xf>
    <xf numFmtId="3" fontId="4" fillId="0" borderId="13" xfId="0" applyNumberFormat="1" applyFont="1" applyBorder="1" applyAlignment="1" applyProtection="1">
      <alignment horizontal="center" wrapText="1"/>
      <protection locked="0"/>
    </xf>
    <xf numFmtId="0" fontId="4" fillId="0" borderId="13" xfId="0" applyFont="1" applyBorder="1" applyProtection="1">
      <protection locked="0"/>
    </xf>
    <xf numFmtId="3" fontId="4" fillId="0" borderId="13" xfId="0" applyNumberFormat="1" applyFont="1" applyBorder="1" applyProtection="1">
      <protection locked="0"/>
    </xf>
    <xf numFmtId="0" fontId="9" fillId="0" borderId="13" xfId="0" applyFont="1" applyBorder="1" applyAlignment="1" applyProtection="1">
      <alignment vertical="center"/>
      <protection locked="0"/>
    </xf>
    <xf numFmtId="3" fontId="4" fillId="0" borderId="13" xfId="0" applyNumberFormat="1" applyFont="1" applyBorder="1" applyAlignment="1" applyProtection="1">
      <alignment horizontal="center" vertical="center"/>
      <protection locked="0"/>
    </xf>
    <xf numFmtId="0" fontId="5" fillId="0" borderId="0" xfId="0" applyFont="1" applyFill="1" applyBorder="1" applyAlignment="1" applyProtection="1">
      <alignment vertical="center"/>
    </xf>
    <xf numFmtId="14" fontId="5" fillId="0" borderId="1" xfId="0" applyNumberFormat="1" applyFont="1" applyFill="1" applyBorder="1" applyAlignment="1" applyProtection="1">
      <alignment horizontal="right" wrapText="1"/>
    </xf>
    <xf numFmtId="3" fontId="5" fillId="0" borderId="13" xfId="0" applyNumberFormat="1" applyFont="1" applyFill="1" applyBorder="1" applyAlignment="1" applyProtection="1">
      <alignment wrapText="1"/>
      <protection locked="0"/>
    </xf>
    <xf numFmtId="0" fontId="4" fillId="0" borderId="0" xfId="0" applyFont="1" applyFill="1" applyBorder="1" applyAlignment="1" applyProtection="1">
      <alignment horizontal="center"/>
      <protection locked="0"/>
    </xf>
    <xf numFmtId="0" fontId="4" fillId="0" borderId="0" xfId="0" applyFont="1" applyAlignment="1" applyProtection="1">
      <alignment horizontal="center"/>
      <protection locked="0"/>
    </xf>
    <xf numFmtId="0" fontId="8" fillId="0" borderId="13" xfId="0" applyFont="1" applyFill="1" applyBorder="1" applyAlignment="1" applyProtection="1">
      <alignment wrapText="1"/>
    </xf>
    <xf numFmtId="0" fontId="6" fillId="0" borderId="0" xfId="0" applyFont="1" applyFill="1" applyBorder="1" applyAlignment="1" applyProtection="1">
      <alignment horizontal="right" wrapText="1"/>
      <protection locked="0"/>
    </xf>
    <xf numFmtId="3" fontId="6" fillId="0" borderId="31" xfId="0" applyNumberFormat="1" applyFont="1" applyFill="1" applyBorder="1" applyAlignment="1" applyProtection="1">
      <alignment horizontal="right" wrapText="1"/>
      <protection locked="0"/>
    </xf>
    <xf numFmtId="3" fontId="6" fillId="0" borderId="22" xfId="0" applyNumberFormat="1" applyFont="1" applyFill="1" applyBorder="1" applyAlignment="1" applyProtection="1">
      <alignment horizontal="right" wrapText="1"/>
      <protection locked="0"/>
    </xf>
    <xf numFmtId="3" fontId="5" fillId="0" borderId="13" xfId="0" applyNumberFormat="1" applyFont="1" applyFill="1" applyBorder="1" applyAlignment="1" applyProtection="1">
      <alignment horizontal="right" wrapText="1"/>
    </xf>
    <xf numFmtId="3" fontId="6" fillId="0" borderId="13" xfId="0" applyNumberFormat="1" applyFont="1" applyFill="1" applyBorder="1" applyAlignment="1" applyProtection="1">
      <alignment horizontal="right" wrapText="1"/>
    </xf>
    <xf numFmtId="0" fontId="4" fillId="0" borderId="0" xfId="0" applyFont="1" applyAlignment="1" applyProtection="1">
      <alignment horizontal="right"/>
      <protection locked="0"/>
    </xf>
    <xf numFmtId="3" fontId="4" fillId="0" borderId="21" xfId="0" applyNumberFormat="1" applyFont="1" applyBorder="1" applyProtection="1">
      <protection locked="0"/>
    </xf>
    <xf numFmtId="0" fontId="6" fillId="0" borderId="9" xfId="0" applyFont="1" applyFill="1" applyBorder="1" applyProtection="1"/>
    <xf numFmtId="0" fontId="5" fillId="0" borderId="9" xfId="0" applyFont="1" applyFill="1" applyBorder="1" applyAlignment="1" applyProtection="1">
      <alignment horizontal="left"/>
    </xf>
    <xf numFmtId="0" fontId="6" fillId="0" borderId="11" xfId="0" applyFont="1" applyFill="1" applyBorder="1" applyProtection="1">
      <protection locked="0"/>
    </xf>
    <xf numFmtId="0" fontId="6" fillId="0" borderId="10" xfId="0" applyFont="1" applyFill="1" applyBorder="1" applyProtection="1">
      <protection locked="0"/>
    </xf>
    <xf numFmtId="0" fontId="0" fillId="0" borderId="33" xfId="0" applyBorder="1"/>
    <xf numFmtId="0" fontId="0" fillId="0" borderId="21" xfId="0" applyBorder="1"/>
    <xf numFmtId="0" fontId="0" fillId="0" borderId="22" xfId="0" applyBorder="1"/>
    <xf numFmtId="0" fontId="0" fillId="0" borderId="13" xfId="0" applyBorder="1"/>
    <xf numFmtId="0" fontId="21" fillId="0" borderId="13" xfId="1" applyFont="1" applyFill="1" applyBorder="1"/>
    <xf numFmtId="38" fontId="21" fillId="0" borderId="13" xfId="1" applyNumberFormat="1" applyFont="1" applyFill="1" applyBorder="1" applyAlignment="1">
      <alignment wrapText="1"/>
    </xf>
    <xf numFmtId="3" fontId="4" fillId="0" borderId="0" xfId="0" applyNumberFormat="1" applyFont="1" applyFill="1" applyAlignment="1" applyProtection="1">
      <alignment horizontal="left"/>
      <protection locked="0"/>
    </xf>
    <xf numFmtId="0" fontId="4" fillId="0" borderId="0" xfId="0" applyFont="1" applyFill="1" applyAlignment="1" applyProtection="1">
      <alignment horizontal="center"/>
      <protection locked="0"/>
    </xf>
    <xf numFmtId="0" fontId="8" fillId="0" borderId="0" xfId="0" applyFont="1" applyFill="1" applyBorder="1" applyAlignment="1" applyProtection="1">
      <protection locked="0"/>
    </xf>
    <xf numFmtId="0" fontId="19" fillId="0" borderId="0" xfId="0" applyFont="1" applyFill="1" applyBorder="1" applyAlignment="1" applyProtection="1"/>
    <xf numFmtId="3" fontId="6" fillId="0" borderId="0" xfId="0" applyNumberFormat="1" applyFont="1" applyFill="1" applyBorder="1" applyAlignment="1" applyProtection="1">
      <alignment horizontal="center"/>
      <protection locked="0"/>
    </xf>
    <xf numFmtId="0" fontId="6" fillId="0" borderId="35" xfId="0" applyFont="1" applyFill="1" applyBorder="1" applyAlignment="1" applyProtection="1">
      <alignment horizontal="left" vertical="center"/>
    </xf>
    <xf numFmtId="0" fontId="8" fillId="0" borderId="0" xfId="0" applyFont="1" applyFill="1" applyBorder="1" applyAlignment="1" applyProtection="1">
      <alignment vertical="center"/>
    </xf>
    <xf numFmtId="3" fontId="6" fillId="0" borderId="0" xfId="0" applyNumberFormat="1" applyFont="1" applyFill="1" applyBorder="1" applyAlignment="1" applyProtection="1">
      <alignment horizontal="left" wrapText="1"/>
      <protection locked="0"/>
    </xf>
    <xf numFmtId="14" fontId="9" fillId="0" borderId="13" xfId="0" applyNumberFormat="1" applyFont="1" applyBorder="1" applyAlignment="1">
      <alignment horizontal="center"/>
    </xf>
    <xf numFmtId="14" fontId="4" fillId="0" borderId="13" xfId="0" applyNumberFormat="1" applyFont="1" applyBorder="1" applyAlignment="1">
      <alignment horizontal="center"/>
    </xf>
    <xf numFmtId="0" fontId="18" fillId="0" borderId="0" xfId="0" applyFont="1" applyFill="1"/>
    <xf numFmtId="0" fontId="4" fillId="0" borderId="13" xfId="0" applyFont="1" applyBorder="1"/>
    <xf numFmtId="0" fontId="4" fillId="0" borderId="13" xfId="0" applyFont="1" applyFill="1" applyBorder="1" applyProtection="1">
      <protection locked="0"/>
    </xf>
    <xf numFmtId="0" fontId="9" fillId="5" borderId="0" xfId="0" applyFont="1" applyFill="1"/>
    <xf numFmtId="0" fontId="0" fillId="5" borderId="21" xfId="0" applyFill="1" applyBorder="1"/>
    <xf numFmtId="0" fontId="24" fillId="0" borderId="0" xfId="0" applyFont="1"/>
    <xf numFmtId="3" fontId="6" fillId="0" borderId="11" xfId="0" applyNumberFormat="1" applyFont="1" applyFill="1" applyBorder="1" applyAlignment="1" applyProtection="1">
      <alignment horizontal="right"/>
    </xf>
    <xf numFmtId="3" fontId="6" fillId="0" borderId="11" xfId="0" applyNumberFormat="1" applyFont="1" applyFill="1" applyBorder="1" applyAlignment="1" applyProtection="1">
      <alignment horizontal="right"/>
      <protection locked="0"/>
    </xf>
    <xf numFmtId="3" fontId="6" fillId="0" borderId="11" xfId="0" applyNumberFormat="1" applyFont="1" applyFill="1" applyBorder="1" applyProtection="1">
      <protection locked="0"/>
    </xf>
    <xf numFmtId="49" fontId="6" fillId="0" borderId="1" xfId="0" applyNumberFormat="1" applyFont="1" applyFill="1" applyBorder="1" applyAlignment="1" applyProtection="1">
      <alignment horizontal="left" indent="1"/>
    </xf>
    <xf numFmtId="0" fontId="13" fillId="0" borderId="13" xfId="0" applyFont="1" applyFill="1" applyBorder="1" applyProtection="1">
      <protection locked="0"/>
    </xf>
    <xf numFmtId="38" fontId="13" fillId="0" borderId="13" xfId="0" applyNumberFormat="1" applyFont="1" applyBorder="1" applyProtection="1">
      <protection locked="0"/>
    </xf>
    <xf numFmtId="0" fontId="4" fillId="0" borderId="0" xfId="0" applyFont="1" applyAlignment="1" applyProtection="1">
      <alignment horizontal="center"/>
    </xf>
    <xf numFmtId="0" fontId="4" fillId="0" borderId="0" xfId="0" applyFont="1" applyAlignment="1" applyProtection="1">
      <alignment vertical="center"/>
    </xf>
    <xf numFmtId="0" fontId="6" fillId="0" borderId="6" xfId="0" applyFont="1" applyFill="1" applyBorder="1" applyAlignment="1" applyProtection="1">
      <alignment horizontal="left"/>
    </xf>
    <xf numFmtId="14" fontId="5" fillId="0" borderId="1" xfId="0" quotePrefix="1" applyNumberFormat="1" applyFont="1" applyFill="1" applyBorder="1" applyAlignment="1" applyProtection="1">
      <alignment horizontal="right" wrapText="1"/>
      <protection locked="0"/>
    </xf>
    <xf numFmtId="14" fontId="6" fillId="0" borderId="2" xfId="0" applyNumberFormat="1" applyFont="1" applyFill="1" applyBorder="1" applyAlignment="1" applyProtection="1">
      <alignment horizontal="right" wrapText="1"/>
    </xf>
    <xf numFmtId="14" fontId="5" fillId="0" borderId="13" xfId="0" applyNumberFormat="1" applyFont="1" applyFill="1" applyBorder="1" applyAlignment="1" applyProtection="1">
      <alignment horizontal="right" wrapText="1"/>
    </xf>
    <xf numFmtId="14" fontId="6" fillId="0" borderId="13" xfId="0" applyNumberFormat="1" applyFont="1" applyFill="1" applyBorder="1" applyAlignment="1" applyProtection="1">
      <alignment horizontal="right" wrapText="1"/>
    </xf>
    <xf numFmtId="3" fontId="6" fillId="0" borderId="21" xfId="0" applyNumberFormat="1" applyFont="1" applyFill="1" applyBorder="1" applyAlignment="1" applyProtection="1">
      <alignment horizontal="right" wrapText="1"/>
      <protection locked="0"/>
    </xf>
    <xf numFmtId="3" fontId="5" fillId="0" borderId="13" xfId="0" applyNumberFormat="1" applyFont="1" applyFill="1" applyBorder="1" applyAlignment="1" applyProtection="1">
      <alignment horizontal="right" wrapText="1"/>
      <protection locked="0"/>
    </xf>
    <xf numFmtId="3" fontId="6" fillId="0" borderId="13" xfId="0" applyNumberFormat="1" applyFont="1" applyFill="1" applyBorder="1" applyAlignment="1" applyProtection="1">
      <alignment horizontal="right" wrapText="1"/>
      <protection locked="0"/>
    </xf>
    <xf numFmtId="3" fontId="6" fillId="0" borderId="0" xfId="0" applyNumberFormat="1" applyFont="1" applyFill="1" applyBorder="1" applyAlignment="1" applyProtection="1">
      <alignment horizontal="right" wrapText="1"/>
      <protection locked="0"/>
    </xf>
    <xf numFmtId="0" fontId="4" fillId="0" borderId="13" xfId="0" applyFont="1" applyBorder="1" applyAlignment="1" applyProtection="1">
      <alignment horizontal="left"/>
      <protection locked="0"/>
    </xf>
    <xf numFmtId="0" fontId="4" fillId="0" borderId="21" xfId="0" applyFont="1" applyBorder="1" applyAlignment="1" applyProtection="1">
      <alignment horizontal="left"/>
      <protection locked="0"/>
    </xf>
    <xf numFmtId="3" fontId="4" fillId="0" borderId="0" xfId="0" applyNumberFormat="1" applyFont="1" applyAlignment="1" applyProtection="1">
      <alignment horizontal="right" wrapText="1"/>
      <protection locked="0"/>
    </xf>
    <xf numFmtId="14" fontId="5" fillId="0" borderId="13" xfId="0" applyNumberFormat="1" applyFont="1" applyFill="1" applyBorder="1" applyAlignment="1" applyProtection="1">
      <alignment horizontal="right" vertical="top"/>
    </xf>
    <xf numFmtId="14" fontId="6" fillId="0" borderId="13" xfId="0" applyNumberFormat="1" applyFont="1" applyFill="1" applyBorder="1" applyAlignment="1" applyProtection="1">
      <alignment horizontal="right" vertical="top"/>
    </xf>
    <xf numFmtId="14" fontId="5" fillId="0" borderId="13" xfId="0" applyNumberFormat="1" applyFont="1" applyFill="1" applyBorder="1" applyAlignment="1" applyProtection="1">
      <alignment horizontal="right" wrapText="1"/>
      <protection locked="0"/>
    </xf>
    <xf numFmtId="14" fontId="6" fillId="0" borderId="13" xfId="0" applyNumberFormat="1" applyFont="1" applyFill="1" applyBorder="1" applyAlignment="1" applyProtection="1">
      <alignment horizontal="right" wrapText="1"/>
      <protection locked="0"/>
    </xf>
    <xf numFmtId="0" fontId="6" fillId="0" borderId="13" xfId="0" applyFont="1" applyFill="1" applyBorder="1" applyAlignment="1" applyProtection="1">
      <alignment horizontal="left" vertical="top"/>
    </xf>
    <xf numFmtId="0" fontId="6" fillId="0" borderId="31" xfId="0" applyFont="1" applyFill="1" applyBorder="1" applyAlignment="1" applyProtection="1">
      <alignment horizontal="left" wrapText="1"/>
    </xf>
    <xf numFmtId="0" fontId="6" fillId="0" borderId="22" xfId="0" applyFont="1" applyFill="1" applyBorder="1" applyAlignment="1" applyProtection="1">
      <alignment horizontal="left" wrapText="1"/>
    </xf>
    <xf numFmtId="0" fontId="6" fillId="0" borderId="13" xfId="0" applyFont="1" applyFill="1" applyBorder="1" applyAlignment="1" applyProtection="1">
      <alignment horizontal="left" wrapText="1"/>
    </xf>
    <xf numFmtId="49" fontId="6" fillId="0" borderId="13" xfId="0" applyNumberFormat="1" applyFont="1" applyFill="1" applyBorder="1" applyAlignment="1" applyProtection="1">
      <alignment horizontal="left" wrapText="1"/>
      <protection locked="0"/>
    </xf>
    <xf numFmtId="0" fontId="6" fillId="0" borderId="31" xfId="0" applyFont="1" applyFill="1" applyBorder="1" applyAlignment="1" applyProtection="1">
      <alignment horizontal="left" wrapText="1"/>
      <protection locked="0"/>
    </xf>
    <xf numFmtId="0" fontId="6" fillId="0" borderId="13" xfId="0" applyFont="1" applyFill="1" applyBorder="1" applyAlignment="1" applyProtection="1">
      <alignment horizontal="left" wrapText="1"/>
      <protection locked="0"/>
    </xf>
    <xf numFmtId="0" fontId="0" fillId="0" borderId="13" xfId="0" applyBorder="1" applyAlignment="1">
      <alignment horizontal="left"/>
    </xf>
    <xf numFmtId="14" fontId="6" fillId="0" borderId="11" xfId="0" applyNumberFormat="1" applyFont="1" applyFill="1" applyBorder="1" applyAlignment="1" applyProtection="1">
      <alignment horizontal="right" vertical="center" wrapText="1"/>
    </xf>
    <xf numFmtId="0" fontId="6" fillId="0" borderId="29" xfId="0" applyFont="1" applyFill="1" applyBorder="1" applyAlignment="1" applyProtection="1">
      <alignment horizontal="left" wrapText="1"/>
      <protection locked="0"/>
    </xf>
    <xf numFmtId="0" fontId="6" fillId="0" borderId="28" xfId="0" applyFont="1" applyFill="1" applyBorder="1" applyAlignment="1" applyProtection="1">
      <alignment horizontal="left" wrapText="1"/>
      <protection locked="0"/>
    </xf>
    <xf numFmtId="0" fontId="4" fillId="5" borderId="0" xfId="0" applyFont="1" applyFill="1"/>
    <xf numFmtId="3" fontId="6" fillId="0" borderId="33" xfId="0" applyNumberFormat="1" applyFont="1" applyFill="1" applyBorder="1" applyAlignment="1" applyProtection="1">
      <alignment wrapText="1"/>
      <protection locked="0"/>
    </xf>
    <xf numFmtId="3" fontId="4" fillId="0" borderId="33" xfId="0" applyNumberFormat="1" applyFont="1" applyBorder="1" applyProtection="1">
      <protection locked="0"/>
    </xf>
    <xf numFmtId="0" fontId="6" fillId="0" borderId="33" xfId="0" applyFont="1" applyFill="1" applyBorder="1" applyProtection="1"/>
    <xf numFmtId="0" fontId="5" fillId="0" borderId="37" xfId="0" applyFont="1" applyFill="1" applyBorder="1" applyProtection="1"/>
    <xf numFmtId="0" fontId="8" fillId="0" borderId="33" xfId="0" applyFont="1" applyFill="1" applyBorder="1" applyAlignment="1" applyProtection="1">
      <alignment wrapText="1"/>
      <protection locked="0"/>
    </xf>
    <xf numFmtId="0" fontId="6" fillId="0" borderId="33" xfId="0" applyFont="1" applyFill="1" applyBorder="1" applyProtection="1">
      <protection locked="0"/>
    </xf>
    <xf numFmtId="0" fontId="6" fillId="0" borderId="33" xfId="0" applyFont="1" applyFill="1" applyBorder="1" applyAlignment="1" applyProtection="1">
      <alignment wrapText="1"/>
      <protection locked="0"/>
    </xf>
    <xf numFmtId="0" fontId="5" fillId="0" borderId="30" xfId="0" applyFont="1" applyFill="1" applyBorder="1" applyAlignment="1" applyProtection="1">
      <alignment wrapText="1"/>
      <protection locked="0"/>
    </xf>
    <xf numFmtId="49" fontId="0" fillId="0" borderId="13" xfId="0" applyNumberFormat="1" applyBorder="1"/>
    <xf numFmtId="0" fontId="7" fillId="0" borderId="38" xfId="0" applyFont="1" applyFill="1" applyBorder="1" applyAlignment="1" applyProtection="1"/>
    <xf numFmtId="0" fontId="19" fillId="0" borderId="0" xfId="0" applyFont="1" applyFill="1" applyBorder="1"/>
    <xf numFmtId="0" fontId="4" fillId="0" borderId="21" xfId="0" applyFont="1" applyBorder="1" applyAlignment="1">
      <alignment horizontal="left" vertical="center"/>
    </xf>
    <xf numFmtId="0" fontId="4" fillId="0" borderId="13" xfId="0" applyFont="1" applyBorder="1" applyAlignment="1">
      <alignment horizontal="left"/>
    </xf>
    <xf numFmtId="0" fontId="19" fillId="0" borderId="21" xfId="0" applyFont="1" applyFill="1" applyBorder="1"/>
    <xf numFmtId="0" fontId="4" fillId="0" borderId="21" xfId="0" applyFont="1" applyBorder="1" applyAlignment="1">
      <alignment horizontal="left"/>
    </xf>
    <xf numFmtId="0" fontId="4" fillId="0" borderId="21" xfId="0" applyFont="1" applyFill="1" applyBorder="1"/>
    <xf numFmtId="0" fontId="4" fillId="0" borderId="21" xfId="0" applyFont="1" applyFill="1" applyBorder="1" applyAlignment="1">
      <alignment horizontal="left" indent="1"/>
    </xf>
    <xf numFmtId="0" fontId="4" fillId="0" borderId="21" xfId="0" applyFont="1" applyBorder="1"/>
    <xf numFmtId="49" fontId="4" fillId="0" borderId="21" xfId="0" applyNumberFormat="1" applyFont="1" applyBorder="1" applyAlignment="1">
      <alignment horizontal="left" indent="1"/>
    </xf>
    <xf numFmtId="0" fontId="4" fillId="0" borderId="21" xfId="0" quotePrefix="1" applyFont="1" applyBorder="1" applyAlignment="1">
      <alignment horizontal="left" indent="1"/>
    </xf>
    <xf numFmtId="0" fontId="5" fillId="0" borderId="13" xfId="0" applyFont="1" applyFill="1" applyBorder="1" applyAlignment="1" applyProtection="1">
      <protection locked="0"/>
    </xf>
    <xf numFmtId="0" fontId="6" fillId="0" borderId="21" xfId="0" applyFont="1" applyFill="1" applyBorder="1" applyAlignment="1" applyProtection="1">
      <alignment wrapText="1"/>
      <protection locked="0"/>
    </xf>
    <xf numFmtId="3" fontId="6" fillId="0" borderId="21" xfId="0" applyNumberFormat="1" applyFont="1" applyFill="1" applyBorder="1" applyAlignment="1" applyProtection="1">
      <alignment wrapText="1"/>
      <protection locked="0"/>
    </xf>
    <xf numFmtId="0" fontId="6" fillId="0" borderId="21" xfId="0" applyFont="1" applyFill="1" applyBorder="1" applyAlignment="1" applyProtection="1">
      <alignment horizontal="left" wrapText="1"/>
      <protection locked="0"/>
    </xf>
    <xf numFmtId="0" fontId="6" fillId="0" borderId="21" xfId="0" applyFont="1" applyFill="1" applyBorder="1" applyProtection="1"/>
    <xf numFmtId="0" fontId="6" fillId="0" borderId="21" xfId="0" applyFont="1" applyFill="1" applyBorder="1" applyAlignment="1" applyProtection="1">
      <alignment horizontal="left" wrapText="1"/>
    </xf>
    <xf numFmtId="0" fontId="6" fillId="0" borderId="39" xfId="0" applyFont="1" applyFill="1" applyBorder="1" applyProtection="1"/>
    <xf numFmtId="0" fontId="5" fillId="0" borderId="40" xfId="0" applyFont="1" applyFill="1" applyBorder="1" applyAlignment="1" applyProtection="1">
      <alignment wrapText="1"/>
    </xf>
    <xf numFmtId="3" fontId="5" fillId="0" borderId="40" xfId="0" applyNumberFormat="1" applyFont="1" applyFill="1" applyBorder="1" applyAlignment="1" applyProtection="1">
      <alignment wrapText="1"/>
    </xf>
    <xf numFmtId="3" fontId="6" fillId="0" borderId="40" xfId="0" applyNumberFormat="1" applyFont="1" applyFill="1" applyBorder="1" applyAlignment="1" applyProtection="1">
      <alignment wrapText="1"/>
    </xf>
    <xf numFmtId="14" fontId="6" fillId="0" borderId="13" xfId="0" applyNumberFormat="1" applyFont="1" applyFill="1" applyBorder="1" applyAlignment="1" applyProtection="1">
      <alignment wrapText="1"/>
      <protection locked="0"/>
    </xf>
    <xf numFmtId="0" fontId="4" fillId="0" borderId="21" xfId="0" applyFont="1" applyBorder="1" applyProtection="1">
      <protection locked="0"/>
    </xf>
    <xf numFmtId="0" fontId="7" fillId="0" borderId="13" xfId="0" applyFont="1" applyFill="1" applyBorder="1" applyAlignment="1" applyProtection="1">
      <alignment wrapText="1"/>
    </xf>
    <xf numFmtId="0" fontId="6" fillId="0" borderId="21" xfId="0" applyFont="1" applyFill="1" applyBorder="1" applyAlignment="1" applyProtection="1">
      <alignment wrapText="1"/>
    </xf>
    <xf numFmtId="0" fontId="6" fillId="0" borderId="39" xfId="0" applyFont="1" applyFill="1" applyBorder="1" applyAlignment="1" applyProtection="1">
      <alignment wrapText="1"/>
    </xf>
    <xf numFmtId="0" fontId="7" fillId="0" borderId="40" xfId="0" applyFont="1" applyFill="1" applyBorder="1" applyAlignment="1" applyProtection="1">
      <alignment wrapText="1"/>
    </xf>
    <xf numFmtId="0" fontId="6" fillId="0" borderId="41" xfId="0" applyFont="1" applyFill="1" applyBorder="1" applyAlignment="1" applyProtection="1">
      <alignment wrapText="1"/>
      <protection locked="0"/>
    </xf>
    <xf numFmtId="3" fontId="6" fillId="0" borderId="41" xfId="0" applyNumberFormat="1" applyFont="1" applyFill="1" applyBorder="1" applyAlignment="1" applyProtection="1">
      <alignment wrapText="1"/>
      <protection locked="0"/>
    </xf>
    <xf numFmtId="0" fontId="6" fillId="0" borderId="40" xfId="0" applyFont="1" applyFill="1" applyBorder="1" applyAlignment="1" applyProtection="1">
      <alignment wrapText="1"/>
      <protection locked="0"/>
    </xf>
    <xf numFmtId="3" fontId="6" fillId="0" borderId="40" xfId="0" applyNumberFormat="1" applyFont="1" applyFill="1" applyBorder="1" applyAlignment="1" applyProtection="1">
      <alignment wrapText="1"/>
      <protection locked="0"/>
    </xf>
    <xf numFmtId="0" fontId="5" fillId="0" borderId="42" xfId="0" applyFont="1" applyFill="1" applyBorder="1" applyAlignment="1" applyProtection="1">
      <alignment wrapText="1"/>
    </xf>
    <xf numFmtId="3" fontId="5" fillId="0" borderId="42" xfId="0" applyNumberFormat="1" applyFont="1" applyFill="1" applyBorder="1" applyAlignment="1" applyProtection="1">
      <alignment wrapText="1"/>
    </xf>
    <xf numFmtId="3" fontId="6" fillId="0" borderId="42" xfId="0" applyNumberFormat="1" applyFont="1" applyFill="1" applyBorder="1" applyAlignment="1" applyProtection="1">
      <alignment wrapText="1"/>
    </xf>
    <xf numFmtId="0" fontId="6" fillId="0" borderId="13" xfId="0" applyFont="1" applyFill="1" applyBorder="1" applyAlignment="1" applyProtection="1"/>
    <xf numFmtId="3" fontId="5" fillId="0" borderId="21" xfId="0" applyNumberFormat="1" applyFont="1" applyFill="1" applyBorder="1" applyAlignment="1" applyProtection="1">
      <alignment wrapText="1"/>
      <protection locked="0"/>
    </xf>
    <xf numFmtId="0" fontId="7" fillId="0" borderId="42" xfId="0" applyFont="1" applyFill="1" applyBorder="1" applyAlignment="1" applyProtection="1">
      <alignment wrapText="1"/>
    </xf>
    <xf numFmtId="0" fontId="6" fillId="0" borderId="13" xfId="0" applyFont="1" applyFill="1" applyBorder="1" applyAlignment="1" applyProtection="1">
      <alignment wrapText="1"/>
    </xf>
    <xf numFmtId="0" fontId="5" fillId="0" borderId="34" xfId="0" applyFont="1" applyFill="1" applyBorder="1" applyAlignment="1" applyProtection="1">
      <alignment wrapText="1"/>
    </xf>
    <xf numFmtId="3" fontId="5" fillId="0" borderId="28" xfId="0" applyNumberFormat="1" applyFont="1" applyFill="1" applyBorder="1" applyAlignment="1" applyProtection="1">
      <alignment wrapText="1"/>
    </xf>
    <xf numFmtId="3" fontId="6" fillId="0" borderId="28" xfId="0" applyNumberFormat="1" applyFont="1" applyFill="1" applyBorder="1" applyAlignment="1" applyProtection="1">
      <alignment wrapText="1"/>
    </xf>
    <xf numFmtId="0" fontId="6" fillId="0" borderId="36" xfId="0" applyFont="1" applyFill="1" applyBorder="1" applyAlignment="1" applyProtection="1">
      <alignment horizontal="left" wrapText="1"/>
    </xf>
    <xf numFmtId="0" fontId="9" fillId="0" borderId="13" xfId="0" applyFont="1" applyBorder="1" applyProtection="1">
      <protection locked="0"/>
    </xf>
    <xf numFmtId="14" fontId="5" fillId="0" borderId="1" xfId="0" applyNumberFormat="1" applyFont="1" applyFill="1" applyBorder="1" applyAlignment="1" applyProtection="1">
      <alignment horizontal="right" vertical="center" wrapText="1"/>
    </xf>
    <xf numFmtId="14" fontId="5" fillId="0" borderId="13" xfId="0" applyNumberFormat="1" applyFont="1" applyFill="1" applyBorder="1" applyAlignment="1" applyProtection="1">
      <alignment wrapText="1"/>
      <protection locked="0"/>
    </xf>
    <xf numFmtId="0" fontId="4" fillId="0" borderId="13" xfId="0" applyFont="1" applyFill="1" applyBorder="1"/>
    <xf numFmtId="0" fontId="9" fillId="0" borderId="13" xfId="0" applyFont="1" applyFill="1" applyBorder="1"/>
    <xf numFmtId="14" fontId="9" fillId="0" borderId="13" xfId="0" applyNumberFormat="1" applyFont="1" applyBorder="1" applyAlignment="1">
      <alignment horizontal="right" vertical="center"/>
    </xf>
    <xf numFmtId="14" fontId="4" fillId="0" borderId="13" xfId="0" applyNumberFormat="1" applyFont="1" applyBorder="1" applyAlignment="1">
      <alignment horizontal="right" vertical="center"/>
    </xf>
    <xf numFmtId="14" fontId="4" fillId="0" borderId="21" xfId="0" applyNumberFormat="1" applyFont="1" applyBorder="1" applyAlignment="1">
      <alignment horizontal="center" vertical="center"/>
    </xf>
    <xf numFmtId="3" fontId="4" fillId="0" borderId="21" xfId="0" applyNumberFormat="1" applyFont="1" applyBorder="1" applyAlignment="1">
      <alignment horizontal="right" vertical="center"/>
    </xf>
    <xf numFmtId="3" fontId="4" fillId="0" borderId="13" xfId="0" applyNumberFormat="1" applyFont="1" applyBorder="1" applyAlignment="1">
      <alignment horizontal="right"/>
    </xf>
    <xf numFmtId="3" fontId="4" fillId="0" borderId="21" xfId="0" applyNumberFormat="1" applyFont="1" applyBorder="1" applyAlignment="1">
      <alignment horizontal="right"/>
    </xf>
    <xf numFmtId="3" fontId="6" fillId="0" borderId="21" xfId="0" applyNumberFormat="1" applyFont="1" applyFill="1" applyBorder="1" applyAlignment="1" applyProtection="1">
      <protection locked="0"/>
    </xf>
    <xf numFmtId="3" fontId="6" fillId="0" borderId="13" xfId="0" applyNumberFormat="1" applyFont="1" applyFill="1" applyBorder="1" applyAlignment="1" applyProtection="1">
      <protection locked="0"/>
    </xf>
    <xf numFmtId="3" fontId="5" fillId="0" borderId="13" xfId="0" applyNumberFormat="1" applyFont="1" applyFill="1" applyBorder="1" applyAlignment="1" applyProtection="1"/>
    <xf numFmtId="3" fontId="6" fillId="0" borderId="3" xfId="0" applyNumberFormat="1" applyFont="1" applyFill="1" applyBorder="1" applyAlignment="1" applyProtection="1">
      <protection locked="0"/>
    </xf>
    <xf numFmtId="3" fontId="6" fillId="0" borderId="19" xfId="0" applyNumberFormat="1" applyFont="1" applyFill="1" applyBorder="1" applyAlignment="1" applyProtection="1">
      <protection locked="0"/>
    </xf>
    <xf numFmtId="3" fontId="6" fillId="0" borderId="5" xfId="0" applyNumberFormat="1" applyFont="1" applyFill="1" applyBorder="1" applyAlignment="1" applyProtection="1">
      <protection locked="0"/>
    </xf>
    <xf numFmtId="3" fontId="5" fillId="0" borderId="1" xfId="0" applyNumberFormat="1" applyFont="1" applyFill="1" applyBorder="1" applyAlignment="1" applyProtection="1"/>
    <xf numFmtId="3" fontId="6" fillId="0" borderId="24" xfId="0" applyNumberFormat="1" applyFont="1" applyFill="1" applyBorder="1" applyAlignment="1" applyProtection="1">
      <protection locked="0"/>
    </xf>
    <xf numFmtId="3" fontId="6" fillId="0" borderId="23" xfId="0" applyNumberFormat="1" applyFont="1" applyFill="1" applyBorder="1" applyAlignment="1" applyProtection="1">
      <protection locked="0"/>
    </xf>
    <xf numFmtId="3" fontId="6" fillId="0" borderId="43" xfId="0" applyNumberFormat="1" applyFont="1" applyFill="1" applyBorder="1" applyAlignment="1" applyProtection="1">
      <protection locked="0"/>
    </xf>
    <xf numFmtId="3" fontId="5" fillId="0" borderId="13" xfId="0" applyNumberFormat="1" applyFont="1" applyFill="1" applyBorder="1" applyAlignment="1" applyProtection="1">
      <alignment horizontal="right"/>
    </xf>
    <xf numFmtId="3" fontId="6" fillId="0" borderId="44" xfId="0" applyNumberFormat="1" applyFont="1" applyFill="1" applyBorder="1" applyAlignment="1" applyProtection="1">
      <alignment horizontal="right"/>
    </xf>
    <xf numFmtId="3" fontId="6" fillId="0" borderId="21" xfId="0" applyNumberFormat="1" applyFont="1" applyFill="1" applyBorder="1" applyAlignment="1" applyProtection="1">
      <alignment horizontal="right"/>
      <protection locked="0"/>
    </xf>
    <xf numFmtId="3" fontId="5" fillId="0" borderId="44" xfId="0" applyNumberFormat="1" applyFont="1" applyFill="1" applyBorder="1" applyAlignment="1" applyProtection="1">
      <alignment horizontal="right"/>
    </xf>
    <xf numFmtId="3" fontId="5" fillId="0" borderId="40" xfId="0" applyNumberFormat="1" applyFont="1" applyFill="1" applyBorder="1" applyAlignment="1" applyProtection="1">
      <protection locked="0"/>
    </xf>
    <xf numFmtId="3" fontId="5" fillId="0" borderId="22" xfId="0" applyNumberFormat="1" applyFont="1" applyFill="1" applyBorder="1" applyAlignment="1" applyProtection="1">
      <alignment horizontal="right"/>
    </xf>
    <xf numFmtId="3" fontId="6" fillId="0" borderId="40" xfId="0" applyNumberFormat="1" applyFont="1" applyFill="1" applyBorder="1" applyAlignment="1" applyProtection="1">
      <protection locked="0"/>
    </xf>
    <xf numFmtId="3" fontId="6" fillId="0" borderId="13" xfId="0" applyNumberFormat="1" applyFont="1" applyFill="1" applyBorder="1" applyAlignment="1" applyProtection="1">
      <alignment wrapText="1"/>
      <protection locked="0"/>
    </xf>
    <xf numFmtId="14" fontId="5" fillId="0" borderId="13" xfId="0" applyNumberFormat="1" applyFont="1" applyFill="1" applyBorder="1" applyAlignment="1" applyProtection="1">
      <alignment horizontal="right"/>
    </xf>
    <xf numFmtId="14" fontId="6" fillId="0" borderId="13" xfId="0" applyNumberFormat="1" applyFont="1" applyFill="1" applyBorder="1" applyAlignment="1" applyProtection="1">
      <alignment horizontal="right"/>
    </xf>
    <xf numFmtId="0" fontId="5" fillId="0" borderId="45" xfId="0" applyFont="1" applyFill="1" applyBorder="1" applyProtection="1"/>
    <xf numFmtId="0" fontId="6" fillId="0" borderId="15" xfId="0" applyFont="1" applyFill="1" applyBorder="1" applyAlignment="1" applyProtection="1">
      <alignment horizontal="center"/>
      <protection locked="0"/>
    </xf>
    <xf numFmtId="3" fontId="5" fillId="0" borderId="15" xfId="0" applyNumberFormat="1" applyFont="1" applyFill="1" applyBorder="1" applyProtection="1"/>
    <xf numFmtId="3" fontId="6" fillId="0" borderId="45" xfId="0" applyNumberFormat="1" applyFont="1" applyFill="1" applyBorder="1" applyProtection="1"/>
    <xf numFmtId="0" fontId="6" fillId="0" borderId="46" xfId="0" applyFont="1" applyFill="1" applyBorder="1" applyAlignment="1" applyProtection="1">
      <alignment horizontal="left"/>
    </xf>
    <xf numFmtId="0" fontId="5" fillId="0" borderId="15" xfId="0" applyFont="1" applyFill="1" applyBorder="1" applyProtection="1"/>
    <xf numFmtId="37" fontId="5" fillId="0" borderId="15" xfId="0" applyNumberFormat="1" applyFont="1" applyFill="1" applyBorder="1" applyProtection="1"/>
    <xf numFmtId="37" fontId="6" fillId="0" borderId="15" xfId="0" applyNumberFormat="1" applyFont="1" applyFill="1" applyBorder="1" applyProtection="1"/>
    <xf numFmtId="0" fontId="6" fillId="0" borderId="15" xfId="0" applyFont="1" applyFill="1" applyBorder="1" applyProtection="1">
      <protection locked="0"/>
    </xf>
    <xf numFmtId="0" fontId="26" fillId="0" borderId="0" xfId="0" applyFont="1" applyFill="1" applyBorder="1" applyAlignment="1" applyProtection="1">
      <protection locked="0"/>
    </xf>
    <xf numFmtId="0" fontId="4" fillId="0" borderId="3" xfId="0" applyFont="1" applyFill="1" applyBorder="1" applyAlignment="1" applyProtection="1">
      <alignment horizontal="center"/>
      <protection locked="0"/>
    </xf>
    <xf numFmtId="14" fontId="6" fillId="0" borderId="2" xfId="0" quotePrefix="1" applyNumberFormat="1" applyFont="1" applyFill="1" applyBorder="1" applyAlignment="1" applyProtection="1">
      <alignment horizontal="center" wrapText="1"/>
      <protection locked="0"/>
    </xf>
    <xf numFmtId="14" fontId="6" fillId="0" borderId="16" xfId="0" applyNumberFormat="1" applyFont="1" applyFill="1" applyBorder="1" applyAlignment="1" applyProtection="1">
      <alignment horizontal="center" wrapText="1"/>
    </xf>
    <xf numFmtId="14" fontId="5" fillId="0" borderId="13" xfId="0" applyNumberFormat="1" applyFont="1" applyFill="1" applyBorder="1" applyAlignment="1" applyProtection="1">
      <alignment horizontal="center" vertical="center"/>
    </xf>
    <xf numFmtId="14" fontId="6" fillId="0" borderId="13" xfId="0" applyNumberFormat="1" applyFont="1" applyFill="1" applyBorder="1" applyAlignment="1" applyProtection="1">
      <alignment horizontal="center" vertical="center"/>
    </xf>
    <xf numFmtId="3" fontId="6" fillId="0" borderId="1" xfId="0" applyNumberFormat="1" applyFont="1" applyFill="1" applyBorder="1" applyAlignment="1" applyProtection="1"/>
    <xf numFmtId="3" fontId="6" fillId="0" borderId="13" xfId="0" applyNumberFormat="1" applyFont="1" applyFill="1" applyBorder="1" applyAlignment="1" applyProtection="1">
      <alignment horizontal="right"/>
    </xf>
    <xf numFmtId="0" fontId="4" fillId="0" borderId="0" xfId="0" applyFont="1" applyProtection="1"/>
    <xf numFmtId="0" fontId="6" fillId="0" borderId="0" xfId="0" applyFont="1" applyFill="1" applyBorder="1" applyProtection="1"/>
    <xf numFmtId="0" fontId="5" fillId="0" borderId="0" xfId="0" applyFont="1" applyFill="1" applyBorder="1" applyAlignment="1" applyProtection="1"/>
    <xf numFmtId="0" fontId="5" fillId="0" borderId="0" xfId="0" applyFont="1" applyFill="1" applyBorder="1" applyAlignment="1" applyProtection="1">
      <alignment wrapText="1"/>
    </xf>
    <xf numFmtId="0" fontId="4" fillId="0" borderId="0" xfId="0" applyFont="1" applyAlignment="1" applyProtection="1">
      <alignment vertical="top"/>
    </xf>
    <xf numFmtId="0" fontId="4" fillId="0" borderId="0" xfId="0" applyFont="1" applyAlignment="1" applyProtection="1">
      <alignment vertical="top" wrapText="1"/>
    </xf>
    <xf numFmtId="0" fontId="4" fillId="0" borderId="0" xfId="0" applyFont="1" applyProtection="1">
      <protection locked="0"/>
    </xf>
    <xf numFmtId="0" fontId="5" fillId="0" borderId="0" xfId="0" applyFont="1" applyFill="1" applyBorder="1" applyAlignment="1" applyProtection="1">
      <protection locked="0"/>
    </xf>
    <xf numFmtId="3" fontId="5" fillId="0" borderId="0" xfId="0" applyNumberFormat="1" applyFont="1" applyFill="1" applyBorder="1" applyAlignment="1" applyProtection="1">
      <alignment wrapText="1"/>
    </xf>
    <xf numFmtId="3" fontId="6" fillId="0" borderId="0" xfId="0" applyNumberFormat="1" applyFont="1" applyFill="1" applyBorder="1" applyAlignment="1" applyProtection="1">
      <alignment wrapText="1"/>
      <protection locked="0"/>
    </xf>
    <xf numFmtId="3" fontId="5" fillId="3" borderId="0" xfId="0" applyNumberFormat="1" applyFont="1" applyFill="1" applyBorder="1" applyAlignment="1" applyProtection="1"/>
    <xf numFmtId="3" fontId="4" fillId="0" borderId="0" xfId="0" applyNumberFormat="1" applyFont="1" applyProtection="1">
      <protection locked="0"/>
    </xf>
    <xf numFmtId="0" fontId="9" fillId="0" borderId="0" xfId="0" applyFont="1"/>
    <xf numFmtId="0" fontId="4" fillId="0" borderId="0" xfId="0" applyFont="1"/>
    <xf numFmtId="0" fontId="19" fillId="0" borderId="0" xfId="0" applyFont="1"/>
    <xf numFmtId="0" fontId="18" fillId="5" borderId="0" xfId="0" applyFont="1" applyFill="1"/>
    <xf numFmtId="0" fontId="19" fillId="0" borderId="0" xfId="0" applyFont="1" applyFill="1" applyBorder="1" applyProtection="1">
      <protection locked="0"/>
    </xf>
    <xf numFmtId="0" fontId="18" fillId="0" borderId="0" xfId="0" applyFont="1"/>
    <xf numFmtId="0" fontId="18" fillId="5" borderId="0" xfId="0" applyFont="1" applyFill="1" applyAlignment="1"/>
    <xf numFmtId="0" fontId="9" fillId="0" borderId="0" xfId="0" applyFont="1" applyProtection="1">
      <protection locked="0"/>
    </xf>
    <xf numFmtId="0" fontId="15" fillId="7" borderId="0" xfId="0" applyFont="1" applyFill="1" applyBorder="1" applyAlignment="1"/>
    <xf numFmtId="14" fontId="6" fillId="0" borderId="13" xfId="0" applyNumberFormat="1" applyFont="1" applyFill="1" applyBorder="1" applyAlignment="1" applyProtection="1">
      <alignment horizontal="left"/>
    </xf>
    <xf numFmtId="0" fontId="5" fillId="3" borderId="0" xfId="0" applyFont="1" applyFill="1" applyBorder="1" applyAlignment="1" applyProtection="1"/>
    <xf numFmtId="0" fontId="9" fillId="5" borderId="0" xfId="0" applyFont="1" applyFill="1" applyAlignment="1"/>
    <xf numFmtId="0" fontId="4" fillId="5" borderId="0" xfId="0" applyFont="1" applyFill="1" applyAlignment="1"/>
    <xf numFmtId="0" fontId="4" fillId="0" borderId="21" xfId="0" applyFont="1" applyFill="1" applyBorder="1" applyAlignment="1"/>
    <xf numFmtId="3" fontId="4" fillId="0" borderId="21" xfId="0" applyNumberFormat="1" applyFont="1" applyBorder="1" applyAlignment="1"/>
    <xf numFmtId="0" fontId="4" fillId="0" borderId="21" xfId="0" applyFont="1" applyBorder="1" applyAlignment="1">
      <alignment vertical="center"/>
    </xf>
    <xf numFmtId="0" fontId="0" fillId="0" borderId="0" xfId="0" applyAlignment="1"/>
    <xf numFmtId="0" fontId="6" fillId="0" borderId="10" xfId="0" applyFont="1" applyFill="1" applyBorder="1" applyAlignment="1" applyProtection="1"/>
    <xf numFmtId="0" fontId="0" fillId="0" borderId="21" xfId="0" applyBorder="1" applyAlignment="1"/>
    <xf numFmtId="0" fontId="6" fillId="0" borderId="13" xfId="0" applyFont="1" applyFill="1" applyBorder="1" applyAlignment="1" applyProtection="1">
      <alignment wrapText="1"/>
      <protection locked="0"/>
    </xf>
    <xf numFmtId="0" fontId="6" fillId="0" borderId="9" xfId="0" applyFont="1" applyFill="1" applyBorder="1" applyAlignment="1" applyProtection="1">
      <protection locked="0"/>
    </xf>
    <xf numFmtId="0" fontId="0" fillId="0" borderId="33" xfId="0" applyBorder="1" applyAlignment="1"/>
    <xf numFmtId="3" fontId="6" fillId="0" borderId="22" xfId="0" applyNumberFormat="1" applyFont="1" applyFill="1" applyBorder="1" applyAlignment="1" applyProtection="1">
      <alignment wrapText="1"/>
      <protection locked="0"/>
    </xf>
    <xf numFmtId="0" fontId="6" fillId="0" borderId="22" xfId="0" applyFont="1" applyFill="1" applyBorder="1" applyAlignment="1" applyProtection="1">
      <alignment wrapText="1"/>
      <protection locked="0"/>
    </xf>
    <xf numFmtId="0" fontId="6" fillId="0" borderId="21" xfId="0" applyFont="1" applyFill="1" applyBorder="1" applyAlignment="1" applyProtection="1"/>
    <xf numFmtId="0" fontId="6" fillId="0" borderId="3" xfId="0" applyFont="1" applyFill="1" applyBorder="1" applyAlignment="1" applyProtection="1"/>
    <xf numFmtId="0" fontId="6" fillId="0" borderId="3" xfId="0" applyFont="1" applyFill="1" applyBorder="1" applyAlignment="1" applyProtection="1">
      <protection locked="0"/>
    </xf>
    <xf numFmtId="3" fontId="6" fillId="0" borderId="4" xfId="0" applyNumberFormat="1" applyFont="1" applyFill="1" applyBorder="1" applyAlignment="1" applyProtection="1">
      <protection locked="0"/>
    </xf>
    <xf numFmtId="37" fontId="6" fillId="0" borderId="3" xfId="0" applyNumberFormat="1" applyFont="1" applyFill="1" applyBorder="1" applyAlignment="1" applyProtection="1">
      <protection locked="0"/>
    </xf>
    <xf numFmtId="0" fontId="6" fillId="0" borderId="5" xfId="0" applyFont="1" applyFill="1" applyBorder="1" applyAlignment="1" applyProtection="1">
      <protection locked="0"/>
    </xf>
    <xf numFmtId="0" fontId="5" fillId="0" borderId="5" xfId="0" applyFont="1" applyFill="1" applyBorder="1" applyAlignment="1" applyProtection="1"/>
    <xf numFmtId="0" fontId="6" fillId="0" borderId="19" xfId="0" applyFont="1" applyFill="1" applyBorder="1" applyAlignment="1" applyProtection="1">
      <alignment wrapText="1"/>
    </xf>
    <xf numFmtId="0" fontId="11" fillId="0" borderId="0" xfId="0" applyFont="1" applyFill="1" applyBorder="1" applyAlignment="1" applyProtection="1">
      <protection locked="0"/>
    </xf>
    <xf numFmtId="0" fontId="26" fillId="0" borderId="0" xfId="0" applyFont="1" applyFill="1" applyBorder="1" applyAlignment="1" applyProtection="1">
      <alignment horizontal="left" vertical="top"/>
      <protection locked="0"/>
    </xf>
    <xf numFmtId="0" fontId="27" fillId="0" borderId="0" xfId="0" applyFont="1"/>
    <xf numFmtId="0" fontId="4" fillId="0" borderId="0" xfId="0" applyFont="1" applyAlignment="1">
      <alignment horizontal="left" vertical="top"/>
    </xf>
    <xf numFmtId="0" fontId="9" fillId="0" borderId="0" xfId="0" applyFont="1" applyAlignment="1">
      <alignment horizontal="left" vertical="top"/>
    </xf>
    <xf numFmtId="0" fontId="9" fillId="5" borderId="0" xfId="0" applyFont="1" applyFill="1" applyAlignment="1">
      <alignment horizontal="left" vertical="top"/>
    </xf>
    <xf numFmtId="0" fontId="19" fillId="0" borderId="0" xfId="0" applyFont="1" applyAlignment="1">
      <alignment horizontal="left" vertical="top"/>
    </xf>
    <xf numFmtId="0" fontId="4" fillId="0" borderId="21" xfId="0" applyFont="1" applyBorder="1" applyAlignment="1">
      <alignment horizontal="left" vertical="top"/>
    </xf>
    <xf numFmtId="49" fontId="4" fillId="0" borderId="21" xfId="0" applyNumberFormat="1" applyFont="1" applyBorder="1" applyAlignment="1">
      <alignment horizontal="left" vertical="top" indent="1"/>
    </xf>
    <xf numFmtId="0" fontId="4" fillId="0" borderId="21" xfId="0" quotePrefix="1" applyFont="1" applyBorder="1" applyAlignment="1">
      <alignment horizontal="left" vertical="top" indent="1"/>
    </xf>
    <xf numFmtId="0" fontId="0" fillId="0" borderId="0" xfId="0" applyAlignment="1">
      <alignment horizontal="left" vertical="top"/>
    </xf>
    <xf numFmtId="0" fontId="4" fillId="0" borderId="13" xfId="0" applyFont="1" applyBorder="1" applyAlignment="1">
      <alignment horizontal="center"/>
    </xf>
    <xf numFmtId="0" fontId="4" fillId="0" borderId="13" xfId="0" applyFont="1" applyBorder="1" applyAlignment="1">
      <alignment horizontal="center" wrapText="1"/>
    </xf>
    <xf numFmtId="0" fontId="4" fillId="0" borderId="13" xfId="0" applyFont="1" applyBorder="1" applyAlignment="1">
      <alignment horizontal="left" wrapText="1"/>
    </xf>
    <xf numFmtId="0" fontId="5" fillId="0" borderId="13" xfId="0" applyFont="1" applyFill="1" applyBorder="1" applyAlignment="1" applyProtection="1">
      <alignment vertical="center"/>
      <protection locked="0"/>
    </xf>
    <xf numFmtId="0" fontId="6" fillId="0" borderId="3" xfId="0" applyFont="1" applyFill="1" applyBorder="1" applyAlignment="1" applyProtection="1">
      <alignment horizontal="left" indent="1"/>
    </xf>
    <xf numFmtId="3" fontId="5" fillId="0" borderId="1" xfId="0" applyNumberFormat="1" applyFont="1" applyFill="1" applyBorder="1" applyProtection="1">
      <protection locked="0"/>
    </xf>
    <xf numFmtId="0" fontId="5" fillId="0" borderId="1" xfId="0" applyFont="1" applyFill="1" applyBorder="1" applyAlignment="1" applyProtection="1">
      <alignment horizontal="left" indent="1"/>
    </xf>
    <xf numFmtId="3" fontId="9" fillId="0" borderId="13" xfId="0" applyNumberFormat="1" applyFont="1" applyBorder="1" applyProtection="1">
      <protection locked="0"/>
    </xf>
    <xf numFmtId="0" fontId="4" fillId="0" borderId="32" xfId="0" applyFont="1" applyBorder="1" applyAlignment="1" applyProtection="1">
      <alignment horizontal="left" indent="1"/>
      <protection locked="0"/>
    </xf>
    <xf numFmtId="0" fontId="4" fillId="0" borderId="33" xfId="0" applyFont="1" applyBorder="1" applyAlignment="1" applyProtection="1">
      <alignment horizontal="left" indent="1"/>
      <protection locked="0"/>
    </xf>
    <xf numFmtId="0" fontId="4" fillId="0" borderId="31" xfId="0" applyFont="1" applyBorder="1" applyProtection="1">
      <protection locked="0"/>
    </xf>
    <xf numFmtId="3" fontId="4" fillId="0" borderId="31" xfId="0" applyNumberFormat="1" applyFont="1" applyBorder="1" applyProtection="1">
      <protection locked="0"/>
    </xf>
    <xf numFmtId="0" fontId="9" fillId="0" borderId="30" xfId="0" applyFont="1" applyBorder="1" applyProtection="1">
      <protection locked="0"/>
    </xf>
    <xf numFmtId="9" fontId="6" fillId="0" borderId="1" xfId="3" applyFont="1" applyFill="1" applyBorder="1" applyProtection="1"/>
    <xf numFmtId="9" fontId="6" fillId="0" borderId="11" xfId="3" applyFont="1" applyFill="1" applyBorder="1" applyProtection="1"/>
    <xf numFmtId="38" fontId="9" fillId="0" borderId="13" xfId="0" applyNumberFormat="1" applyFont="1" applyFill="1" applyBorder="1" applyAlignment="1" applyProtection="1">
      <protection locked="0"/>
    </xf>
    <xf numFmtId="0" fontId="0" fillId="0" borderId="31" xfId="0" applyBorder="1"/>
    <xf numFmtId="0" fontId="9" fillId="0" borderId="13" xfId="0" applyFont="1" applyBorder="1" applyAlignment="1">
      <alignment horizontal="left" vertical="top"/>
    </xf>
    <xf numFmtId="0" fontId="9" fillId="0" borderId="13" xfId="0" applyFont="1" applyBorder="1"/>
    <xf numFmtId="0" fontId="4" fillId="0" borderId="9" xfId="0" applyFont="1" applyFill="1" applyBorder="1" applyProtection="1"/>
    <xf numFmtId="0" fontId="0" fillId="0" borderId="21" xfId="0" applyFill="1" applyBorder="1"/>
    <xf numFmtId="3" fontId="5" fillId="0" borderId="13" xfId="0" applyNumberFormat="1" applyFont="1" applyFill="1" applyBorder="1" applyAlignment="1" applyProtection="1">
      <protection locked="0"/>
    </xf>
    <xf numFmtId="0" fontId="2" fillId="0" borderId="3" xfId="0" applyFont="1" applyFill="1" applyBorder="1" applyProtection="1">
      <protection locked="0"/>
    </xf>
    <xf numFmtId="0" fontId="2" fillId="0" borderId="3" xfId="0" applyFont="1" applyFill="1" applyBorder="1" applyAlignment="1" applyProtection="1">
      <protection locked="0"/>
    </xf>
    <xf numFmtId="0" fontId="2" fillId="0" borderId="5" xfId="0" applyFont="1" applyFill="1" applyBorder="1" applyProtection="1">
      <protection locked="0"/>
    </xf>
    <xf numFmtId="0" fontId="4" fillId="0" borderId="32" xfId="0" applyFont="1" applyBorder="1" applyProtection="1">
      <protection locked="0"/>
    </xf>
    <xf numFmtId="3" fontId="4" fillId="0" borderId="29" xfId="0" applyNumberFormat="1" applyFont="1" applyBorder="1" applyProtection="1">
      <protection locked="0"/>
    </xf>
    <xf numFmtId="0" fontId="7" fillId="0" borderId="22" xfId="0" applyFont="1" applyFill="1" applyBorder="1" applyAlignment="1" applyProtection="1">
      <alignment wrapText="1"/>
    </xf>
    <xf numFmtId="0" fontId="6" fillId="0" borderId="22" xfId="0" applyFont="1" applyFill="1" applyBorder="1" applyAlignment="1" applyProtection="1">
      <alignment horizontal="left" wrapText="1"/>
      <protection locked="0"/>
    </xf>
    <xf numFmtId="0" fontId="6" fillId="0" borderId="35" xfId="0" applyFont="1" applyFill="1" applyBorder="1" applyAlignment="1" applyProtection="1"/>
    <xf numFmtId="0" fontId="0" fillId="0" borderId="0" xfId="0" applyFill="1"/>
    <xf numFmtId="0" fontId="4" fillId="0" borderId="3" xfId="0" applyFont="1" applyFill="1" applyBorder="1" applyProtection="1"/>
    <xf numFmtId="0" fontId="4" fillId="0" borderId="3" xfId="0" applyFont="1" applyFill="1" applyBorder="1" applyAlignment="1" applyProtection="1">
      <alignment horizontal="center"/>
    </xf>
    <xf numFmtId="3" fontId="4" fillId="0" borderId="3" xfId="0" applyNumberFormat="1" applyFont="1" applyFill="1" applyBorder="1" applyAlignment="1" applyProtection="1">
      <alignment wrapText="1"/>
      <protection locked="0"/>
    </xf>
    <xf numFmtId="0" fontId="4" fillId="0" borderId="3" xfId="0" applyFont="1" applyFill="1" applyBorder="1" applyAlignment="1" applyProtection="1">
      <alignment horizontal="left" wrapText="1"/>
    </xf>
    <xf numFmtId="3" fontId="4" fillId="0" borderId="13" xfId="0" applyNumberFormat="1" applyFont="1" applyFill="1" applyBorder="1" applyAlignment="1" applyProtection="1">
      <alignment vertical="center"/>
      <protection locked="0"/>
    </xf>
    <xf numFmtId="3" fontId="4" fillId="0" borderId="13" xfId="0" applyNumberFormat="1" applyFont="1" applyFill="1" applyBorder="1" applyProtection="1">
      <protection locked="0"/>
    </xf>
    <xf numFmtId="3" fontId="4" fillId="0" borderId="0" xfId="0" applyNumberFormat="1" applyFont="1" applyFill="1" applyBorder="1" applyProtection="1">
      <protection locked="0"/>
    </xf>
    <xf numFmtId="0" fontId="0" fillId="0" borderId="29" xfId="0" applyBorder="1"/>
    <xf numFmtId="0" fontId="0" fillId="0" borderId="28" xfId="0" applyBorder="1"/>
    <xf numFmtId="0" fontId="0" fillId="0" borderId="0" xfId="0" applyBorder="1"/>
    <xf numFmtId="0" fontId="24" fillId="0" borderId="0" xfId="0" applyFont="1" applyFill="1"/>
    <xf numFmtId="14" fontId="5" fillId="0" borderId="13" xfId="0" applyNumberFormat="1" applyFont="1" applyFill="1" applyBorder="1" applyAlignment="1" applyProtection="1">
      <alignment horizontal="center" wrapText="1"/>
    </xf>
    <xf numFmtId="14" fontId="5" fillId="0" borderId="48" xfId="0" applyNumberFormat="1" applyFont="1" applyFill="1" applyBorder="1" applyAlignment="1" applyProtection="1">
      <alignment horizontal="center" wrapText="1"/>
    </xf>
    <xf numFmtId="3" fontId="5" fillId="0" borderId="31" xfId="0" applyNumberFormat="1" applyFont="1" applyFill="1" applyBorder="1" applyAlignment="1" applyProtection="1">
      <alignment wrapText="1"/>
      <protection locked="0"/>
    </xf>
    <xf numFmtId="3" fontId="5" fillId="0" borderId="36" xfId="0" applyNumberFormat="1" applyFont="1" applyFill="1" applyBorder="1" applyAlignment="1" applyProtection="1">
      <alignment wrapText="1"/>
      <protection locked="0"/>
    </xf>
    <xf numFmtId="0" fontId="18" fillId="0" borderId="27" xfId="0" applyFont="1" applyBorder="1"/>
    <xf numFmtId="3" fontId="5" fillId="0" borderId="33" xfId="0" applyNumberFormat="1" applyFont="1" applyFill="1" applyBorder="1" applyAlignment="1" applyProtection="1">
      <alignment wrapText="1"/>
      <protection locked="0"/>
    </xf>
    <xf numFmtId="14" fontId="5" fillId="0" borderId="31" xfId="0" applyNumberFormat="1" applyFont="1" applyFill="1" applyBorder="1" applyAlignment="1" applyProtection="1">
      <alignment horizontal="center" wrapText="1"/>
    </xf>
    <xf numFmtId="3" fontId="4" fillId="0" borderId="31" xfId="0" applyNumberFormat="1" applyFont="1" applyBorder="1" applyAlignment="1" applyProtection="1">
      <alignment vertical="top"/>
      <protection locked="0"/>
    </xf>
    <xf numFmtId="0" fontId="4" fillId="0" borderId="31" xfId="0" applyFont="1" applyBorder="1" applyAlignment="1" applyProtection="1">
      <alignment horizontal="left"/>
      <protection locked="0"/>
    </xf>
    <xf numFmtId="0" fontId="18" fillId="0" borderId="0" xfId="0" applyFont="1"/>
    <xf numFmtId="0" fontId="18" fillId="0" borderId="31" xfId="0" applyFont="1" applyBorder="1"/>
    <xf numFmtId="0" fontId="6" fillId="0" borderId="49" xfId="0" applyFont="1" applyFill="1" applyBorder="1" applyAlignment="1" applyProtection="1">
      <alignment horizontal="center"/>
      <protection locked="0"/>
    </xf>
    <xf numFmtId="0" fontId="6" fillId="0" borderId="10" xfId="0" applyFont="1" applyFill="1" applyBorder="1" applyAlignment="1" applyProtection="1">
      <alignment horizontal="center"/>
      <protection locked="0"/>
    </xf>
    <xf numFmtId="0" fontId="9" fillId="0" borderId="13" xfId="0" applyFont="1" applyBorder="1" applyAlignment="1" applyProtection="1">
      <alignment horizontal="left" vertical="top"/>
      <protection locked="0"/>
    </xf>
    <xf numFmtId="0" fontId="7" fillId="0" borderId="27" xfId="0" applyFont="1" applyFill="1" applyBorder="1" applyAlignment="1" applyProtection="1"/>
    <xf numFmtId="0" fontId="4" fillId="0" borderId="0" xfId="0" applyFont="1" applyFill="1" applyBorder="1" applyAlignment="1" applyProtection="1">
      <alignment horizontal="left" wrapText="1"/>
      <protection locked="0"/>
    </xf>
    <xf numFmtId="0" fontId="7" fillId="0" borderId="35" xfId="0" applyFont="1" applyFill="1" applyBorder="1" applyAlignment="1" applyProtection="1"/>
    <xf numFmtId="0" fontId="19" fillId="0" borderId="0" xfId="0" applyFont="1" applyAlignment="1" applyProtection="1">
      <alignment vertical="top"/>
      <protection locked="0"/>
    </xf>
    <xf numFmtId="14" fontId="5" fillId="0" borderId="16" xfId="0" applyNumberFormat="1" applyFont="1" applyFill="1" applyBorder="1" applyAlignment="1" applyProtection="1">
      <alignment horizontal="center" wrapText="1"/>
    </xf>
    <xf numFmtId="0" fontId="9" fillId="0" borderId="0" xfId="0" applyFont="1" applyFill="1" applyBorder="1" applyAlignment="1" applyProtection="1">
      <protection locked="0"/>
    </xf>
    <xf numFmtId="0" fontId="26" fillId="0" borderId="0" xfId="0" applyFont="1" applyProtection="1">
      <protection locked="0"/>
    </xf>
    <xf numFmtId="0" fontId="26" fillId="0" borderId="0" xfId="0" applyFont="1"/>
    <xf numFmtId="0" fontId="0" fillId="0" borderId="0" xfId="0"/>
    <xf numFmtId="0" fontId="5" fillId="0" borderId="0" xfId="0" applyFont="1" applyFill="1" applyBorder="1" applyAlignment="1" applyProtection="1">
      <alignment wrapText="1"/>
      <protection locked="0"/>
    </xf>
    <xf numFmtId="0" fontId="18" fillId="0" borderId="0" xfId="0" applyFont="1" applyProtection="1">
      <protection locked="0"/>
    </xf>
    <xf numFmtId="0" fontId="0" fillId="0" borderId="0" xfId="0" applyProtection="1">
      <protection locked="0"/>
    </xf>
    <xf numFmtId="0" fontId="63" fillId="0" borderId="0" xfId="0" applyFont="1" applyAlignment="1" applyProtection="1">
      <alignment horizontal="center" vertical="center"/>
      <protection locked="0"/>
    </xf>
    <xf numFmtId="0" fontId="24" fillId="0" borderId="0" xfId="0" applyFont="1" applyAlignment="1" applyProtection="1">
      <alignment horizontal="center" wrapText="1"/>
      <protection locked="0"/>
    </xf>
    <xf numFmtId="0" fontId="64" fillId="5" borderId="0" xfId="1" applyFont="1" applyFill="1" applyProtection="1">
      <protection locked="0"/>
    </xf>
    <xf numFmtId="0" fontId="65" fillId="5" borderId="0" xfId="1" applyFont="1" applyFill="1" applyProtection="1">
      <protection locked="0"/>
    </xf>
    <xf numFmtId="0" fontId="66" fillId="5" borderId="0" xfId="1" applyFont="1" applyFill="1" applyAlignment="1" applyProtection="1">
      <alignment wrapText="1"/>
      <protection locked="0"/>
    </xf>
    <xf numFmtId="0" fontId="3" fillId="5" borderId="0" xfId="1" applyFill="1" applyAlignment="1" applyProtection="1">
      <alignment wrapText="1"/>
      <protection locked="0"/>
    </xf>
    <xf numFmtId="0" fontId="67" fillId="0" borderId="0" xfId="1" applyFont="1" applyProtection="1">
      <protection locked="0"/>
    </xf>
    <xf numFmtId="0" fontId="64" fillId="0" borderId="0" xfId="1" applyFont="1" applyProtection="1">
      <protection locked="0"/>
    </xf>
    <xf numFmtId="0" fontId="65" fillId="0" borderId="0" xfId="1" applyFont="1" applyProtection="1">
      <protection locked="0"/>
    </xf>
    <xf numFmtId="0" fontId="66" fillId="0" borderId="0" xfId="1" applyFont="1" applyAlignment="1" applyProtection="1">
      <alignment wrapText="1"/>
      <protection locked="0"/>
    </xf>
    <xf numFmtId="0" fontId="3" fillId="0" borderId="0" xfId="1" applyAlignment="1" applyProtection="1">
      <alignment wrapText="1"/>
      <protection locked="0"/>
    </xf>
    <xf numFmtId="0" fontId="68" fillId="0" borderId="0" xfId="1" applyFont="1" applyProtection="1">
      <protection locked="0"/>
    </xf>
    <xf numFmtId="0" fontId="69" fillId="0" borderId="13" xfId="1" applyFont="1" applyBorder="1" applyAlignment="1" applyProtection="1">
      <alignment horizontal="center" wrapText="1"/>
      <protection locked="0"/>
    </xf>
    <xf numFmtId="0" fontId="18" fillId="0" borderId="13" xfId="1" applyFont="1" applyBorder="1" applyAlignment="1" applyProtection="1">
      <alignment horizontal="center" wrapText="1"/>
      <protection locked="0"/>
    </xf>
    <xf numFmtId="0" fontId="0" fillId="0" borderId="0" xfId="0" applyAlignment="1">
      <alignment horizontal="center"/>
    </xf>
    <xf numFmtId="0" fontId="65" fillId="0" borderId="13" xfId="1" applyFont="1" applyBorder="1" applyAlignment="1" applyProtection="1">
      <alignment vertical="top" wrapText="1"/>
      <protection locked="0"/>
    </xf>
    <xf numFmtId="0" fontId="3" fillId="0" borderId="13" xfId="1" applyBorder="1" applyAlignment="1" applyProtection="1">
      <alignment wrapText="1"/>
      <protection locked="0"/>
    </xf>
    <xf numFmtId="0" fontId="3" fillId="0" borderId="0" xfId="0" applyFont="1"/>
    <xf numFmtId="0" fontId="69" fillId="0" borderId="13" xfId="1" applyFont="1" applyBorder="1" applyAlignment="1" applyProtection="1">
      <alignment vertical="top" wrapText="1"/>
      <protection locked="0"/>
    </xf>
    <xf numFmtId="0" fontId="66" fillId="0" borderId="0" xfId="1" applyFont="1" applyAlignment="1" applyProtection="1">
      <alignment vertical="top" wrapText="1"/>
      <protection locked="0"/>
    </xf>
    <xf numFmtId="0" fontId="66" fillId="0" borderId="0" xfId="1" applyFont="1" applyAlignment="1" applyProtection="1">
      <alignment vertical="top"/>
      <protection locked="0"/>
    </xf>
    <xf numFmtId="0" fontId="66" fillId="0" borderId="0" xfId="1" applyFont="1" applyProtection="1">
      <protection locked="0"/>
    </xf>
    <xf numFmtId="0" fontId="3" fillId="0" borderId="0" xfId="1" applyProtection="1">
      <protection locked="0"/>
    </xf>
    <xf numFmtId="0" fontId="69" fillId="0" borderId="0" xfId="1" applyFont="1" applyAlignment="1" applyProtection="1">
      <alignment vertical="top" wrapText="1"/>
      <protection locked="0"/>
    </xf>
    <xf numFmtId="0" fontId="3" fillId="0" borderId="0" xfId="0" applyFont="1" applyProtection="1">
      <protection locked="0"/>
    </xf>
    <xf numFmtId="0" fontId="4" fillId="0" borderId="0" xfId="0" applyFont="1" applyFill="1" applyBorder="1" applyAlignment="1" applyProtection="1"/>
    <xf numFmtId="0" fontId="72" fillId="0" borderId="0" xfId="0" applyFont="1" applyBorder="1" applyProtection="1">
      <protection locked="0"/>
    </xf>
    <xf numFmtId="0" fontId="19" fillId="0" borderId="0" xfId="0" applyFont="1" applyFill="1" applyBorder="1" applyAlignment="1" applyProtection="1">
      <alignment horizontal="left" vertical="top" wrapText="1"/>
      <protection locked="0"/>
    </xf>
    <xf numFmtId="0" fontId="74" fillId="0" borderId="1" xfId="0" applyFont="1" applyFill="1" applyBorder="1" applyAlignment="1" applyProtection="1">
      <alignment horizontal="left" vertical="top" wrapText="1"/>
      <protection locked="0"/>
    </xf>
    <xf numFmtId="14" fontId="9" fillId="0" borderId="19" xfId="0" quotePrefix="1" applyNumberFormat="1" applyFont="1" applyFill="1" applyBorder="1" applyAlignment="1" applyProtection="1">
      <alignment horizontal="center" vertical="top" wrapText="1"/>
      <protection locked="0"/>
    </xf>
    <xf numFmtId="14" fontId="4" fillId="0" borderId="19" xfId="0" quotePrefix="1" applyNumberFormat="1" applyFont="1" applyFill="1" applyBorder="1" applyAlignment="1" applyProtection="1">
      <alignment horizontal="center" vertical="top" wrapText="1"/>
      <protection locked="0"/>
    </xf>
    <xf numFmtId="0" fontId="19" fillId="0" borderId="3" xfId="0" applyFont="1" applyFill="1" applyBorder="1" applyAlignment="1" applyProtection="1">
      <alignment horizontal="left" vertical="top" wrapText="1"/>
      <protection locked="0"/>
    </xf>
    <xf numFmtId="0" fontId="19" fillId="0" borderId="24" xfId="0" applyFont="1" applyFill="1" applyBorder="1" applyAlignment="1" applyProtection="1">
      <alignment horizontal="left" vertical="top" wrapText="1"/>
      <protection locked="0"/>
    </xf>
    <xf numFmtId="0" fontId="19" fillId="0" borderId="21" xfId="0" applyFont="1" applyFill="1" applyBorder="1" applyAlignment="1" applyProtection="1">
      <alignment horizontal="left" vertical="top" wrapText="1"/>
      <protection locked="0"/>
    </xf>
    <xf numFmtId="0" fontId="9" fillId="0" borderId="35" xfId="0" applyFont="1" applyFill="1" applyBorder="1" applyAlignment="1" applyProtection="1">
      <alignment horizontal="left" vertical="top" wrapText="1"/>
      <protection locked="0"/>
    </xf>
    <xf numFmtId="14" fontId="9" fillId="0" borderId="13" xfId="0" applyNumberFormat="1" applyFont="1" applyFill="1" applyBorder="1" applyAlignment="1" applyProtection="1">
      <alignment horizontal="center" vertical="top" wrapText="1"/>
      <protection locked="0"/>
    </xf>
    <xf numFmtId="14" fontId="4" fillId="0" borderId="13" xfId="0" applyNumberFormat="1" applyFont="1" applyFill="1" applyBorder="1" applyAlignment="1" applyProtection="1">
      <alignment horizontal="center" vertical="top" wrapText="1"/>
      <protection locked="0"/>
    </xf>
    <xf numFmtId="0" fontId="9" fillId="0" borderId="21" xfId="0" applyFont="1" applyFill="1" applyBorder="1" applyAlignment="1" applyProtection="1">
      <alignment horizontal="right" vertical="top" wrapText="1"/>
      <protection locked="0"/>
    </xf>
    <xf numFmtId="0" fontId="4" fillId="0" borderId="21" xfId="0" applyFont="1" applyFill="1" applyBorder="1" applyAlignment="1" applyProtection="1">
      <alignment horizontal="right" vertical="top" wrapText="1"/>
      <protection locked="0"/>
    </xf>
    <xf numFmtId="0" fontId="4" fillId="0" borderId="21" xfId="0" applyFont="1" applyFill="1" applyBorder="1" applyAlignment="1" applyProtection="1">
      <alignment horizontal="left" vertical="top" wrapText="1"/>
      <protection locked="0"/>
    </xf>
    <xf numFmtId="3" fontId="4" fillId="0" borderId="3" xfId="0" applyNumberFormat="1" applyFont="1" applyFill="1" applyBorder="1" applyAlignment="1" applyProtection="1">
      <alignment horizontal="right" vertical="top" wrapText="1"/>
      <protection locked="0"/>
    </xf>
    <xf numFmtId="3" fontId="4" fillId="0" borderId="24" xfId="0" applyNumberFormat="1" applyFont="1" applyFill="1" applyBorder="1" applyAlignment="1" applyProtection="1">
      <alignment horizontal="right" vertical="top" wrapText="1"/>
      <protection locked="0"/>
    </xf>
    <xf numFmtId="3" fontId="4" fillId="0" borderId="19" xfId="0" applyNumberFormat="1" applyFont="1" applyFill="1" applyBorder="1" applyAlignment="1" applyProtection="1">
      <alignment horizontal="right" vertical="top" wrapText="1"/>
      <protection locked="0"/>
    </xf>
    <xf numFmtId="3" fontId="4" fillId="0" borderId="23" xfId="0" applyNumberFormat="1" applyFont="1" applyFill="1" applyBorder="1" applyAlignment="1" applyProtection="1">
      <alignment horizontal="right" vertical="top" wrapText="1"/>
      <protection locked="0"/>
    </xf>
    <xf numFmtId="3" fontId="4" fillId="0" borderId="21" xfId="0" applyNumberFormat="1" applyFont="1" applyBorder="1"/>
    <xf numFmtId="3" fontId="9" fillId="0" borderId="13" xfId="0" applyNumberFormat="1" applyFont="1" applyBorder="1"/>
    <xf numFmtId="3" fontId="4" fillId="0" borderId="13" xfId="0" applyNumberFormat="1" applyFont="1" applyBorder="1"/>
    <xf numFmtId="3" fontId="0" fillId="0" borderId="13" xfId="0" applyNumberFormat="1" applyBorder="1"/>
    <xf numFmtId="3" fontId="4" fillId="0" borderId="13" xfId="0" applyNumberFormat="1" applyFont="1" applyBorder="1" applyAlignment="1"/>
    <xf numFmtId="3" fontId="9" fillId="0" borderId="13" xfId="0" applyNumberFormat="1" applyFont="1" applyBorder="1" applyAlignment="1"/>
    <xf numFmtId="1" fontId="0" fillId="0" borderId="33" xfId="0" applyNumberFormat="1" applyBorder="1"/>
    <xf numFmtId="1" fontId="0" fillId="0" borderId="47" xfId="0" applyNumberFormat="1" applyBorder="1"/>
    <xf numFmtId="1" fontId="0" fillId="0" borderId="21" xfId="0" applyNumberFormat="1" applyBorder="1"/>
    <xf numFmtId="1" fontId="18" fillId="0" borderId="30" xfId="0" applyNumberFormat="1" applyFont="1" applyBorder="1"/>
    <xf numFmtId="1" fontId="18" fillId="0" borderId="35" xfId="0" applyNumberFormat="1" applyFont="1" applyBorder="1"/>
    <xf numFmtId="1" fontId="18" fillId="0" borderId="13" xfId="0" applyNumberFormat="1" applyFont="1" applyBorder="1"/>
    <xf numFmtId="3" fontId="0" fillId="0" borderId="13" xfId="0" applyNumberFormat="1" applyBorder="1" applyAlignment="1">
      <alignment horizontal="right"/>
    </xf>
    <xf numFmtId="3" fontId="18" fillId="0" borderId="13" xfId="0" applyNumberFormat="1" applyFont="1" applyBorder="1" applyAlignment="1">
      <alignment horizontal="right"/>
    </xf>
    <xf numFmtId="3" fontId="0" fillId="0" borderId="33" xfId="0" applyNumberFormat="1" applyBorder="1"/>
    <xf numFmtId="3" fontId="0" fillId="0" borderId="33" xfId="0" applyNumberFormat="1" applyFill="1" applyBorder="1"/>
    <xf numFmtId="3" fontId="0" fillId="0" borderId="30" xfId="0" applyNumberFormat="1" applyBorder="1"/>
    <xf numFmtId="3" fontId="0" fillId="0" borderId="21" xfId="0" applyNumberFormat="1" applyFill="1" applyBorder="1"/>
    <xf numFmtId="3" fontId="0" fillId="0" borderId="21" xfId="0" applyNumberFormat="1" applyBorder="1"/>
    <xf numFmtId="3" fontId="0" fillId="0" borderId="34" xfId="0" applyNumberFormat="1" applyBorder="1"/>
    <xf numFmtId="3" fontId="0" fillId="0" borderId="22" xfId="0" applyNumberFormat="1" applyBorder="1"/>
    <xf numFmtId="3" fontId="65" fillId="0" borderId="13" xfId="1" applyNumberFormat="1" applyFont="1" applyBorder="1" applyAlignment="1" applyProtection="1">
      <alignment vertical="top" wrapText="1"/>
      <protection locked="0"/>
    </xf>
    <xf numFmtId="3" fontId="65" fillId="0" borderId="13" xfId="1" applyNumberFormat="1" applyFont="1" applyBorder="1" applyProtection="1">
      <protection locked="0"/>
    </xf>
    <xf numFmtId="3" fontId="69" fillId="0" borderId="13" xfId="1" applyNumberFormat="1" applyFont="1" applyBorder="1" applyAlignment="1" applyProtection="1">
      <alignment vertical="top" wrapText="1"/>
      <protection locked="0"/>
    </xf>
    <xf numFmtId="3" fontId="6" fillId="0" borderId="0" xfId="0" applyNumberFormat="1" applyFont="1" applyFill="1" applyBorder="1" applyAlignment="1" applyProtection="1">
      <alignment horizontal="left" vertical="top" wrapText="1"/>
      <protection locked="0"/>
    </xf>
    <xf numFmtId="0" fontId="0" fillId="0" borderId="0" xfId="0"/>
    <xf numFmtId="14" fontId="75" fillId="0" borderId="30" xfId="0" applyNumberFormat="1" applyFont="1" applyFill="1" applyBorder="1" applyAlignment="1">
      <alignment wrapText="1"/>
    </xf>
    <xf numFmtId="14" fontId="49" fillId="0" borderId="30" xfId="0" applyNumberFormat="1" applyFont="1" applyFill="1" applyBorder="1" applyAlignment="1">
      <alignment wrapText="1"/>
    </xf>
    <xf numFmtId="0" fontId="0" fillId="0" borderId="13" xfId="0" applyFill="1" applyBorder="1" applyAlignment="1" applyProtection="1">
      <alignment horizontal="left"/>
      <protection locked="0"/>
    </xf>
    <xf numFmtId="3" fontId="75" fillId="0" borderId="13" xfId="0" applyNumberFormat="1" applyFont="1" applyFill="1" applyBorder="1" applyAlignment="1" applyProtection="1">
      <alignment wrapText="1"/>
      <protection locked="0"/>
    </xf>
    <xf numFmtId="14" fontId="75" fillId="0" borderId="69" xfId="0" applyNumberFormat="1" applyFont="1" applyFill="1" applyBorder="1" applyAlignment="1">
      <alignment horizontal="center" wrapText="1"/>
    </xf>
    <xf numFmtId="14" fontId="75" fillId="0" borderId="13" xfId="0" applyNumberFormat="1" applyFont="1" applyFill="1" applyBorder="1" applyAlignment="1">
      <alignment horizontal="center" wrapText="1"/>
    </xf>
    <xf numFmtId="0" fontId="18" fillId="0" borderId="13" xfId="0" applyFont="1" applyFill="1" applyBorder="1" applyAlignment="1" applyProtection="1">
      <alignment horizontal="left" vertical="top"/>
      <protection locked="0"/>
    </xf>
    <xf numFmtId="3" fontId="49" fillId="0" borderId="0" xfId="0" applyNumberFormat="1" applyFont="1" applyFill="1" applyAlignment="1" applyProtection="1">
      <alignment wrapText="1"/>
      <protection locked="0"/>
    </xf>
    <xf numFmtId="3" fontId="49" fillId="0" borderId="31" xfId="0" applyNumberFormat="1" applyFont="1" applyFill="1" applyBorder="1" applyAlignment="1" applyProtection="1">
      <alignment horizontal="right" wrapText="1"/>
      <protection locked="0"/>
    </xf>
    <xf numFmtId="3" fontId="49" fillId="0" borderId="21" xfId="0" applyNumberFormat="1" applyFont="1" applyFill="1" applyBorder="1" applyAlignment="1" applyProtection="1">
      <alignment horizontal="right" wrapText="1"/>
      <protection locked="0"/>
    </xf>
    <xf numFmtId="3" fontId="49" fillId="0" borderId="22" xfId="0" applyNumberFormat="1" applyFont="1" applyFill="1" applyBorder="1" applyAlignment="1" applyProtection="1">
      <alignment horizontal="right" wrapText="1"/>
      <protection locked="0"/>
    </xf>
    <xf numFmtId="3" fontId="75" fillId="0" borderId="13" xfId="0" applyNumberFormat="1" applyFont="1" applyFill="1" applyBorder="1" applyAlignment="1" applyProtection="1">
      <alignment horizontal="right" wrapText="1"/>
      <protection locked="0"/>
    </xf>
    <xf numFmtId="3" fontId="49" fillId="0" borderId="13" xfId="0" applyNumberFormat="1" applyFont="1" applyFill="1" applyBorder="1" applyAlignment="1" applyProtection="1">
      <alignment horizontal="right" wrapText="1"/>
      <protection locked="0"/>
    </xf>
    <xf numFmtId="3" fontId="5" fillId="0" borderId="0" xfId="0" applyNumberFormat="1" applyFont="1" applyFill="1" applyBorder="1" applyAlignment="1" applyProtection="1">
      <alignment horizontal="right" wrapText="1"/>
      <protection locked="0"/>
    </xf>
    <xf numFmtId="3" fontId="4" fillId="0" borderId="0" xfId="0" applyNumberFormat="1" applyFont="1" applyBorder="1" applyProtection="1">
      <protection locked="0"/>
    </xf>
    <xf numFmtId="3" fontId="75" fillId="0" borderId="13" xfId="0" applyNumberFormat="1" applyFont="1" applyFill="1" applyBorder="1" applyAlignment="1" applyProtection="1">
      <alignment horizontal="left" wrapText="1"/>
      <protection locked="0"/>
    </xf>
    <xf numFmtId="0" fontId="5" fillId="0" borderId="30" xfId="0" applyFont="1" applyFill="1" applyBorder="1" applyAlignment="1">
      <alignment horizontal="left" wrapText="1"/>
    </xf>
    <xf numFmtId="0" fontId="18" fillId="0" borderId="0" xfId="0" applyFont="1"/>
    <xf numFmtId="0" fontId="0" fillId="0" borderId="0" xfId="0"/>
    <xf numFmtId="14" fontId="5" fillId="0" borderId="30" xfId="0" applyNumberFormat="1" applyFont="1" applyFill="1" applyBorder="1" applyAlignment="1">
      <alignment wrapText="1"/>
    </xf>
    <xf numFmtId="14" fontId="6" fillId="0" borderId="30" xfId="0" applyNumberFormat="1" applyFont="1" applyFill="1" applyBorder="1" applyAlignment="1">
      <alignment wrapText="1"/>
    </xf>
    <xf numFmtId="0" fontId="76" fillId="0" borderId="0" xfId="2477"/>
    <xf numFmtId="0" fontId="76" fillId="0" borderId="0" xfId="2477" applyFill="1"/>
    <xf numFmtId="0" fontId="4" fillId="0" borderId="21" xfId="0" quotePrefix="1" applyFont="1" applyFill="1" applyBorder="1" applyAlignment="1">
      <alignment horizontal="left" vertical="top" indent="1"/>
    </xf>
    <xf numFmtId="3" fontId="4" fillId="0" borderId="21" xfId="0" applyNumberFormat="1" applyFont="1" applyFill="1" applyBorder="1"/>
    <xf numFmtId="0" fontId="4" fillId="0" borderId="0" xfId="0" applyFont="1" applyFill="1"/>
    <xf numFmtId="0" fontId="6" fillId="0" borderId="0" xfId="0" applyFont="1" applyFill="1" applyBorder="1" applyAlignment="1" applyProtection="1">
      <alignment horizontal="left" wrapText="1"/>
    </xf>
    <xf numFmtId="0" fontId="0" fillId="0" borderId="0" xfId="0"/>
    <xf numFmtId="0" fontId="6" fillId="0" borderId="0" xfId="0" applyFont="1" applyFill="1" applyBorder="1" applyAlignment="1" applyProtection="1">
      <alignment wrapText="1"/>
    </xf>
    <xf numFmtId="0" fontId="6" fillId="0" borderId="33" xfId="0" applyFont="1" applyFill="1" applyBorder="1" applyAlignment="1" applyProtection="1">
      <alignment horizontal="center"/>
    </xf>
    <xf numFmtId="3" fontId="6" fillId="0" borderId="70" xfId="0" applyNumberFormat="1" applyFont="1" applyFill="1" applyBorder="1" applyAlignment="1" applyProtection="1">
      <alignment wrapText="1"/>
      <protection locked="0"/>
    </xf>
    <xf numFmtId="3" fontId="6" fillId="0" borderId="46" xfId="0" applyNumberFormat="1" applyFont="1" applyFill="1" applyBorder="1" applyAlignment="1" applyProtection="1">
      <alignment wrapText="1"/>
      <protection locked="0"/>
    </xf>
    <xf numFmtId="1" fontId="0" fillId="0" borderId="33" xfId="0" applyNumberFormat="1" applyFill="1" applyBorder="1"/>
    <xf numFmtId="1" fontId="0" fillId="0" borderId="47" xfId="0" applyNumberFormat="1" applyFill="1" applyBorder="1"/>
    <xf numFmtId="1" fontId="0" fillId="0" borderId="21" xfId="0" applyNumberFormat="1" applyFill="1" applyBorder="1"/>
    <xf numFmtId="0" fontId="5" fillId="0" borderId="0" xfId="0" applyFont="1" applyFill="1" applyBorder="1" applyProtection="1"/>
    <xf numFmtId="0" fontId="0" fillId="0" borderId="33" xfId="0" applyFill="1" applyBorder="1"/>
    <xf numFmtId="3" fontId="0" fillId="0" borderId="30" xfId="0" applyNumberFormat="1" applyFill="1" applyBorder="1"/>
    <xf numFmtId="3" fontId="0" fillId="0" borderId="13" xfId="0" applyNumberFormat="1" applyFill="1" applyBorder="1"/>
    <xf numFmtId="0" fontId="0" fillId="0" borderId="13" xfId="0" applyFill="1" applyBorder="1"/>
    <xf numFmtId="0" fontId="0" fillId="0" borderId="0" xfId="0" applyFill="1" applyBorder="1"/>
    <xf numFmtId="0" fontId="4" fillId="0" borderId="0" xfId="0" applyFont="1" applyBorder="1" applyProtection="1">
      <protection locked="0"/>
    </xf>
    <xf numFmtId="0" fontId="6" fillId="0" borderId="1" xfId="0" applyFont="1" applyFill="1" applyBorder="1" applyAlignment="1" applyProtection="1"/>
    <xf numFmtId="3" fontId="6" fillId="0" borderId="3" xfId="0" applyNumberFormat="1" applyFont="1" applyBorder="1" applyAlignment="1" applyProtection="1">
      <alignment wrapText="1"/>
      <protection locked="0"/>
    </xf>
    <xf numFmtId="3" fontId="4" fillId="0" borderId="3" xfId="0" applyNumberFormat="1" applyFont="1" applyBorder="1" applyAlignment="1" applyProtection="1">
      <alignment wrapText="1"/>
      <protection locked="0"/>
    </xf>
    <xf numFmtId="3" fontId="6" fillId="0" borderId="3" xfId="0" applyNumberFormat="1" applyFont="1" applyBorder="1" applyProtection="1">
      <protection locked="0"/>
    </xf>
    <xf numFmtId="37" fontId="6" fillId="0" borderId="3" xfId="0" applyNumberFormat="1" applyFont="1" applyBorder="1" applyProtection="1">
      <protection locked="0"/>
    </xf>
    <xf numFmtId="3" fontId="6" fillId="0" borderId="21" xfId="0" applyNumberFormat="1" applyFont="1" applyBorder="1" applyProtection="1">
      <protection locked="0"/>
    </xf>
    <xf numFmtId="3" fontId="6" fillId="0" borderId="21" xfId="0" applyNumberFormat="1" applyFont="1" applyBorder="1" applyAlignment="1" applyProtection="1">
      <alignment wrapText="1"/>
      <protection locked="0"/>
    </xf>
    <xf numFmtId="3" fontId="49" fillId="0" borderId="31" xfId="0" applyNumberFormat="1" applyFont="1" applyBorder="1" applyAlignment="1" applyProtection="1">
      <alignment horizontal="right" wrapText="1"/>
      <protection locked="0"/>
    </xf>
    <xf numFmtId="3" fontId="49" fillId="0" borderId="0" xfId="0" applyNumberFormat="1" applyFont="1" applyAlignment="1" applyProtection="1">
      <alignment wrapText="1"/>
      <protection locked="0"/>
    </xf>
    <xf numFmtId="3" fontId="9" fillId="0" borderId="0" xfId="0" applyNumberFormat="1" applyFont="1" applyProtection="1">
      <protection locked="0"/>
    </xf>
    <xf numFmtId="3" fontId="77" fillId="0" borderId="0" xfId="0" applyNumberFormat="1" applyFont="1" applyProtection="1">
      <protection locked="0"/>
    </xf>
    <xf numFmtId="3" fontId="6" fillId="0" borderId="22" xfId="0" applyNumberFormat="1" applyFont="1" applyBorder="1" applyAlignment="1" applyProtection="1">
      <alignment horizontal="right" wrapText="1"/>
      <protection locked="0"/>
    </xf>
    <xf numFmtId="3" fontId="6" fillId="0" borderId="31" xfId="0" applyNumberFormat="1" applyFont="1" applyBorder="1" applyAlignment="1" applyProtection="1">
      <alignment horizontal="right" wrapText="1"/>
      <protection locked="0"/>
    </xf>
    <xf numFmtId="3" fontId="4" fillId="0" borderId="13" xfId="0" applyNumberFormat="1" applyFont="1" applyFill="1" applyBorder="1"/>
    <xf numFmtId="3" fontId="4" fillId="0" borderId="21" xfId="0" applyNumberFormat="1" applyFont="1" applyFill="1" applyBorder="1" applyProtection="1">
      <protection locked="0"/>
    </xf>
    <xf numFmtId="0" fontId="0" fillId="59" borderId="21" xfId="0" applyFill="1" applyBorder="1"/>
    <xf numFmtId="0" fontId="0" fillId="59" borderId="13" xfId="0" applyFill="1" applyBorder="1"/>
    <xf numFmtId="0" fontId="18" fillId="0" borderId="0" xfId="0" applyFont="1"/>
    <xf numFmtId="0" fontId="0" fillId="0" borderId="0" xfId="0" applyFont="1"/>
    <xf numFmtId="37" fontId="0" fillId="0" borderId="0" xfId="0" applyNumberFormat="1"/>
    <xf numFmtId="37" fontId="18" fillId="0" borderId="27" xfId="0" applyNumberFormat="1" applyFont="1" applyBorder="1"/>
    <xf numFmtId="0" fontId="6" fillId="0" borderId="0" xfId="0" applyFont="1" applyFill="1" applyBorder="1" applyAlignment="1" applyProtection="1">
      <alignment horizontal="left" wrapText="1"/>
    </xf>
    <xf numFmtId="0" fontId="6" fillId="0" borderId="0" xfId="0" applyFont="1" applyFill="1" applyBorder="1" applyAlignment="1" applyProtection="1">
      <alignment horizontal="left" vertical="top" wrapText="1"/>
    </xf>
    <xf numFmtId="0" fontId="6" fillId="0" borderId="0" xfId="0" applyFont="1" applyFill="1" applyBorder="1" applyAlignment="1" applyProtection="1">
      <alignment horizontal="left" vertical="center"/>
    </xf>
    <xf numFmtId="0" fontId="9" fillId="0" borderId="0" xfId="0" applyFont="1" applyFill="1" applyBorder="1" applyAlignment="1" applyProtection="1">
      <alignment horizontal="left" wrapText="1"/>
      <protection locked="0"/>
    </xf>
    <xf numFmtId="0" fontId="19" fillId="0" borderId="0" xfId="0" applyFont="1" applyFill="1" applyBorder="1" applyAlignment="1" applyProtection="1">
      <alignment horizontal="left" vertical="top" wrapText="1"/>
      <protection locked="0"/>
    </xf>
    <xf numFmtId="3" fontId="4" fillId="0" borderId="0" xfId="0" applyNumberFormat="1" applyFont="1" applyAlignment="1" applyProtection="1">
      <alignment vertical="center" wrapText="1"/>
      <protection locked="0"/>
    </xf>
    <xf numFmtId="3" fontId="6" fillId="0" borderId="0" xfId="0" applyNumberFormat="1" applyFont="1" applyFill="1" applyAlignment="1" applyProtection="1">
      <alignment horizontal="left" vertical="top" wrapText="1"/>
      <protection locked="0"/>
    </xf>
    <xf numFmtId="3" fontId="4" fillId="0" borderId="0" xfId="0" applyNumberFormat="1" applyFont="1" applyAlignment="1" applyProtection="1">
      <alignment horizontal="left" vertical="top"/>
      <protection locked="0"/>
    </xf>
    <xf numFmtId="14" fontId="5" fillId="0" borderId="30" xfId="0" applyNumberFormat="1" applyFont="1" applyFill="1" applyBorder="1" applyAlignment="1" applyProtection="1">
      <alignment horizontal="center" wrapText="1"/>
    </xf>
    <xf numFmtId="14" fontId="5" fillId="0" borderId="35" xfId="0" applyNumberFormat="1" applyFont="1" applyFill="1" applyBorder="1" applyAlignment="1" applyProtection="1">
      <alignment horizontal="center" wrapText="1"/>
    </xf>
    <xf numFmtId="14" fontId="6" fillId="0" borderId="30" xfId="0" applyNumberFormat="1" applyFont="1" applyFill="1" applyBorder="1" applyAlignment="1" applyProtection="1">
      <alignment horizontal="center" wrapText="1"/>
    </xf>
    <xf numFmtId="14" fontId="6" fillId="0" borderId="35" xfId="0" applyNumberFormat="1" applyFont="1" applyFill="1" applyBorder="1" applyAlignment="1" applyProtection="1">
      <alignment horizontal="center" wrapText="1"/>
    </xf>
    <xf numFmtId="14" fontId="6" fillId="0" borderId="27" xfId="0" applyNumberFormat="1" applyFont="1" applyFill="1" applyBorder="1" applyAlignment="1" applyProtection="1">
      <alignment horizontal="center" wrapText="1"/>
    </xf>
    <xf numFmtId="3" fontId="49" fillId="0" borderId="0" xfId="0" applyNumberFormat="1" applyFont="1" applyFill="1" applyAlignment="1" applyProtection="1">
      <alignment horizontal="left" vertical="top" wrapText="1"/>
      <protection locked="0"/>
    </xf>
    <xf numFmtId="3" fontId="75" fillId="0" borderId="32" xfId="0" applyNumberFormat="1" applyFont="1" applyFill="1" applyBorder="1" applyAlignment="1" applyProtection="1">
      <alignment horizontal="left" wrapText="1"/>
      <protection locked="0"/>
    </xf>
    <xf numFmtId="3" fontId="75" fillId="0" borderId="68" xfId="0" applyNumberFormat="1" applyFont="1" applyFill="1" applyBorder="1" applyAlignment="1" applyProtection="1">
      <alignment horizontal="left" wrapText="1"/>
      <protection locked="0"/>
    </xf>
    <xf numFmtId="3" fontId="75" fillId="0" borderId="69" xfId="0" applyNumberFormat="1" applyFont="1" applyFill="1" applyBorder="1" applyAlignment="1" applyProtection="1">
      <alignment horizontal="left" wrapText="1"/>
      <protection locked="0"/>
    </xf>
    <xf numFmtId="14" fontId="75" fillId="0" borderId="30" xfId="0" applyNumberFormat="1" applyFont="1" applyFill="1" applyBorder="1" applyAlignment="1">
      <alignment horizontal="center" wrapText="1"/>
    </xf>
    <xf numFmtId="14" fontId="75" fillId="0" borderId="35" xfId="0" applyNumberFormat="1" applyFont="1" applyFill="1" applyBorder="1" applyAlignment="1">
      <alignment horizontal="center" wrapText="1"/>
    </xf>
    <xf numFmtId="3" fontId="49" fillId="0" borderId="32" xfId="0" applyNumberFormat="1" applyFont="1" applyBorder="1" applyAlignment="1" applyProtection="1">
      <alignment horizontal="center" wrapText="1"/>
      <protection locked="0"/>
    </xf>
    <xf numFmtId="3" fontId="49" fillId="0" borderId="69" xfId="0" applyNumberFormat="1" applyFont="1" applyBorder="1" applyAlignment="1" applyProtection="1">
      <alignment horizontal="center" wrapText="1"/>
      <protection locked="0"/>
    </xf>
    <xf numFmtId="3" fontId="49" fillId="0" borderId="33" xfId="0" applyNumberFormat="1" applyFont="1" applyFill="1" applyBorder="1" applyAlignment="1" applyProtection="1">
      <alignment horizontal="center" wrapText="1"/>
      <protection locked="0"/>
    </xf>
    <xf numFmtId="3" fontId="49" fillId="0" borderId="47" xfId="0" applyNumberFormat="1" applyFont="1" applyFill="1" applyBorder="1" applyAlignment="1" applyProtection="1">
      <alignment horizontal="center" wrapText="1"/>
      <protection locked="0"/>
    </xf>
    <xf numFmtId="3" fontId="49" fillId="0" borderId="34" xfId="0" applyNumberFormat="1" applyFont="1" applyFill="1" applyBorder="1" applyAlignment="1" applyProtection="1">
      <alignment horizontal="center" wrapText="1"/>
      <protection locked="0"/>
    </xf>
    <xf numFmtId="3" fontId="49" fillId="0" borderId="36" xfId="0" applyNumberFormat="1" applyFont="1" applyFill="1" applyBorder="1" applyAlignment="1" applyProtection="1">
      <alignment horizontal="center" wrapText="1"/>
      <protection locked="0"/>
    </xf>
    <xf numFmtId="3" fontId="4" fillId="0" borderId="0" xfId="0" applyNumberFormat="1" applyFont="1" applyFill="1" applyAlignment="1" applyProtection="1">
      <alignment vertical="center" wrapText="1"/>
      <protection locked="0"/>
    </xf>
    <xf numFmtId="3" fontId="49" fillId="0" borderId="32" xfId="0" applyNumberFormat="1" applyFont="1" applyFill="1" applyBorder="1" applyAlignment="1" applyProtection="1">
      <alignment horizontal="center" wrapText="1"/>
      <protection locked="0"/>
    </xf>
    <xf numFmtId="3" fontId="49" fillId="0" borderId="69" xfId="0" applyNumberFormat="1" applyFont="1" applyFill="1" applyBorder="1" applyAlignment="1" applyProtection="1">
      <alignment horizontal="center" wrapText="1"/>
      <protection locked="0"/>
    </xf>
    <xf numFmtId="0" fontId="24" fillId="0" borderId="0" xfId="0" applyFont="1" applyFill="1" applyAlignment="1">
      <alignment horizontal="left"/>
    </xf>
    <xf numFmtId="0" fontId="19" fillId="0" borderId="0" xfId="0" applyFont="1" applyFill="1" applyBorder="1" applyAlignment="1" applyProtection="1">
      <alignment horizontal="left"/>
      <protection locked="0"/>
    </xf>
    <xf numFmtId="0" fontId="18" fillId="0" borderId="0" xfId="0" applyFont="1"/>
    <xf numFmtId="0" fontId="18" fillId="0" borderId="32" xfId="0" applyFont="1" applyBorder="1" applyAlignment="1">
      <alignment horizontal="center" wrapText="1"/>
    </xf>
    <xf numFmtId="0" fontId="18" fillId="0" borderId="34" xfId="0" applyFont="1" applyBorder="1" applyAlignment="1">
      <alignment horizontal="center" wrapText="1"/>
    </xf>
    <xf numFmtId="0" fontId="18" fillId="0" borderId="48" xfId="0" applyFont="1" applyBorder="1" applyAlignment="1">
      <alignment horizontal="center" wrapText="1"/>
    </xf>
    <xf numFmtId="0" fontId="18" fillId="0" borderId="36" xfId="0" applyFont="1" applyBorder="1" applyAlignment="1">
      <alignment horizontal="center" wrapText="1"/>
    </xf>
    <xf numFmtId="0" fontId="18" fillId="0" borderId="32" xfId="0" applyFont="1" applyBorder="1" applyAlignment="1">
      <alignment horizontal="center" vertical="center" wrapText="1"/>
    </xf>
    <xf numFmtId="0" fontId="18" fillId="0" borderId="48" xfId="0" applyFont="1" applyBorder="1" applyAlignment="1">
      <alignment horizontal="center" vertical="center" wrapText="1"/>
    </xf>
    <xf numFmtId="0" fontId="18" fillId="0" borderId="34" xfId="0" applyFont="1" applyBorder="1" applyAlignment="1">
      <alignment horizontal="center" vertical="center" wrapText="1"/>
    </xf>
    <xf numFmtId="0" fontId="18" fillId="0" borderId="36" xfId="0" applyFont="1" applyBorder="1" applyAlignment="1">
      <alignment horizontal="center" vertical="center" wrapText="1"/>
    </xf>
    <xf numFmtId="0" fontId="18" fillId="0" borderId="32" xfId="0" applyFont="1" applyBorder="1" applyAlignment="1">
      <alignment horizontal="center" vertical="center"/>
    </xf>
    <xf numFmtId="0" fontId="18" fillId="0" borderId="29" xfId="0" applyFont="1" applyBorder="1" applyAlignment="1">
      <alignment horizontal="center" vertical="center"/>
    </xf>
    <xf numFmtId="0" fontId="18" fillId="0" borderId="48" xfId="0" applyFont="1" applyBorder="1" applyAlignment="1">
      <alignment horizontal="center" vertical="center"/>
    </xf>
    <xf numFmtId="0" fontId="18" fillId="0" borderId="34" xfId="0" applyFont="1" applyBorder="1" applyAlignment="1">
      <alignment horizontal="center" vertical="center"/>
    </xf>
    <xf numFmtId="0" fontId="18" fillId="0" borderId="28" xfId="0" applyFont="1" applyBorder="1" applyAlignment="1">
      <alignment horizontal="center" vertical="center"/>
    </xf>
    <xf numFmtId="0" fontId="18" fillId="0" borderId="36" xfId="0" applyFont="1" applyBorder="1" applyAlignment="1">
      <alignment horizontal="center" vertical="center"/>
    </xf>
    <xf numFmtId="0" fontId="18" fillId="0" borderId="31" xfId="0" applyFont="1" applyBorder="1" applyAlignment="1">
      <alignment horizontal="center" wrapText="1"/>
    </xf>
    <xf numFmtId="0" fontId="18" fillId="0" borderId="22" xfId="0" applyFont="1" applyBorder="1" applyAlignment="1">
      <alignment horizontal="center" wrapText="1"/>
    </xf>
    <xf numFmtId="0" fontId="0" fillId="0" borderId="0" xfId="0" applyFill="1"/>
    <xf numFmtId="0" fontId="18" fillId="0" borderId="39" xfId="0" applyFont="1" applyBorder="1" applyAlignment="1">
      <alignment horizontal="center" wrapText="1"/>
    </xf>
    <xf numFmtId="0" fontId="18" fillId="0" borderId="31" xfId="0" applyFont="1" applyBorder="1" applyAlignment="1">
      <alignment horizontal="center" vertical="top" wrapText="1"/>
    </xf>
    <xf numFmtId="0" fontId="18" fillId="0" borderId="39" xfId="0" applyFont="1" applyBorder="1" applyAlignment="1">
      <alignment horizontal="center" vertical="top" wrapText="1"/>
    </xf>
    <xf numFmtId="0" fontId="18" fillId="0" borderId="22" xfId="0" applyFont="1" applyBorder="1" applyAlignment="1">
      <alignment horizontal="center" vertical="top" wrapText="1"/>
    </xf>
    <xf numFmtId="0" fontId="0" fillId="0" borderId="30" xfId="0" applyFill="1" applyBorder="1" applyAlignment="1">
      <alignment horizontal="left"/>
    </xf>
    <xf numFmtId="0" fontId="0" fillId="0" borderId="27" xfId="0" applyFill="1" applyBorder="1" applyAlignment="1">
      <alignment horizontal="left"/>
    </xf>
    <xf numFmtId="0" fontId="0" fillId="0" borderId="35" xfId="0" applyFill="1" applyBorder="1" applyAlignment="1">
      <alignment horizontal="left"/>
    </xf>
    <xf numFmtId="0" fontId="18" fillId="0" borderId="31" xfId="0" applyFont="1" applyBorder="1" applyAlignment="1">
      <alignment horizontal="center" vertical="center" wrapText="1"/>
    </xf>
    <xf numFmtId="0" fontId="18" fillId="0" borderId="22" xfId="0" applyFont="1" applyBorder="1" applyAlignment="1">
      <alignment horizontal="center" vertical="center" wrapText="1"/>
    </xf>
    <xf numFmtId="0" fontId="65" fillId="0" borderId="0" xfId="1" applyFont="1" applyAlignment="1" applyProtection="1">
      <alignment horizontal="left" vertical="top" wrapText="1"/>
      <protection locked="0"/>
    </xf>
    <xf numFmtId="0" fontId="16" fillId="0" borderId="0" xfId="0" applyFont="1" applyFill="1" applyBorder="1" applyAlignment="1">
      <alignment horizontal="left" vertical="top" wrapText="1"/>
    </xf>
  </cellXfs>
  <cellStyles count="2478">
    <cellStyle name="20 % - uthevingsfarge 5 2" xfId="506"/>
    <cellStyle name="20 % - uthevingsfarge 5 2 2" xfId="877"/>
    <cellStyle name="20 % - uthevingsfarge 5 2 2 2" xfId="1782"/>
    <cellStyle name="20 % - uthevingsfarge 5 2 2 3" xfId="2475"/>
    <cellStyle name="20 % - uthevingsfarge 5 2 3" xfId="1080"/>
    <cellStyle name="20 % - uthevingsfarge 5 2 4" xfId="1435"/>
    <cellStyle name="20 % - uthevingsfarge 5 2 5" xfId="2128"/>
    <cellStyle name="20 % - uthevingsfarge 5 3" xfId="510"/>
    <cellStyle name="20 % - uthevingsfarge 5 3 2" xfId="1439"/>
    <cellStyle name="20 % - uthevingsfarge 5 3 3" xfId="2132"/>
    <cellStyle name="20% - Accent1" xfId="42"/>
    <cellStyle name="20% - Accent1 2" xfId="146"/>
    <cellStyle name="20% - Accent1 2 2" xfId="390"/>
    <cellStyle name="20% - Accent1 2 2 2" xfId="768"/>
    <cellStyle name="20% - Accent1 2 2 2 2" xfId="1674"/>
    <cellStyle name="20% - Accent1 2 2 2 3" xfId="2367"/>
    <cellStyle name="20% - Accent1 2 2 3" xfId="1327"/>
    <cellStyle name="20% - Accent1 2 2 4" xfId="2020"/>
    <cellStyle name="20% - Accent1 2 3" xfId="573"/>
    <cellStyle name="20% - Accent1 2 3 2" xfId="1502"/>
    <cellStyle name="20% - Accent1 2 3 3" xfId="2195"/>
    <cellStyle name="20% - Accent1 2 4" xfId="970"/>
    <cellStyle name="20% - Accent1 2 5" xfId="1155"/>
    <cellStyle name="20% - Accent1 2 6" xfId="1848"/>
    <cellStyle name="20% - Accent1 3" xfId="331"/>
    <cellStyle name="20% - Accent1 3 2" xfId="712"/>
    <cellStyle name="20% - Accent1 3 2 2" xfId="1628"/>
    <cellStyle name="20% - Accent1 3 2 3" xfId="2321"/>
    <cellStyle name="20% - Accent1 3 3" xfId="1281"/>
    <cellStyle name="20% - Accent1 3 4" xfId="1974"/>
    <cellStyle name="20% - Accent1 4" xfId="527"/>
    <cellStyle name="20% - Accent1 4 2" xfId="1456"/>
    <cellStyle name="20% - Accent1 4 3" xfId="2149"/>
    <cellStyle name="20% - Accent1 5" xfId="912"/>
    <cellStyle name="20% - Accent1 6" xfId="1109"/>
    <cellStyle name="20% - Accent1 7" xfId="1802"/>
    <cellStyle name="20% - Accent2" xfId="43"/>
    <cellStyle name="20% - Accent2 2" xfId="147"/>
    <cellStyle name="20% - Accent2 2 2" xfId="391"/>
    <cellStyle name="20% - Accent2 2 2 2" xfId="769"/>
    <cellStyle name="20% - Accent2 2 2 2 2" xfId="1675"/>
    <cellStyle name="20% - Accent2 2 2 2 3" xfId="2368"/>
    <cellStyle name="20% - Accent2 2 2 3" xfId="1328"/>
    <cellStyle name="20% - Accent2 2 2 4" xfId="2021"/>
    <cellStyle name="20% - Accent2 2 3" xfId="574"/>
    <cellStyle name="20% - Accent2 2 3 2" xfId="1503"/>
    <cellStyle name="20% - Accent2 2 3 3" xfId="2196"/>
    <cellStyle name="20% - Accent2 2 4" xfId="971"/>
    <cellStyle name="20% - Accent2 2 5" xfId="1156"/>
    <cellStyle name="20% - Accent2 2 6" xfId="1849"/>
    <cellStyle name="20% - Accent2 3" xfId="332"/>
    <cellStyle name="20% - Accent2 3 2" xfId="713"/>
    <cellStyle name="20% - Accent2 3 2 2" xfId="1629"/>
    <cellStyle name="20% - Accent2 3 2 3" xfId="2322"/>
    <cellStyle name="20% - Accent2 3 3" xfId="1282"/>
    <cellStyle name="20% - Accent2 3 4" xfId="1975"/>
    <cellStyle name="20% - Accent2 4" xfId="528"/>
    <cellStyle name="20% - Accent2 4 2" xfId="1457"/>
    <cellStyle name="20% - Accent2 4 3" xfId="2150"/>
    <cellStyle name="20% - Accent2 5" xfId="913"/>
    <cellStyle name="20% - Accent2 6" xfId="1110"/>
    <cellStyle name="20% - Accent2 7" xfId="1803"/>
    <cellStyle name="20% - Accent3" xfId="44"/>
    <cellStyle name="20% - Accent3 2" xfId="148"/>
    <cellStyle name="20% - Accent3 2 2" xfId="392"/>
    <cellStyle name="20% - Accent3 2 2 2" xfId="770"/>
    <cellStyle name="20% - Accent3 2 2 2 2" xfId="1676"/>
    <cellStyle name="20% - Accent3 2 2 2 3" xfId="2369"/>
    <cellStyle name="20% - Accent3 2 2 3" xfId="1329"/>
    <cellStyle name="20% - Accent3 2 2 4" xfId="2022"/>
    <cellStyle name="20% - Accent3 2 3" xfId="575"/>
    <cellStyle name="20% - Accent3 2 3 2" xfId="1504"/>
    <cellStyle name="20% - Accent3 2 3 3" xfId="2197"/>
    <cellStyle name="20% - Accent3 2 4" xfId="972"/>
    <cellStyle name="20% - Accent3 2 5" xfId="1157"/>
    <cellStyle name="20% - Accent3 2 6" xfId="1850"/>
    <cellStyle name="20% - Accent3 3" xfId="333"/>
    <cellStyle name="20% - Accent3 3 2" xfId="714"/>
    <cellStyle name="20% - Accent3 3 2 2" xfId="1630"/>
    <cellStyle name="20% - Accent3 3 2 3" xfId="2323"/>
    <cellStyle name="20% - Accent3 3 3" xfId="1283"/>
    <cellStyle name="20% - Accent3 3 4" xfId="1976"/>
    <cellStyle name="20% - Accent3 4" xfId="529"/>
    <cellStyle name="20% - Accent3 4 2" xfId="1458"/>
    <cellStyle name="20% - Accent3 4 3" xfId="2151"/>
    <cellStyle name="20% - Accent3 5" xfId="914"/>
    <cellStyle name="20% - Accent3 6" xfId="1111"/>
    <cellStyle name="20% - Accent3 7" xfId="1804"/>
    <cellStyle name="20% - Accent4" xfId="45"/>
    <cellStyle name="20% - Accent4 2" xfId="149"/>
    <cellStyle name="20% - Accent4 2 2" xfId="393"/>
    <cellStyle name="20% - Accent4 2 2 2" xfId="771"/>
    <cellStyle name="20% - Accent4 2 2 2 2" xfId="1677"/>
    <cellStyle name="20% - Accent4 2 2 2 3" xfId="2370"/>
    <cellStyle name="20% - Accent4 2 2 3" xfId="1330"/>
    <cellStyle name="20% - Accent4 2 2 4" xfId="2023"/>
    <cellStyle name="20% - Accent4 2 3" xfId="576"/>
    <cellStyle name="20% - Accent4 2 3 2" xfId="1505"/>
    <cellStyle name="20% - Accent4 2 3 3" xfId="2198"/>
    <cellStyle name="20% - Accent4 2 4" xfId="973"/>
    <cellStyle name="20% - Accent4 2 5" xfId="1158"/>
    <cellStyle name="20% - Accent4 2 6" xfId="1851"/>
    <cellStyle name="20% - Accent4 3" xfId="334"/>
    <cellStyle name="20% - Accent4 3 2" xfId="715"/>
    <cellStyle name="20% - Accent4 3 2 2" xfId="1631"/>
    <cellStyle name="20% - Accent4 3 2 3" xfId="2324"/>
    <cellStyle name="20% - Accent4 3 3" xfId="1284"/>
    <cellStyle name="20% - Accent4 3 4" xfId="1977"/>
    <cellStyle name="20% - Accent4 4" xfId="530"/>
    <cellStyle name="20% - Accent4 4 2" xfId="1459"/>
    <cellStyle name="20% - Accent4 4 3" xfId="2152"/>
    <cellStyle name="20% - Accent4 5" xfId="915"/>
    <cellStyle name="20% - Accent4 6" xfId="1112"/>
    <cellStyle name="20% - Accent4 7" xfId="1805"/>
    <cellStyle name="20% - Accent5 2" xfId="150"/>
    <cellStyle name="20% - Accent5 2 2" xfId="394"/>
    <cellStyle name="20% - Accent5 2 2 2" xfId="772"/>
    <cellStyle name="20% - Accent5 2 2 2 2" xfId="1678"/>
    <cellStyle name="20% - Accent5 2 2 2 3" xfId="2371"/>
    <cellStyle name="20% - Accent5 2 2 3" xfId="1331"/>
    <cellStyle name="20% - Accent5 2 2 4" xfId="2024"/>
    <cellStyle name="20% - Accent5 2 3" xfId="577"/>
    <cellStyle name="20% - Accent5 2 3 2" xfId="1506"/>
    <cellStyle name="20% - Accent5 2 3 3" xfId="2199"/>
    <cellStyle name="20% - Accent5 2 4" xfId="974"/>
    <cellStyle name="20% - Accent5 2 5" xfId="1159"/>
    <cellStyle name="20% - Accent5 2 6" xfId="1852"/>
    <cellStyle name="20% - Accent5 3" xfId="335"/>
    <cellStyle name="20% - Accent5 3 2" xfId="716"/>
    <cellStyle name="20% - Accent5 3 2 2" xfId="1632"/>
    <cellStyle name="20% - Accent5 3 2 3" xfId="2325"/>
    <cellStyle name="20% - Accent5 3 3" xfId="1285"/>
    <cellStyle name="20% - Accent5 3 4" xfId="1978"/>
    <cellStyle name="20% - Accent5 4" xfId="531"/>
    <cellStyle name="20% - Accent5 4 2" xfId="1460"/>
    <cellStyle name="20% - Accent5 4 3" xfId="2153"/>
    <cellStyle name="20% - Accent5 5" xfId="916"/>
    <cellStyle name="20% - Accent5 6" xfId="1113"/>
    <cellStyle name="20% - Accent5 7" xfId="1806"/>
    <cellStyle name="20% - Accent6" xfId="46"/>
    <cellStyle name="20% - Accent6 2" xfId="151"/>
    <cellStyle name="20% - Accent6 2 2" xfId="395"/>
    <cellStyle name="20% - Accent6 2 2 2" xfId="773"/>
    <cellStyle name="20% - Accent6 2 2 2 2" xfId="1679"/>
    <cellStyle name="20% - Accent6 2 2 2 3" xfId="2372"/>
    <cellStyle name="20% - Accent6 2 2 3" xfId="1332"/>
    <cellStyle name="20% - Accent6 2 2 4" xfId="2025"/>
    <cellStyle name="20% - Accent6 2 3" xfId="578"/>
    <cellStyle name="20% - Accent6 2 3 2" xfId="1507"/>
    <cellStyle name="20% - Accent6 2 3 3" xfId="2200"/>
    <cellStyle name="20% - Accent6 2 4" xfId="975"/>
    <cellStyle name="20% - Accent6 2 5" xfId="1160"/>
    <cellStyle name="20% - Accent6 2 6" xfId="1853"/>
    <cellStyle name="20% - Accent6 3" xfId="336"/>
    <cellStyle name="20% - Accent6 3 2" xfId="717"/>
    <cellStyle name="20% - Accent6 3 2 2" xfId="1633"/>
    <cellStyle name="20% - Accent6 3 2 3" xfId="2326"/>
    <cellStyle name="20% - Accent6 3 3" xfId="1286"/>
    <cellStyle name="20% - Accent6 3 4" xfId="1979"/>
    <cellStyle name="20% - Accent6 4" xfId="532"/>
    <cellStyle name="20% - Accent6 4 2" xfId="1461"/>
    <cellStyle name="20% - Accent6 4 3" xfId="2154"/>
    <cellStyle name="20% - Accent6 5" xfId="917"/>
    <cellStyle name="20% - Accent6 6" xfId="1114"/>
    <cellStyle name="20% - Accent6 7" xfId="1807"/>
    <cellStyle name="20% - uthevingsfarge 1 2" xfId="178"/>
    <cellStyle name="20% - uthevingsfarge 2 2" xfId="179"/>
    <cellStyle name="20% - uthevingsfarge 3 2" xfId="180"/>
    <cellStyle name="20% - uthevingsfarge 4 2" xfId="181"/>
    <cellStyle name="20% - uthevingsfarge 5 2" xfId="129"/>
    <cellStyle name="20% - uthevingsfarge 5 2 2" xfId="182"/>
    <cellStyle name="20% - uthevingsfarge 5 2 2 2" xfId="183"/>
    <cellStyle name="20% - uthevingsfarge 5 2 2 2 2" xfId="184"/>
    <cellStyle name="20% - uthevingsfarge 5 2 2 2 2 2" xfId="424"/>
    <cellStyle name="20% - uthevingsfarge 5 2 2 2 2 2 2" xfId="799"/>
    <cellStyle name="20% - uthevingsfarge 5 2 2 2 2 2 2 2" xfId="1705"/>
    <cellStyle name="20% - uthevingsfarge 5 2 2 2 2 2 2 3" xfId="2398"/>
    <cellStyle name="20% - uthevingsfarge 5 2 2 2 2 2 3" xfId="1358"/>
    <cellStyle name="20% - uthevingsfarge 5 2 2 2 2 2 4" xfId="2051"/>
    <cellStyle name="20% - uthevingsfarge 5 2 2 2 2 3" xfId="604"/>
    <cellStyle name="20% - uthevingsfarge 5 2 2 2 2 3 2" xfId="1533"/>
    <cellStyle name="20% - uthevingsfarge 5 2 2 2 2 3 3" xfId="2226"/>
    <cellStyle name="20% - uthevingsfarge 5 2 2 2 2 4" xfId="1001"/>
    <cellStyle name="20% - uthevingsfarge 5 2 2 2 2 5" xfId="1186"/>
    <cellStyle name="20% - uthevingsfarge 5 2 2 2 2 6" xfId="1879"/>
    <cellStyle name="20% - uthevingsfarge 5 2 2 2 3" xfId="423"/>
    <cellStyle name="20% - uthevingsfarge 5 2 2 2 3 2" xfId="798"/>
    <cellStyle name="20% - uthevingsfarge 5 2 2 2 3 2 2" xfId="1704"/>
    <cellStyle name="20% - uthevingsfarge 5 2 2 2 3 2 3" xfId="2397"/>
    <cellStyle name="20% - uthevingsfarge 5 2 2 2 3 3" xfId="1357"/>
    <cellStyle name="20% - uthevingsfarge 5 2 2 2 3 4" xfId="2050"/>
    <cellStyle name="20% - uthevingsfarge 5 2 2 2 4" xfId="603"/>
    <cellStyle name="20% - uthevingsfarge 5 2 2 2 4 2" xfId="1532"/>
    <cellStyle name="20% - uthevingsfarge 5 2 2 2 4 3" xfId="2225"/>
    <cellStyle name="20% - uthevingsfarge 5 2 2 2 5" xfId="1000"/>
    <cellStyle name="20% - uthevingsfarge 5 2 2 2 6" xfId="1185"/>
    <cellStyle name="20% - uthevingsfarge 5 2 2 2 7" xfId="1878"/>
    <cellStyle name="20% - uthevingsfarge 5 2 2 3" xfId="185"/>
    <cellStyle name="20% - uthevingsfarge 5 2 2 3 2" xfId="425"/>
    <cellStyle name="20% - uthevingsfarge 5 2 2 3 2 2" xfId="800"/>
    <cellStyle name="20% - uthevingsfarge 5 2 2 3 2 2 2" xfId="1706"/>
    <cellStyle name="20% - uthevingsfarge 5 2 2 3 2 2 3" xfId="2399"/>
    <cellStyle name="20% - uthevingsfarge 5 2 2 3 2 3" xfId="1359"/>
    <cellStyle name="20% - uthevingsfarge 5 2 2 3 2 4" xfId="2052"/>
    <cellStyle name="20% - uthevingsfarge 5 2 2 3 3" xfId="605"/>
    <cellStyle name="20% - uthevingsfarge 5 2 2 3 3 2" xfId="1534"/>
    <cellStyle name="20% - uthevingsfarge 5 2 2 3 3 3" xfId="2227"/>
    <cellStyle name="20% - uthevingsfarge 5 2 2 3 4" xfId="1002"/>
    <cellStyle name="20% - uthevingsfarge 5 2 2 3 5" xfId="1187"/>
    <cellStyle name="20% - uthevingsfarge 5 2 2 3 6" xfId="1880"/>
    <cellStyle name="20% - uthevingsfarge 5 2 2 4" xfId="422"/>
    <cellStyle name="20% - uthevingsfarge 5 2 2 4 2" xfId="797"/>
    <cellStyle name="20% - uthevingsfarge 5 2 2 4 2 2" xfId="1703"/>
    <cellStyle name="20% - uthevingsfarge 5 2 2 4 2 3" xfId="2396"/>
    <cellStyle name="20% - uthevingsfarge 5 2 2 4 3" xfId="1356"/>
    <cellStyle name="20% - uthevingsfarge 5 2 2 4 4" xfId="2049"/>
    <cellStyle name="20% - uthevingsfarge 5 2 2 5" xfId="602"/>
    <cellStyle name="20% - uthevingsfarge 5 2 2 5 2" xfId="1531"/>
    <cellStyle name="20% - uthevingsfarge 5 2 2 5 3" xfId="2224"/>
    <cellStyle name="20% - uthevingsfarge 5 2 2 6" xfId="999"/>
    <cellStyle name="20% - uthevingsfarge 5 2 2 7" xfId="1184"/>
    <cellStyle name="20% - uthevingsfarge 5 2 2 8" xfId="1877"/>
    <cellStyle name="20% - uthevingsfarge 5 2 3" xfId="186"/>
    <cellStyle name="20% - uthevingsfarge 5 2 3 2" xfId="187"/>
    <cellStyle name="20% - uthevingsfarge 5 2 3 2 2" xfId="427"/>
    <cellStyle name="20% - uthevingsfarge 5 2 3 2 2 2" xfId="802"/>
    <cellStyle name="20% - uthevingsfarge 5 2 3 2 2 2 2" xfId="1708"/>
    <cellStyle name="20% - uthevingsfarge 5 2 3 2 2 2 3" xfId="2401"/>
    <cellStyle name="20% - uthevingsfarge 5 2 3 2 2 3" xfId="1361"/>
    <cellStyle name="20% - uthevingsfarge 5 2 3 2 2 4" xfId="2054"/>
    <cellStyle name="20% - uthevingsfarge 5 2 3 2 3" xfId="607"/>
    <cellStyle name="20% - uthevingsfarge 5 2 3 2 3 2" xfId="1536"/>
    <cellStyle name="20% - uthevingsfarge 5 2 3 2 3 3" xfId="2229"/>
    <cellStyle name="20% - uthevingsfarge 5 2 3 2 4" xfId="1004"/>
    <cellStyle name="20% - uthevingsfarge 5 2 3 2 5" xfId="1189"/>
    <cellStyle name="20% - uthevingsfarge 5 2 3 2 6" xfId="1882"/>
    <cellStyle name="20% - uthevingsfarge 5 2 3 3" xfId="426"/>
    <cellStyle name="20% - uthevingsfarge 5 2 3 3 2" xfId="801"/>
    <cellStyle name="20% - uthevingsfarge 5 2 3 3 2 2" xfId="1707"/>
    <cellStyle name="20% - uthevingsfarge 5 2 3 3 2 3" xfId="2400"/>
    <cellStyle name="20% - uthevingsfarge 5 2 3 3 3" xfId="1360"/>
    <cellStyle name="20% - uthevingsfarge 5 2 3 3 4" xfId="2053"/>
    <cellStyle name="20% - uthevingsfarge 5 2 3 4" xfId="606"/>
    <cellStyle name="20% - uthevingsfarge 5 2 3 4 2" xfId="1535"/>
    <cellStyle name="20% - uthevingsfarge 5 2 3 4 3" xfId="2228"/>
    <cellStyle name="20% - uthevingsfarge 5 2 3 5" xfId="1003"/>
    <cellStyle name="20% - uthevingsfarge 5 2 3 6" xfId="1188"/>
    <cellStyle name="20% - uthevingsfarge 5 2 3 7" xfId="1881"/>
    <cellStyle name="20% - uthevingsfarge 5 2 4" xfId="188"/>
    <cellStyle name="20% - uthevingsfarge 5 2 4 2" xfId="428"/>
    <cellStyle name="20% - uthevingsfarge 5 2 4 2 2" xfId="803"/>
    <cellStyle name="20% - uthevingsfarge 5 2 4 2 2 2" xfId="1709"/>
    <cellStyle name="20% - uthevingsfarge 5 2 4 2 2 3" xfId="2402"/>
    <cellStyle name="20% - uthevingsfarge 5 2 4 2 3" xfId="1362"/>
    <cellStyle name="20% - uthevingsfarge 5 2 4 2 4" xfId="2055"/>
    <cellStyle name="20% - uthevingsfarge 5 2 4 3" xfId="608"/>
    <cellStyle name="20% - uthevingsfarge 5 2 4 3 2" xfId="1537"/>
    <cellStyle name="20% - uthevingsfarge 5 2 4 3 3" xfId="2230"/>
    <cellStyle name="20% - uthevingsfarge 5 2 4 4" xfId="1005"/>
    <cellStyle name="20% - uthevingsfarge 5 2 4 5" xfId="1190"/>
    <cellStyle name="20% - uthevingsfarge 5 2 4 6" xfId="1883"/>
    <cellStyle name="20% - uthevingsfarge 5 2 5" xfId="373"/>
    <cellStyle name="20% - uthevingsfarge 5 2 5 2" xfId="751"/>
    <cellStyle name="20% - uthevingsfarge 5 2 5 2 2" xfId="1657"/>
    <cellStyle name="20% - uthevingsfarge 5 2 5 2 3" xfId="2350"/>
    <cellStyle name="20% - uthevingsfarge 5 2 5 3" xfId="1310"/>
    <cellStyle name="20% - uthevingsfarge 5 2 5 4" xfId="2003"/>
    <cellStyle name="20% - uthevingsfarge 5 2 6" xfId="556"/>
    <cellStyle name="20% - uthevingsfarge 5 2 6 2" xfId="1485"/>
    <cellStyle name="20% - uthevingsfarge 5 2 6 3" xfId="2178"/>
    <cellStyle name="20% - uthevingsfarge 5 2 7" xfId="953"/>
    <cellStyle name="20% - uthevingsfarge 5 2 8" xfId="1138"/>
    <cellStyle name="20% - uthevingsfarge 5 2 9" xfId="1831"/>
    <cellStyle name="20% - uthevingsfarge 5 3" xfId="176"/>
    <cellStyle name="20% - uthevingsfarge 5 3 2" xfId="420"/>
    <cellStyle name="20% - uthevingsfarge 5 3 2 2" xfId="795"/>
    <cellStyle name="20% - uthevingsfarge 5 3 2 2 2" xfId="1701"/>
    <cellStyle name="20% - uthevingsfarge 5 3 2 2 3" xfId="2394"/>
    <cellStyle name="20% - uthevingsfarge 5 3 2 3" xfId="1354"/>
    <cellStyle name="20% - uthevingsfarge 5 3 2 4" xfId="2047"/>
    <cellStyle name="20% - uthevingsfarge 5 3 3" xfId="600"/>
    <cellStyle name="20% - uthevingsfarge 5 3 3 2" xfId="1529"/>
    <cellStyle name="20% - uthevingsfarge 5 3 3 3" xfId="2222"/>
    <cellStyle name="20% - uthevingsfarge 5 3 4" xfId="997"/>
    <cellStyle name="20% - uthevingsfarge 5 3 5" xfId="1182"/>
    <cellStyle name="20% - uthevingsfarge 5 3 6" xfId="1875"/>
    <cellStyle name="20% - uthevingsfarge 5 4" xfId="189"/>
    <cellStyle name="20% - uthevingsfarge 5 4 2" xfId="190"/>
    <cellStyle name="20% - uthevingsfarge 5 4 2 2" xfId="191"/>
    <cellStyle name="20% - uthevingsfarge 5 4 2 2 2" xfId="192"/>
    <cellStyle name="20% - uthevingsfarge 5 4 2 2 2 2" xfId="432"/>
    <cellStyle name="20% - uthevingsfarge 5 4 2 2 2 2 2" xfId="807"/>
    <cellStyle name="20% - uthevingsfarge 5 4 2 2 2 2 2 2" xfId="1713"/>
    <cellStyle name="20% - uthevingsfarge 5 4 2 2 2 2 2 3" xfId="2406"/>
    <cellStyle name="20% - uthevingsfarge 5 4 2 2 2 2 3" xfId="1366"/>
    <cellStyle name="20% - uthevingsfarge 5 4 2 2 2 2 4" xfId="2059"/>
    <cellStyle name="20% - uthevingsfarge 5 4 2 2 2 3" xfId="612"/>
    <cellStyle name="20% - uthevingsfarge 5 4 2 2 2 3 2" xfId="1541"/>
    <cellStyle name="20% - uthevingsfarge 5 4 2 2 2 3 3" xfId="2234"/>
    <cellStyle name="20% - uthevingsfarge 5 4 2 2 2 4" xfId="1009"/>
    <cellStyle name="20% - uthevingsfarge 5 4 2 2 2 5" xfId="1194"/>
    <cellStyle name="20% - uthevingsfarge 5 4 2 2 2 6" xfId="1887"/>
    <cellStyle name="20% - uthevingsfarge 5 4 2 2 3" xfId="431"/>
    <cellStyle name="20% - uthevingsfarge 5 4 2 2 3 2" xfId="806"/>
    <cellStyle name="20% - uthevingsfarge 5 4 2 2 3 2 2" xfId="1712"/>
    <cellStyle name="20% - uthevingsfarge 5 4 2 2 3 2 3" xfId="2405"/>
    <cellStyle name="20% - uthevingsfarge 5 4 2 2 3 3" xfId="1365"/>
    <cellStyle name="20% - uthevingsfarge 5 4 2 2 3 4" xfId="2058"/>
    <cellStyle name="20% - uthevingsfarge 5 4 2 2 4" xfId="611"/>
    <cellStyle name="20% - uthevingsfarge 5 4 2 2 4 2" xfId="1540"/>
    <cellStyle name="20% - uthevingsfarge 5 4 2 2 4 3" xfId="2233"/>
    <cellStyle name="20% - uthevingsfarge 5 4 2 2 5" xfId="1008"/>
    <cellStyle name="20% - uthevingsfarge 5 4 2 2 6" xfId="1193"/>
    <cellStyle name="20% - uthevingsfarge 5 4 2 2 7" xfId="1886"/>
    <cellStyle name="20% - uthevingsfarge 5 4 2 3" xfId="193"/>
    <cellStyle name="20% - uthevingsfarge 5 4 2 3 2" xfId="433"/>
    <cellStyle name="20% - uthevingsfarge 5 4 2 3 2 2" xfId="808"/>
    <cellStyle name="20% - uthevingsfarge 5 4 2 3 2 2 2" xfId="1714"/>
    <cellStyle name="20% - uthevingsfarge 5 4 2 3 2 2 3" xfId="2407"/>
    <cellStyle name="20% - uthevingsfarge 5 4 2 3 2 3" xfId="1367"/>
    <cellStyle name="20% - uthevingsfarge 5 4 2 3 2 4" xfId="2060"/>
    <cellStyle name="20% - uthevingsfarge 5 4 2 3 3" xfId="613"/>
    <cellStyle name="20% - uthevingsfarge 5 4 2 3 3 2" xfId="1542"/>
    <cellStyle name="20% - uthevingsfarge 5 4 2 3 3 3" xfId="2235"/>
    <cellStyle name="20% - uthevingsfarge 5 4 2 3 4" xfId="1010"/>
    <cellStyle name="20% - uthevingsfarge 5 4 2 3 5" xfId="1195"/>
    <cellStyle name="20% - uthevingsfarge 5 4 2 3 6" xfId="1888"/>
    <cellStyle name="20% - uthevingsfarge 5 4 2 4" xfId="430"/>
    <cellStyle name="20% - uthevingsfarge 5 4 2 4 2" xfId="805"/>
    <cellStyle name="20% - uthevingsfarge 5 4 2 4 2 2" xfId="1711"/>
    <cellStyle name="20% - uthevingsfarge 5 4 2 4 2 3" xfId="2404"/>
    <cellStyle name="20% - uthevingsfarge 5 4 2 4 3" xfId="1364"/>
    <cellStyle name="20% - uthevingsfarge 5 4 2 4 4" xfId="2057"/>
    <cellStyle name="20% - uthevingsfarge 5 4 2 5" xfId="610"/>
    <cellStyle name="20% - uthevingsfarge 5 4 2 5 2" xfId="1539"/>
    <cellStyle name="20% - uthevingsfarge 5 4 2 5 3" xfId="2232"/>
    <cellStyle name="20% - uthevingsfarge 5 4 2 6" xfId="1007"/>
    <cellStyle name="20% - uthevingsfarge 5 4 2 7" xfId="1192"/>
    <cellStyle name="20% - uthevingsfarge 5 4 2 8" xfId="1885"/>
    <cellStyle name="20% - uthevingsfarge 5 4 3" xfId="194"/>
    <cellStyle name="20% - uthevingsfarge 5 4 3 2" xfId="195"/>
    <cellStyle name="20% - uthevingsfarge 5 4 3 2 2" xfId="435"/>
    <cellStyle name="20% - uthevingsfarge 5 4 3 2 2 2" xfId="810"/>
    <cellStyle name="20% - uthevingsfarge 5 4 3 2 2 2 2" xfId="1716"/>
    <cellStyle name="20% - uthevingsfarge 5 4 3 2 2 2 3" xfId="2409"/>
    <cellStyle name="20% - uthevingsfarge 5 4 3 2 2 3" xfId="1369"/>
    <cellStyle name="20% - uthevingsfarge 5 4 3 2 2 4" xfId="2062"/>
    <cellStyle name="20% - uthevingsfarge 5 4 3 2 3" xfId="615"/>
    <cellStyle name="20% - uthevingsfarge 5 4 3 2 3 2" xfId="1544"/>
    <cellStyle name="20% - uthevingsfarge 5 4 3 2 3 3" xfId="2237"/>
    <cellStyle name="20% - uthevingsfarge 5 4 3 2 4" xfId="1012"/>
    <cellStyle name="20% - uthevingsfarge 5 4 3 2 5" xfId="1197"/>
    <cellStyle name="20% - uthevingsfarge 5 4 3 2 6" xfId="1890"/>
    <cellStyle name="20% - uthevingsfarge 5 4 3 3" xfId="434"/>
    <cellStyle name="20% - uthevingsfarge 5 4 3 3 2" xfId="809"/>
    <cellStyle name="20% - uthevingsfarge 5 4 3 3 2 2" xfId="1715"/>
    <cellStyle name="20% - uthevingsfarge 5 4 3 3 2 3" xfId="2408"/>
    <cellStyle name="20% - uthevingsfarge 5 4 3 3 3" xfId="1368"/>
    <cellStyle name="20% - uthevingsfarge 5 4 3 3 4" xfId="2061"/>
    <cellStyle name="20% - uthevingsfarge 5 4 3 4" xfId="614"/>
    <cellStyle name="20% - uthevingsfarge 5 4 3 4 2" xfId="1543"/>
    <cellStyle name="20% - uthevingsfarge 5 4 3 4 3" xfId="2236"/>
    <cellStyle name="20% - uthevingsfarge 5 4 3 5" xfId="1011"/>
    <cellStyle name="20% - uthevingsfarge 5 4 3 6" xfId="1196"/>
    <cellStyle name="20% - uthevingsfarge 5 4 3 7" xfId="1889"/>
    <cellStyle name="20% - uthevingsfarge 5 4 4" xfId="196"/>
    <cellStyle name="20% - uthevingsfarge 5 4 4 2" xfId="436"/>
    <cellStyle name="20% - uthevingsfarge 5 4 4 2 2" xfId="811"/>
    <cellStyle name="20% - uthevingsfarge 5 4 4 2 2 2" xfId="1717"/>
    <cellStyle name="20% - uthevingsfarge 5 4 4 2 2 3" xfId="2410"/>
    <cellStyle name="20% - uthevingsfarge 5 4 4 2 3" xfId="1370"/>
    <cellStyle name="20% - uthevingsfarge 5 4 4 2 4" xfId="2063"/>
    <cellStyle name="20% - uthevingsfarge 5 4 4 3" xfId="616"/>
    <cellStyle name="20% - uthevingsfarge 5 4 4 3 2" xfId="1545"/>
    <cellStyle name="20% - uthevingsfarge 5 4 4 3 3" xfId="2238"/>
    <cellStyle name="20% - uthevingsfarge 5 4 4 4" xfId="1013"/>
    <cellStyle name="20% - uthevingsfarge 5 4 4 5" xfId="1198"/>
    <cellStyle name="20% - uthevingsfarge 5 4 4 6" xfId="1891"/>
    <cellStyle name="20% - uthevingsfarge 5 4 5" xfId="429"/>
    <cellStyle name="20% - uthevingsfarge 5 4 5 2" xfId="804"/>
    <cellStyle name="20% - uthevingsfarge 5 4 5 2 2" xfId="1710"/>
    <cellStyle name="20% - uthevingsfarge 5 4 5 2 3" xfId="2403"/>
    <cellStyle name="20% - uthevingsfarge 5 4 5 3" xfId="1363"/>
    <cellStyle name="20% - uthevingsfarge 5 4 5 4" xfId="2056"/>
    <cellStyle name="20% - uthevingsfarge 5 4 6" xfId="609"/>
    <cellStyle name="20% - uthevingsfarge 5 4 6 2" xfId="1538"/>
    <cellStyle name="20% - uthevingsfarge 5 4 6 3" xfId="2231"/>
    <cellStyle name="20% - uthevingsfarge 5 4 7" xfId="1006"/>
    <cellStyle name="20% - uthevingsfarge 5 4 8" xfId="1191"/>
    <cellStyle name="20% - uthevingsfarge 5 4 9" xfId="1884"/>
    <cellStyle name="20% - uthevingsfarge 5 5" xfId="197"/>
    <cellStyle name="20% - uthevingsfarge 5 5 2" xfId="198"/>
    <cellStyle name="20% - uthevingsfarge 5 5 2 2" xfId="199"/>
    <cellStyle name="20% - uthevingsfarge 5 5 2 2 2" xfId="439"/>
    <cellStyle name="20% - uthevingsfarge 5 5 2 2 2 2" xfId="814"/>
    <cellStyle name="20% - uthevingsfarge 5 5 2 2 2 2 2" xfId="1720"/>
    <cellStyle name="20% - uthevingsfarge 5 5 2 2 2 2 3" xfId="2413"/>
    <cellStyle name="20% - uthevingsfarge 5 5 2 2 2 3" xfId="1373"/>
    <cellStyle name="20% - uthevingsfarge 5 5 2 2 2 4" xfId="2066"/>
    <cellStyle name="20% - uthevingsfarge 5 5 2 2 3" xfId="619"/>
    <cellStyle name="20% - uthevingsfarge 5 5 2 2 3 2" xfId="1548"/>
    <cellStyle name="20% - uthevingsfarge 5 5 2 2 3 3" xfId="2241"/>
    <cellStyle name="20% - uthevingsfarge 5 5 2 2 4" xfId="1016"/>
    <cellStyle name="20% - uthevingsfarge 5 5 2 2 5" xfId="1201"/>
    <cellStyle name="20% - uthevingsfarge 5 5 2 2 6" xfId="1894"/>
    <cellStyle name="20% - uthevingsfarge 5 5 2 3" xfId="438"/>
    <cellStyle name="20% - uthevingsfarge 5 5 2 3 2" xfId="813"/>
    <cellStyle name="20% - uthevingsfarge 5 5 2 3 2 2" xfId="1719"/>
    <cellStyle name="20% - uthevingsfarge 5 5 2 3 2 3" xfId="2412"/>
    <cellStyle name="20% - uthevingsfarge 5 5 2 3 3" xfId="1372"/>
    <cellStyle name="20% - uthevingsfarge 5 5 2 3 4" xfId="2065"/>
    <cellStyle name="20% - uthevingsfarge 5 5 2 4" xfId="618"/>
    <cellStyle name="20% - uthevingsfarge 5 5 2 4 2" xfId="1547"/>
    <cellStyle name="20% - uthevingsfarge 5 5 2 4 3" xfId="2240"/>
    <cellStyle name="20% - uthevingsfarge 5 5 2 5" xfId="1015"/>
    <cellStyle name="20% - uthevingsfarge 5 5 2 6" xfId="1200"/>
    <cellStyle name="20% - uthevingsfarge 5 5 2 7" xfId="1893"/>
    <cellStyle name="20% - uthevingsfarge 5 5 3" xfId="200"/>
    <cellStyle name="20% - uthevingsfarge 5 5 3 2" xfId="440"/>
    <cellStyle name="20% - uthevingsfarge 5 5 3 2 2" xfId="815"/>
    <cellStyle name="20% - uthevingsfarge 5 5 3 2 2 2" xfId="1721"/>
    <cellStyle name="20% - uthevingsfarge 5 5 3 2 2 3" xfId="2414"/>
    <cellStyle name="20% - uthevingsfarge 5 5 3 2 3" xfId="1374"/>
    <cellStyle name="20% - uthevingsfarge 5 5 3 2 4" xfId="2067"/>
    <cellStyle name="20% - uthevingsfarge 5 5 3 3" xfId="620"/>
    <cellStyle name="20% - uthevingsfarge 5 5 3 3 2" xfId="1549"/>
    <cellStyle name="20% - uthevingsfarge 5 5 3 3 3" xfId="2242"/>
    <cellStyle name="20% - uthevingsfarge 5 5 3 4" xfId="1017"/>
    <cellStyle name="20% - uthevingsfarge 5 5 3 5" xfId="1202"/>
    <cellStyle name="20% - uthevingsfarge 5 5 3 6" xfId="1895"/>
    <cellStyle name="20% - uthevingsfarge 5 5 4" xfId="437"/>
    <cellStyle name="20% - uthevingsfarge 5 5 4 2" xfId="812"/>
    <cellStyle name="20% - uthevingsfarge 5 5 4 2 2" xfId="1718"/>
    <cellStyle name="20% - uthevingsfarge 5 5 4 2 3" xfId="2411"/>
    <cellStyle name="20% - uthevingsfarge 5 5 4 3" xfId="1371"/>
    <cellStyle name="20% - uthevingsfarge 5 5 4 4" xfId="2064"/>
    <cellStyle name="20% - uthevingsfarge 5 5 5" xfId="617"/>
    <cellStyle name="20% - uthevingsfarge 5 5 5 2" xfId="1546"/>
    <cellStyle name="20% - uthevingsfarge 5 5 5 3" xfId="2239"/>
    <cellStyle name="20% - uthevingsfarge 5 5 6" xfId="1014"/>
    <cellStyle name="20% - uthevingsfarge 5 5 7" xfId="1199"/>
    <cellStyle name="20% - uthevingsfarge 5 5 8" xfId="1892"/>
    <cellStyle name="20% - uthevingsfarge 5 6" xfId="201"/>
    <cellStyle name="20% - uthevingsfarge 5 6 2" xfId="202"/>
    <cellStyle name="20% - uthevingsfarge 5 6 2 2" xfId="442"/>
    <cellStyle name="20% - uthevingsfarge 5 6 2 2 2" xfId="817"/>
    <cellStyle name="20% - uthevingsfarge 5 6 2 2 2 2" xfId="1723"/>
    <cellStyle name="20% - uthevingsfarge 5 6 2 2 2 3" xfId="2416"/>
    <cellStyle name="20% - uthevingsfarge 5 6 2 2 3" xfId="1376"/>
    <cellStyle name="20% - uthevingsfarge 5 6 2 2 4" xfId="2069"/>
    <cellStyle name="20% - uthevingsfarge 5 6 2 3" xfId="622"/>
    <cellStyle name="20% - uthevingsfarge 5 6 2 3 2" xfId="1551"/>
    <cellStyle name="20% - uthevingsfarge 5 6 2 3 3" xfId="2244"/>
    <cellStyle name="20% - uthevingsfarge 5 6 2 4" xfId="1019"/>
    <cellStyle name="20% - uthevingsfarge 5 6 2 5" xfId="1204"/>
    <cellStyle name="20% - uthevingsfarge 5 6 2 6" xfId="1897"/>
    <cellStyle name="20% - uthevingsfarge 5 6 3" xfId="441"/>
    <cellStyle name="20% - uthevingsfarge 5 6 3 2" xfId="816"/>
    <cellStyle name="20% - uthevingsfarge 5 6 3 2 2" xfId="1722"/>
    <cellStyle name="20% - uthevingsfarge 5 6 3 2 3" xfId="2415"/>
    <cellStyle name="20% - uthevingsfarge 5 6 3 3" xfId="1375"/>
    <cellStyle name="20% - uthevingsfarge 5 6 3 4" xfId="2068"/>
    <cellStyle name="20% - uthevingsfarge 5 6 4" xfId="621"/>
    <cellStyle name="20% - uthevingsfarge 5 6 4 2" xfId="1550"/>
    <cellStyle name="20% - uthevingsfarge 5 6 4 3" xfId="2243"/>
    <cellStyle name="20% - uthevingsfarge 5 6 5" xfId="1018"/>
    <cellStyle name="20% - uthevingsfarge 5 6 6" xfId="1203"/>
    <cellStyle name="20% - uthevingsfarge 5 6 7" xfId="1896"/>
    <cellStyle name="20% - uthevingsfarge 5 7" xfId="203"/>
    <cellStyle name="20% - uthevingsfarge 5 7 2" xfId="443"/>
    <cellStyle name="20% - uthevingsfarge 5 7 2 2" xfId="818"/>
    <cellStyle name="20% - uthevingsfarge 5 7 2 2 2" xfId="1724"/>
    <cellStyle name="20% - uthevingsfarge 5 7 2 2 3" xfId="2417"/>
    <cellStyle name="20% - uthevingsfarge 5 7 2 3" xfId="1377"/>
    <cellStyle name="20% - uthevingsfarge 5 7 2 4" xfId="2070"/>
    <cellStyle name="20% - uthevingsfarge 5 7 3" xfId="623"/>
    <cellStyle name="20% - uthevingsfarge 5 7 3 2" xfId="1552"/>
    <cellStyle name="20% - uthevingsfarge 5 7 3 3" xfId="2245"/>
    <cellStyle name="20% - uthevingsfarge 5 7 4" xfId="1020"/>
    <cellStyle name="20% - uthevingsfarge 5 7 5" xfId="1205"/>
    <cellStyle name="20% - uthevingsfarge 5 7 6" xfId="1898"/>
    <cellStyle name="20% - uthevingsfarge 6 2" xfId="204"/>
    <cellStyle name="40% - Accent1" xfId="47"/>
    <cellStyle name="40% - Accent1 2" xfId="152"/>
    <cellStyle name="40% - Accent1 2 2" xfId="396"/>
    <cellStyle name="40% - Accent1 2 2 2" xfId="774"/>
    <cellStyle name="40% - Accent1 2 2 2 2" xfId="1680"/>
    <cellStyle name="40% - Accent1 2 2 2 3" xfId="2373"/>
    <cellStyle name="40% - Accent1 2 2 3" xfId="1333"/>
    <cellStyle name="40% - Accent1 2 2 4" xfId="2026"/>
    <cellStyle name="40% - Accent1 2 3" xfId="579"/>
    <cellStyle name="40% - Accent1 2 3 2" xfId="1508"/>
    <cellStyle name="40% - Accent1 2 3 3" xfId="2201"/>
    <cellStyle name="40% - Accent1 2 4" xfId="976"/>
    <cellStyle name="40% - Accent1 2 5" xfId="1161"/>
    <cellStyle name="40% - Accent1 2 6" xfId="1854"/>
    <cellStyle name="40% - Accent1 3" xfId="337"/>
    <cellStyle name="40% - Accent1 3 2" xfId="718"/>
    <cellStyle name="40% - Accent1 3 2 2" xfId="1634"/>
    <cellStyle name="40% - Accent1 3 2 3" xfId="2327"/>
    <cellStyle name="40% - Accent1 3 3" xfId="1287"/>
    <cellStyle name="40% - Accent1 3 4" xfId="1980"/>
    <cellStyle name="40% - Accent1 4" xfId="533"/>
    <cellStyle name="40% - Accent1 4 2" xfId="1462"/>
    <cellStyle name="40% - Accent1 4 3" xfId="2155"/>
    <cellStyle name="40% - Accent1 5" xfId="918"/>
    <cellStyle name="40% - Accent1 6" xfId="1115"/>
    <cellStyle name="40% - Accent1 7" xfId="1808"/>
    <cellStyle name="40% - Accent2" xfId="48"/>
    <cellStyle name="40% - Accent2 2" xfId="153"/>
    <cellStyle name="40% - Accent2 2 2" xfId="397"/>
    <cellStyle name="40% - Accent2 2 2 2" xfId="775"/>
    <cellStyle name="40% - Accent2 2 2 2 2" xfId="1681"/>
    <cellStyle name="40% - Accent2 2 2 2 3" xfId="2374"/>
    <cellStyle name="40% - Accent2 2 2 3" xfId="1334"/>
    <cellStyle name="40% - Accent2 2 2 4" xfId="2027"/>
    <cellStyle name="40% - Accent2 2 3" xfId="580"/>
    <cellStyle name="40% - Accent2 2 3 2" xfId="1509"/>
    <cellStyle name="40% - Accent2 2 3 3" xfId="2202"/>
    <cellStyle name="40% - Accent2 2 4" xfId="977"/>
    <cellStyle name="40% - Accent2 2 5" xfId="1162"/>
    <cellStyle name="40% - Accent2 2 6" xfId="1855"/>
    <cellStyle name="40% - Accent2 3" xfId="338"/>
    <cellStyle name="40% - Accent2 3 2" xfId="719"/>
    <cellStyle name="40% - Accent2 3 2 2" xfId="1635"/>
    <cellStyle name="40% - Accent2 3 2 3" xfId="2328"/>
    <cellStyle name="40% - Accent2 3 3" xfId="1288"/>
    <cellStyle name="40% - Accent2 3 4" xfId="1981"/>
    <cellStyle name="40% - Accent2 4" xfId="534"/>
    <cellStyle name="40% - Accent2 4 2" xfId="1463"/>
    <cellStyle name="40% - Accent2 4 3" xfId="2156"/>
    <cellStyle name="40% - Accent2 5" xfId="919"/>
    <cellStyle name="40% - Accent2 6" xfId="1116"/>
    <cellStyle name="40% - Accent2 7" xfId="1809"/>
    <cellStyle name="40% - Accent3" xfId="49"/>
    <cellStyle name="40% - Accent3 2" xfId="154"/>
    <cellStyle name="40% - Accent3 2 2" xfId="398"/>
    <cellStyle name="40% - Accent3 2 2 2" xfId="776"/>
    <cellStyle name="40% - Accent3 2 2 2 2" xfId="1682"/>
    <cellStyle name="40% - Accent3 2 2 2 3" xfId="2375"/>
    <cellStyle name="40% - Accent3 2 2 3" xfId="1335"/>
    <cellStyle name="40% - Accent3 2 2 4" xfId="2028"/>
    <cellStyle name="40% - Accent3 2 3" xfId="581"/>
    <cellStyle name="40% - Accent3 2 3 2" xfId="1510"/>
    <cellStyle name="40% - Accent3 2 3 3" xfId="2203"/>
    <cellStyle name="40% - Accent3 2 4" xfId="978"/>
    <cellStyle name="40% - Accent3 2 5" xfId="1163"/>
    <cellStyle name="40% - Accent3 2 6" xfId="1856"/>
    <cellStyle name="40% - Accent3 3" xfId="339"/>
    <cellStyle name="40% - Accent3 3 2" xfId="720"/>
    <cellStyle name="40% - Accent3 3 2 2" xfId="1636"/>
    <cellStyle name="40% - Accent3 3 2 3" xfId="2329"/>
    <cellStyle name="40% - Accent3 3 3" xfId="1289"/>
    <cellStyle name="40% - Accent3 3 4" xfId="1982"/>
    <cellStyle name="40% - Accent3 4" xfId="535"/>
    <cellStyle name="40% - Accent3 4 2" xfId="1464"/>
    <cellStyle name="40% - Accent3 4 3" xfId="2157"/>
    <cellStyle name="40% - Accent3 5" xfId="920"/>
    <cellStyle name="40% - Accent3 6" xfId="1117"/>
    <cellStyle name="40% - Accent3 7" xfId="1810"/>
    <cellStyle name="40% - Accent4" xfId="50"/>
    <cellStyle name="40% - Accent4 2" xfId="155"/>
    <cellStyle name="40% - Accent4 2 2" xfId="399"/>
    <cellStyle name="40% - Accent4 2 2 2" xfId="777"/>
    <cellStyle name="40% - Accent4 2 2 2 2" xfId="1683"/>
    <cellStyle name="40% - Accent4 2 2 2 3" xfId="2376"/>
    <cellStyle name="40% - Accent4 2 2 3" xfId="1336"/>
    <cellStyle name="40% - Accent4 2 2 4" xfId="2029"/>
    <cellStyle name="40% - Accent4 2 3" xfId="582"/>
    <cellStyle name="40% - Accent4 2 3 2" xfId="1511"/>
    <cellStyle name="40% - Accent4 2 3 3" xfId="2204"/>
    <cellStyle name="40% - Accent4 2 4" xfId="979"/>
    <cellStyle name="40% - Accent4 2 5" xfId="1164"/>
    <cellStyle name="40% - Accent4 2 6" xfId="1857"/>
    <cellStyle name="40% - Accent4 3" xfId="340"/>
    <cellStyle name="40% - Accent4 3 2" xfId="721"/>
    <cellStyle name="40% - Accent4 3 2 2" xfId="1637"/>
    <cellStyle name="40% - Accent4 3 2 3" xfId="2330"/>
    <cellStyle name="40% - Accent4 3 3" xfId="1290"/>
    <cellStyle name="40% - Accent4 3 4" xfId="1983"/>
    <cellStyle name="40% - Accent4 4" xfId="536"/>
    <cellStyle name="40% - Accent4 4 2" xfId="1465"/>
    <cellStyle name="40% - Accent4 4 3" xfId="2158"/>
    <cellStyle name="40% - Accent4 5" xfId="921"/>
    <cellStyle name="40% - Accent4 6" xfId="1118"/>
    <cellStyle name="40% - Accent4 7" xfId="1811"/>
    <cellStyle name="40% - Accent5" xfId="51"/>
    <cellStyle name="40% - Accent5 2" xfId="156"/>
    <cellStyle name="40% - Accent5 2 2" xfId="400"/>
    <cellStyle name="40% - Accent5 2 2 2" xfId="778"/>
    <cellStyle name="40% - Accent5 2 2 2 2" xfId="1684"/>
    <cellStyle name="40% - Accent5 2 2 2 3" xfId="2377"/>
    <cellStyle name="40% - Accent5 2 2 3" xfId="1337"/>
    <cellStyle name="40% - Accent5 2 2 4" xfId="2030"/>
    <cellStyle name="40% - Accent5 2 3" xfId="583"/>
    <cellStyle name="40% - Accent5 2 3 2" xfId="1512"/>
    <cellStyle name="40% - Accent5 2 3 3" xfId="2205"/>
    <cellStyle name="40% - Accent5 2 4" xfId="980"/>
    <cellStyle name="40% - Accent5 2 5" xfId="1165"/>
    <cellStyle name="40% - Accent5 2 6" xfId="1858"/>
    <cellStyle name="40% - Accent5 3" xfId="341"/>
    <cellStyle name="40% - Accent5 3 2" xfId="722"/>
    <cellStyle name="40% - Accent5 3 2 2" xfId="1638"/>
    <cellStyle name="40% - Accent5 3 2 3" xfId="2331"/>
    <cellStyle name="40% - Accent5 3 3" xfId="1291"/>
    <cellStyle name="40% - Accent5 3 4" xfId="1984"/>
    <cellStyle name="40% - Accent5 4" xfId="537"/>
    <cellStyle name="40% - Accent5 4 2" xfId="1466"/>
    <cellStyle name="40% - Accent5 4 3" xfId="2159"/>
    <cellStyle name="40% - Accent5 5" xfId="922"/>
    <cellStyle name="40% - Accent5 6" xfId="1119"/>
    <cellStyle name="40% - Accent5 7" xfId="1812"/>
    <cellStyle name="40% - Accent6" xfId="52"/>
    <cellStyle name="40% - Accent6 2" xfId="157"/>
    <cellStyle name="40% - Accent6 2 2" xfId="401"/>
    <cellStyle name="40% - Accent6 2 2 2" xfId="779"/>
    <cellStyle name="40% - Accent6 2 2 2 2" xfId="1685"/>
    <cellStyle name="40% - Accent6 2 2 2 3" xfId="2378"/>
    <cellStyle name="40% - Accent6 2 2 3" xfId="1338"/>
    <cellStyle name="40% - Accent6 2 2 4" xfId="2031"/>
    <cellStyle name="40% - Accent6 2 3" xfId="584"/>
    <cellStyle name="40% - Accent6 2 3 2" xfId="1513"/>
    <cellStyle name="40% - Accent6 2 3 3" xfId="2206"/>
    <cellStyle name="40% - Accent6 2 4" xfId="981"/>
    <cellStyle name="40% - Accent6 2 5" xfId="1166"/>
    <cellStyle name="40% - Accent6 2 6" xfId="1859"/>
    <cellStyle name="40% - Accent6 3" xfId="342"/>
    <cellStyle name="40% - Accent6 3 2" xfId="723"/>
    <cellStyle name="40% - Accent6 3 2 2" xfId="1639"/>
    <cellStyle name="40% - Accent6 3 2 3" xfId="2332"/>
    <cellStyle name="40% - Accent6 3 3" xfId="1292"/>
    <cellStyle name="40% - Accent6 3 4" xfId="1985"/>
    <cellStyle name="40% - Accent6 4" xfId="538"/>
    <cellStyle name="40% - Accent6 4 2" xfId="1467"/>
    <cellStyle name="40% - Accent6 4 3" xfId="2160"/>
    <cellStyle name="40% - Accent6 5" xfId="923"/>
    <cellStyle name="40% - Accent6 6" xfId="1120"/>
    <cellStyle name="40% - Accent6 7" xfId="1813"/>
    <cellStyle name="40% - uthevingsfarge 1 2" xfId="205"/>
    <cellStyle name="40% - uthevingsfarge 2 2" xfId="206"/>
    <cellStyle name="40% - uthevingsfarge 3 2" xfId="207"/>
    <cellStyle name="40% - uthevingsfarge 4 2" xfId="208"/>
    <cellStyle name="40% - uthevingsfarge 5 2" xfId="209"/>
    <cellStyle name="40% - uthevingsfarge 5 2 2" xfId="210"/>
    <cellStyle name="40% - uthevingsfarge 5 2 2 2" xfId="211"/>
    <cellStyle name="40% - uthevingsfarge 5 2 2 2 2" xfId="212"/>
    <cellStyle name="40% - uthevingsfarge 5 2 2 2 2 2" xfId="447"/>
    <cellStyle name="40% - uthevingsfarge 5 2 2 2 2 2 2" xfId="822"/>
    <cellStyle name="40% - uthevingsfarge 5 2 2 2 2 2 2 2" xfId="1728"/>
    <cellStyle name="40% - uthevingsfarge 5 2 2 2 2 2 2 3" xfId="2421"/>
    <cellStyle name="40% - uthevingsfarge 5 2 2 2 2 2 3" xfId="1381"/>
    <cellStyle name="40% - uthevingsfarge 5 2 2 2 2 2 4" xfId="2074"/>
    <cellStyle name="40% - uthevingsfarge 5 2 2 2 2 3" xfId="627"/>
    <cellStyle name="40% - uthevingsfarge 5 2 2 2 2 3 2" xfId="1556"/>
    <cellStyle name="40% - uthevingsfarge 5 2 2 2 2 3 3" xfId="2249"/>
    <cellStyle name="40% - uthevingsfarge 5 2 2 2 2 4" xfId="1024"/>
    <cellStyle name="40% - uthevingsfarge 5 2 2 2 2 5" xfId="1209"/>
    <cellStyle name="40% - uthevingsfarge 5 2 2 2 2 6" xfId="1902"/>
    <cellStyle name="40% - uthevingsfarge 5 2 2 2 3" xfId="446"/>
    <cellStyle name="40% - uthevingsfarge 5 2 2 2 3 2" xfId="821"/>
    <cellStyle name="40% - uthevingsfarge 5 2 2 2 3 2 2" xfId="1727"/>
    <cellStyle name="40% - uthevingsfarge 5 2 2 2 3 2 3" xfId="2420"/>
    <cellStyle name="40% - uthevingsfarge 5 2 2 2 3 3" xfId="1380"/>
    <cellStyle name="40% - uthevingsfarge 5 2 2 2 3 4" xfId="2073"/>
    <cellStyle name="40% - uthevingsfarge 5 2 2 2 4" xfId="626"/>
    <cellStyle name="40% - uthevingsfarge 5 2 2 2 4 2" xfId="1555"/>
    <cellStyle name="40% - uthevingsfarge 5 2 2 2 4 3" xfId="2248"/>
    <cellStyle name="40% - uthevingsfarge 5 2 2 2 5" xfId="1023"/>
    <cellStyle name="40% - uthevingsfarge 5 2 2 2 6" xfId="1208"/>
    <cellStyle name="40% - uthevingsfarge 5 2 2 2 7" xfId="1901"/>
    <cellStyle name="40% - uthevingsfarge 5 2 2 3" xfId="213"/>
    <cellStyle name="40% - uthevingsfarge 5 2 2 3 2" xfId="448"/>
    <cellStyle name="40% - uthevingsfarge 5 2 2 3 2 2" xfId="823"/>
    <cellStyle name="40% - uthevingsfarge 5 2 2 3 2 2 2" xfId="1729"/>
    <cellStyle name="40% - uthevingsfarge 5 2 2 3 2 2 3" xfId="2422"/>
    <cellStyle name="40% - uthevingsfarge 5 2 2 3 2 3" xfId="1382"/>
    <cellStyle name="40% - uthevingsfarge 5 2 2 3 2 4" xfId="2075"/>
    <cellStyle name="40% - uthevingsfarge 5 2 2 3 3" xfId="628"/>
    <cellStyle name="40% - uthevingsfarge 5 2 2 3 3 2" xfId="1557"/>
    <cellStyle name="40% - uthevingsfarge 5 2 2 3 3 3" xfId="2250"/>
    <cellStyle name="40% - uthevingsfarge 5 2 2 3 4" xfId="1025"/>
    <cellStyle name="40% - uthevingsfarge 5 2 2 3 5" xfId="1210"/>
    <cellStyle name="40% - uthevingsfarge 5 2 2 3 6" xfId="1903"/>
    <cellStyle name="40% - uthevingsfarge 5 2 2 4" xfId="445"/>
    <cellStyle name="40% - uthevingsfarge 5 2 2 4 2" xfId="820"/>
    <cellStyle name="40% - uthevingsfarge 5 2 2 4 2 2" xfId="1726"/>
    <cellStyle name="40% - uthevingsfarge 5 2 2 4 2 3" xfId="2419"/>
    <cellStyle name="40% - uthevingsfarge 5 2 2 4 3" xfId="1379"/>
    <cellStyle name="40% - uthevingsfarge 5 2 2 4 4" xfId="2072"/>
    <cellStyle name="40% - uthevingsfarge 5 2 2 5" xfId="625"/>
    <cellStyle name="40% - uthevingsfarge 5 2 2 5 2" xfId="1554"/>
    <cellStyle name="40% - uthevingsfarge 5 2 2 5 3" xfId="2247"/>
    <cellStyle name="40% - uthevingsfarge 5 2 2 6" xfId="1022"/>
    <cellStyle name="40% - uthevingsfarge 5 2 2 7" xfId="1207"/>
    <cellStyle name="40% - uthevingsfarge 5 2 2 8" xfId="1900"/>
    <cellStyle name="40% - uthevingsfarge 5 2 3" xfId="214"/>
    <cellStyle name="40% - uthevingsfarge 5 2 3 2" xfId="215"/>
    <cellStyle name="40% - uthevingsfarge 5 2 3 2 2" xfId="450"/>
    <cellStyle name="40% - uthevingsfarge 5 2 3 2 2 2" xfId="825"/>
    <cellStyle name="40% - uthevingsfarge 5 2 3 2 2 2 2" xfId="1731"/>
    <cellStyle name="40% - uthevingsfarge 5 2 3 2 2 2 3" xfId="2424"/>
    <cellStyle name="40% - uthevingsfarge 5 2 3 2 2 3" xfId="1384"/>
    <cellStyle name="40% - uthevingsfarge 5 2 3 2 2 4" xfId="2077"/>
    <cellStyle name="40% - uthevingsfarge 5 2 3 2 3" xfId="630"/>
    <cellStyle name="40% - uthevingsfarge 5 2 3 2 3 2" xfId="1559"/>
    <cellStyle name="40% - uthevingsfarge 5 2 3 2 3 3" xfId="2252"/>
    <cellStyle name="40% - uthevingsfarge 5 2 3 2 4" xfId="1027"/>
    <cellStyle name="40% - uthevingsfarge 5 2 3 2 5" xfId="1212"/>
    <cellStyle name="40% - uthevingsfarge 5 2 3 2 6" xfId="1905"/>
    <cellStyle name="40% - uthevingsfarge 5 2 3 3" xfId="449"/>
    <cellStyle name="40% - uthevingsfarge 5 2 3 3 2" xfId="824"/>
    <cellStyle name="40% - uthevingsfarge 5 2 3 3 2 2" xfId="1730"/>
    <cellStyle name="40% - uthevingsfarge 5 2 3 3 2 3" xfId="2423"/>
    <cellStyle name="40% - uthevingsfarge 5 2 3 3 3" xfId="1383"/>
    <cellStyle name="40% - uthevingsfarge 5 2 3 3 4" xfId="2076"/>
    <cellStyle name="40% - uthevingsfarge 5 2 3 4" xfId="629"/>
    <cellStyle name="40% - uthevingsfarge 5 2 3 4 2" xfId="1558"/>
    <cellStyle name="40% - uthevingsfarge 5 2 3 4 3" xfId="2251"/>
    <cellStyle name="40% - uthevingsfarge 5 2 3 5" xfId="1026"/>
    <cellStyle name="40% - uthevingsfarge 5 2 3 6" xfId="1211"/>
    <cellStyle name="40% - uthevingsfarge 5 2 3 7" xfId="1904"/>
    <cellStyle name="40% - uthevingsfarge 5 2 4" xfId="216"/>
    <cellStyle name="40% - uthevingsfarge 5 2 4 2" xfId="451"/>
    <cellStyle name="40% - uthevingsfarge 5 2 4 2 2" xfId="826"/>
    <cellStyle name="40% - uthevingsfarge 5 2 4 2 2 2" xfId="1732"/>
    <cellStyle name="40% - uthevingsfarge 5 2 4 2 2 3" xfId="2425"/>
    <cellStyle name="40% - uthevingsfarge 5 2 4 2 3" xfId="1385"/>
    <cellStyle name="40% - uthevingsfarge 5 2 4 2 4" xfId="2078"/>
    <cellStyle name="40% - uthevingsfarge 5 2 4 3" xfId="631"/>
    <cellStyle name="40% - uthevingsfarge 5 2 4 3 2" xfId="1560"/>
    <cellStyle name="40% - uthevingsfarge 5 2 4 3 3" xfId="2253"/>
    <cellStyle name="40% - uthevingsfarge 5 2 4 4" xfId="1028"/>
    <cellStyle name="40% - uthevingsfarge 5 2 4 5" xfId="1213"/>
    <cellStyle name="40% - uthevingsfarge 5 2 4 6" xfId="1906"/>
    <cellStyle name="40% - uthevingsfarge 5 2 5" xfId="444"/>
    <cellStyle name="40% - uthevingsfarge 5 2 5 2" xfId="819"/>
    <cellStyle name="40% - uthevingsfarge 5 2 5 2 2" xfId="1725"/>
    <cellStyle name="40% - uthevingsfarge 5 2 5 2 3" xfId="2418"/>
    <cellStyle name="40% - uthevingsfarge 5 2 5 3" xfId="1378"/>
    <cellStyle name="40% - uthevingsfarge 5 2 5 4" xfId="2071"/>
    <cellStyle name="40% - uthevingsfarge 5 2 6" xfId="624"/>
    <cellStyle name="40% - uthevingsfarge 5 2 6 2" xfId="1553"/>
    <cellStyle name="40% - uthevingsfarge 5 2 6 3" xfId="2246"/>
    <cellStyle name="40% - uthevingsfarge 5 2 7" xfId="1021"/>
    <cellStyle name="40% - uthevingsfarge 5 2 8" xfId="1206"/>
    <cellStyle name="40% - uthevingsfarge 5 2 9" xfId="1899"/>
    <cellStyle name="40% - uthevingsfarge 5 3" xfId="217"/>
    <cellStyle name="40% - uthevingsfarge 5 4" xfId="218"/>
    <cellStyle name="40% - uthevingsfarge 5 4 2" xfId="219"/>
    <cellStyle name="40% - uthevingsfarge 5 4 2 2" xfId="220"/>
    <cellStyle name="40% - uthevingsfarge 5 4 2 2 2" xfId="221"/>
    <cellStyle name="40% - uthevingsfarge 5 4 2 2 2 2" xfId="455"/>
    <cellStyle name="40% - uthevingsfarge 5 4 2 2 2 2 2" xfId="830"/>
    <cellStyle name="40% - uthevingsfarge 5 4 2 2 2 2 2 2" xfId="1736"/>
    <cellStyle name="40% - uthevingsfarge 5 4 2 2 2 2 2 3" xfId="2429"/>
    <cellStyle name="40% - uthevingsfarge 5 4 2 2 2 2 3" xfId="1389"/>
    <cellStyle name="40% - uthevingsfarge 5 4 2 2 2 2 4" xfId="2082"/>
    <cellStyle name="40% - uthevingsfarge 5 4 2 2 2 3" xfId="635"/>
    <cellStyle name="40% - uthevingsfarge 5 4 2 2 2 3 2" xfId="1564"/>
    <cellStyle name="40% - uthevingsfarge 5 4 2 2 2 3 3" xfId="2257"/>
    <cellStyle name="40% - uthevingsfarge 5 4 2 2 2 4" xfId="1032"/>
    <cellStyle name="40% - uthevingsfarge 5 4 2 2 2 5" xfId="1217"/>
    <cellStyle name="40% - uthevingsfarge 5 4 2 2 2 6" xfId="1910"/>
    <cellStyle name="40% - uthevingsfarge 5 4 2 2 3" xfId="454"/>
    <cellStyle name="40% - uthevingsfarge 5 4 2 2 3 2" xfId="829"/>
    <cellStyle name="40% - uthevingsfarge 5 4 2 2 3 2 2" xfId="1735"/>
    <cellStyle name="40% - uthevingsfarge 5 4 2 2 3 2 3" xfId="2428"/>
    <cellStyle name="40% - uthevingsfarge 5 4 2 2 3 3" xfId="1388"/>
    <cellStyle name="40% - uthevingsfarge 5 4 2 2 3 4" xfId="2081"/>
    <cellStyle name="40% - uthevingsfarge 5 4 2 2 4" xfId="634"/>
    <cellStyle name="40% - uthevingsfarge 5 4 2 2 4 2" xfId="1563"/>
    <cellStyle name="40% - uthevingsfarge 5 4 2 2 4 3" xfId="2256"/>
    <cellStyle name="40% - uthevingsfarge 5 4 2 2 5" xfId="1031"/>
    <cellStyle name="40% - uthevingsfarge 5 4 2 2 6" xfId="1216"/>
    <cellStyle name="40% - uthevingsfarge 5 4 2 2 7" xfId="1909"/>
    <cellStyle name="40% - uthevingsfarge 5 4 2 3" xfId="222"/>
    <cellStyle name="40% - uthevingsfarge 5 4 2 3 2" xfId="456"/>
    <cellStyle name="40% - uthevingsfarge 5 4 2 3 2 2" xfId="831"/>
    <cellStyle name="40% - uthevingsfarge 5 4 2 3 2 2 2" xfId="1737"/>
    <cellStyle name="40% - uthevingsfarge 5 4 2 3 2 2 3" xfId="2430"/>
    <cellStyle name="40% - uthevingsfarge 5 4 2 3 2 3" xfId="1390"/>
    <cellStyle name="40% - uthevingsfarge 5 4 2 3 2 4" xfId="2083"/>
    <cellStyle name="40% - uthevingsfarge 5 4 2 3 3" xfId="636"/>
    <cellStyle name="40% - uthevingsfarge 5 4 2 3 3 2" xfId="1565"/>
    <cellStyle name="40% - uthevingsfarge 5 4 2 3 3 3" xfId="2258"/>
    <cellStyle name="40% - uthevingsfarge 5 4 2 3 4" xfId="1033"/>
    <cellStyle name="40% - uthevingsfarge 5 4 2 3 5" xfId="1218"/>
    <cellStyle name="40% - uthevingsfarge 5 4 2 3 6" xfId="1911"/>
    <cellStyle name="40% - uthevingsfarge 5 4 2 4" xfId="453"/>
    <cellStyle name="40% - uthevingsfarge 5 4 2 4 2" xfId="828"/>
    <cellStyle name="40% - uthevingsfarge 5 4 2 4 2 2" xfId="1734"/>
    <cellStyle name="40% - uthevingsfarge 5 4 2 4 2 3" xfId="2427"/>
    <cellStyle name="40% - uthevingsfarge 5 4 2 4 3" xfId="1387"/>
    <cellStyle name="40% - uthevingsfarge 5 4 2 4 4" xfId="2080"/>
    <cellStyle name="40% - uthevingsfarge 5 4 2 5" xfId="633"/>
    <cellStyle name="40% - uthevingsfarge 5 4 2 5 2" xfId="1562"/>
    <cellStyle name="40% - uthevingsfarge 5 4 2 5 3" xfId="2255"/>
    <cellStyle name="40% - uthevingsfarge 5 4 2 6" xfId="1030"/>
    <cellStyle name="40% - uthevingsfarge 5 4 2 7" xfId="1215"/>
    <cellStyle name="40% - uthevingsfarge 5 4 2 8" xfId="1908"/>
    <cellStyle name="40% - uthevingsfarge 5 4 3" xfId="223"/>
    <cellStyle name="40% - uthevingsfarge 5 4 3 2" xfId="224"/>
    <cellStyle name="40% - uthevingsfarge 5 4 3 2 2" xfId="458"/>
    <cellStyle name="40% - uthevingsfarge 5 4 3 2 2 2" xfId="833"/>
    <cellStyle name="40% - uthevingsfarge 5 4 3 2 2 2 2" xfId="1739"/>
    <cellStyle name="40% - uthevingsfarge 5 4 3 2 2 2 3" xfId="2432"/>
    <cellStyle name="40% - uthevingsfarge 5 4 3 2 2 3" xfId="1392"/>
    <cellStyle name="40% - uthevingsfarge 5 4 3 2 2 4" xfId="2085"/>
    <cellStyle name="40% - uthevingsfarge 5 4 3 2 3" xfId="638"/>
    <cellStyle name="40% - uthevingsfarge 5 4 3 2 3 2" xfId="1567"/>
    <cellStyle name="40% - uthevingsfarge 5 4 3 2 3 3" xfId="2260"/>
    <cellStyle name="40% - uthevingsfarge 5 4 3 2 4" xfId="1035"/>
    <cellStyle name="40% - uthevingsfarge 5 4 3 2 5" xfId="1220"/>
    <cellStyle name="40% - uthevingsfarge 5 4 3 2 6" xfId="1913"/>
    <cellStyle name="40% - uthevingsfarge 5 4 3 3" xfId="457"/>
    <cellStyle name="40% - uthevingsfarge 5 4 3 3 2" xfId="832"/>
    <cellStyle name="40% - uthevingsfarge 5 4 3 3 2 2" xfId="1738"/>
    <cellStyle name="40% - uthevingsfarge 5 4 3 3 2 3" xfId="2431"/>
    <cellStyle name="40% - uthevingsfarge 5 4 3 3 3" xfId="1391"/>
    <cellStyle name="40% - uthevingsfarge 5 4 3 3 4" xfId="2084"/>
    <cellStyle name="40% - uthevingsfarge 5 4 3 4" xfId="637"/>
    <cellStyle name="40% - uthevingsfarge 5 4 3 4 2" xfId="1566"/>
    <cellStyle name="40% - uthevingsfarge 5 4 3 4 3" xfId="2259"/>
    <cellStyle name="40% - uthevingsfarge 5 4 3 5" xfId="1034"/>
    <cellStyle name="40% - uthevingsfarge 5 4 3 6" xfId="1219"/>
    <cellStyle name="40% - uthevingsfarge 5 4 3 7" xfId="1912"/>
    <cellStyle name="40% - uthevingsfarge 5 4 4" xfId="225"/>
    <cellStyle name="40% - uthevingsfarge 5 4 4 2" xfId="459"/>
    <cellStyle name="40% - uthevingsfarge 5 4 4 2 2" xfId="834"/>
    <cellStyle name="40% - uthevingsfarge 5 4 4 2 2 2" xfId="1740"/>
    <cellStyle name="40% - uthevingsfarge 5 4 4 2 2 3" xfId="2433"/>
    <cellStyle name="40% - uthevingsfarge 5 4 4 2 3" xfId="1393"/>
    <cellStyle name="40% - uthevingsfarge 5 4 4 2 4" xfId="2086"/>
    <cellStyle name="40% - uthevingsfarge 5 4 4 3" xfId="639"/>
    <cellStyle name="40% - uthevingsfarge 5 4 4 3 2" xfId="1568"/>
    <cellStyle name="40% - uthevingsfarge 5 4 4 3 3" xfId="2261"/>
    <cellStyle name="40% - uthevingsfarge 5 4 4 4" xfId="1036"/>
    <cellStyle name="40% - uthevingsfarge 5 4 4 5" xfId="1221"/>
    <cellStyle name="40% - uthevingsfarge 5 4 4 6" xfId="1914"/>
    <cellStyle name="40% - uthevingsfarge 5 4 5" xfId="452"/>
    <cellStyle name="40% - uthevingsfarge 5 4 5 2" xfId="827"/>
    <cellStyle name="40% - uthevingsfarge 5 4 5 2 2" xfId="1733"/>
    <cellStyle name="40% - uthevingsfarge 5 4 5 2 3" xfId="2426"/>
    <cellStyle name="40% - uthevingsfarge 5 4 5 3" xfId="1386"/>
    <cellStyle name="40% - uthevingsfarge 5 4 5 4" xfId="2079"/>
    <cellStyle name="40% - uthevingsfarge 5 4 6" xfId="632"/>
    <cellStyle name="40% - uthevingsfarge 5 4 6 2" xfId="1561"/>
    <cellStyle name="40% - uthevingsfarge 5 4 6 3" xfId="2254"/>
    <cellStyle name="40% - uthevingsfarge 5 4 7" xfId="1029"/>
    <cellStyle name="40% - uthevingsfarge 5 4 8" xfId="1214"/>
    <cellStyle name="40% - uthevingsfarge 5 4 9" xfId="1907"/>
    <cellStyle name="40% - uthevingsfarge 6 2" xfId="226"/>
    <cellStyle name="60% - Accent1" xfId="53"/>
    <cellStyle name="60% - Accent2" xfId="54"/>
    <cellStyle name="60% - Accent3" xfId="55"/>
    <cellStyle name="60% - Accent4" xfId="56"/>
    <cellStyle name="60% - Accent5" xfId="57"/>
    <cellStyle name="60% - Accent6" xfId="58"/>
    <cellStyle name="60% - uthevingsfarge 1 2" xfId="227"/>
    <cellStyle name="60% - uthevingsfarge 2 2" xfId="228"/>
    <cellStyle name="60% - uthevingsfarge 3 2" xfId="229"/>
    <cellStyle name="60% - uthevingsfarge 4 2" xfId="230"/>
    <cellStyle name="60% - uthevingsfarge 5 2" xfId="231"/>
    <cellStyle name="60% - uthevingsfarge 6 2" xfId="232"/>
    <cellStyle name="Accent1" xfId="59"/>
    <cellStyle name="Accent2" xfId="60"/>
    <cellStyle name="Accent3" xfId="61"/>
    <cellStyle name="Accent4" xfId="62"/>
    <cellStyle name="Accent5" xfId="19"/>
    <cellStyle name="Accent6" xfId="63"/>
    <cellStyle name="Bad" xfId="64"/>
    <cellStyle name="Beregning 2" xfId="233"/>
    <cellStyle name="Beregning 2 2" xfId="460"/>
    <cellStyle name="Beregning 2 3" xfId="1089"/>
    <cellStyle name="Calculation" xfId="65"/>
    <cellStyle name="Check Cell" xfId="66"/>
    <cellStyle name="Comma 13" xfId="1082"/>
    <cellStyle name="Comma 2" xfId="67"/>
    <cellStyle name="Comma 2 2" xfId="83"/>
    <cellStyle name="Comma 2 2 2" xfId="345"/>
    <cellStyle name="Comma 2 2 2 2" xfId="726"/>
    <cellStyle name="Comma 2 2 3" xfId="927"/>
    <cellStyle name="Comma 2 3" xfId="343"/>
    <cellStyle name="Comma 2 3 2" xfId="724"/>
    <cellStyle name="Comma 2 4" xfId="925"/>
    <cellStyle name="Comma 2_Kontantstrøm-direkte" xfId="82"/>
    <cellStyle name="Comma 3" xfId="881"/>
    <cellStyle name="Dårlig 2" xfId="234"/>
    <cellStyle name="Explanatory Text" xfId="68"/>
    <cellStyle name="Forklarende tekst 2" xfId="235"/>
    <cellStyle name="God 2" xfId="236"/>
    <cellStyle name="Good" xfId="69"/>
    <cellStyle name="Heading 1" xfId="70"/>
    <cellStyle name="Heading 2" xfId="71"/>
    <cellStyle name="Heading 3" xfId="72"/>
    <cellStyle name="Heading 4" xfId="73"/>
    <cellStyle name="Hyperkobling" xfId="2477" builtinId="8"/>
    <cellStyle name="Inndata 2" xfId="237"/>
    <cellStyle name="Inndata 2 2" xfId="461"/>
    <cellStyle name="Inndata 2 3" xfId="1084"/>
    <cellStyle name="Input" xfId="74"/>
    <cellStyle name="Koblet celle 2" xfId="238"/>
    <cellStyle name="Komma 2" xfId="8"/>
    <cellStyle name="Komma 2 2" xfId="9"/>
    <cellStyle name="Komma 2 2 2" xfId="84"/>
    <cellStyle name="Komma 2 2 2 2" xfId="346"/>
    <cellStyle name="Komma 2 2 2 2 2" xfId="727"/>
    <cellStyle name="Komma 2 2 2 3" xfId="928"/>
    <cellStyle name="Komma 2 2 3" xfId="303"/>
    <cellStyle name="Komma 2 2 3 2" xfId="684"/>
    <cellStyle name="Komma 2 2 4" xfId="884"/>
    <cellStyle name="Komma 2 3" xfId="85"/>
    <cellStyle name="Komma 2 3 2" xfId="347"/>
    <cellStyle name="Komma 2 3 2 2" xfId="728"/>
    <cellStyle name="Komma 2 3 3" xfId="929"/>
    <cellStyle name="Komma 2 4" xfId="302"/>
    <cellStyle name="Komma 2 4 2" xfId="683"/>
    <cellStyle name="Komma 2 5" xfId="883"/>
    <cellStyle name="Komma 3" xfId="10"/>
    <cellStyle name="Komma 3 2" xfId="11"/>
    <cellStyle name="Komma 3 2 2" xfId="86"/>
    <cellStyle name="Komma 3 2 2 2" xfId="239"/>
    <cellStyle name="Komma 3 2 2 2 2" xfId="462"/>
    <cellStyle name="Komma 3 2 2 2 2 2" xfId="835"/>
    <cellStyle name="Komma 3 2 2 2 2 2 2" xfId="1741"/>
    <cellStyle name="Komma 3 2 2 2 2 2 3" xfId="2434"/>
    <cellStyle name="Komma 3 2 2 2 2 3" xfId="1394"/>
    <cellStyle name="Komma 3 2 2 2 2 4" xfId="2087"/>
    <cellStyle name="Komma 3 2 2 2 3" xfId="640"/>
    <cellStyle name="Komma 3 2 2 2 3 2" xfId="1569"/>
    <cellStyle name="Komma 3 2 2 2 3 3" xfId="2262"/>
    <cellStyle name="Komma 3 2 2 2 4" xfId="1038"/>
    <cellStyle name="Komma 3 2 2 2 5" xfId="1222"/>
    <cellStyle name="Komma 3 2 2 2 6" xfId="1915"/>
    <cellStyle name="Komma 3 2 2 3" xfId="348"/>
    <cellStyle name="Komma 3 2 2 3 2" xfId="729"/>
    <cellStyle name="Komma 3 2 2 4" xfId="930"/>
    <cellStyle name="Komma 3 2 3" xfId="240"/>
    <cellStyle name="Komma 3 2 3 2" xfId="463"/>
    <cellStyle name="Komma 3 2 3 2 2" xfId="836"/>
    <cellStyle name="Komma 3 2 3 2 2 2" xfId="1742"/>
    <cellStyle name="Komma 3 2 3 2 2 3" xfId="2435"/>
    <cellStyle name="Komma 3 2 3 2 3" xfId="1395"/>
    <cellStyle name="Komma 3 2 3 2 4" xfId="2088"/>
    <cellStyle name="Komma 3 2 3 3" xfId="641"/>
    <cellStyle name="Komma 3 2 3 3 2" xfId="1570"/>
    <cellStyle name="Komma 3 2 3 3 3" xfId="2263"/>
    <cellStyle name="Komma 3 2 3 4" xfId="1039"/>
    <cellStyle name="Komma 3 2 3 5" xfId="1223"/>
    <cellStyle name="Komma 3 2 3 6" xfId="1916"/>
    <cellStyle name="Komma 3 2 4" xfId="305"/>
    <cellStyle name="Komma 3 2 4 2" xfId="686"/>
    <cellStyle name="Komma 3 2 5" xfId="886"/>
    <cellStyle name="Komma 3 3" xfId="87"/>
    <cellStyle name="Komma 3 3 2" xfId="241"/>
    <cellStyle name="Komma 3 3 2 2" xfId="464"/>
    <cellStyle name="Komma 3 3 2 2 2" xfId="837"/>
    <cellStyle name="Komma 3 3 2 2 2 2" xfId="1743"/>
    <cellStyle name="Komma 3 3 2 2 2 3" xfId="2436"/>
    <cellStyle name="Komma 3 3 2 2 3" xfId="1396"/>
    <cellStyle name="Komma 3 3 2 2 4" xfId="2089"/>
    <cellStyle name="Komma 3 3 2 3" xfId="642"/>
    <cellStyle name="Komma 3 3 2 3 2" xfId="1571"/>
    <cellStyle name="Komma 3 3 2 3 3" xfId="2264"/>
    <cellStyle name="Komma 3 3 2 4" xfId="1040"/>
    <cellStyle name="Komma 3 3 2 5" xfId="1224"/>
    <cellStyle name="Komma 3 3 2 6" xfId="1917"/>
    <cellStyle name="Komma 3 3 3" xfId="349"/>
    <cellStyle name="Komma 3 3 3 2" xfId="730"/>
    <cellStyle name="Komma 3 3 4" xfId="931"/>
    <cellStyle name="Komma 3 4" xfId="242"/>
    <cellStyle name="Komma 3 4 2" xfId="465"/>
    <cellStyle name="Komma 3 4 2 2" xfId="838"/>
    <cellStyle name="Komma 3 4 2 2 2" xfId="1744"/>
    <cellStyle name="Komma 3 4 2 2 3" xfId="2437"/>
    <cellStyle name="Komma 3 4 2 3" xfId="1397"/>
    <cellStyle name="Komma 3 4 2 4" xfId="2090"/>
    <cellStyle name="Komma 3 4 3" xfId="643"/>
    <cellStyle name="Komma 3 4 3 2" xfId="1572"/>
    <cellStyle name="Komma 3 4 3 3" xfId="2265"/>
    <cellStyle name="Komma 3 4 4" xfId="1041"/>
    <cellStyle name="Komma 3 4 5" xfId="1225"/>
    <cellStyle name="Komma 3 4 6" xfId="1918"/>
    <cellStyle name="Komma 3 5" xfId="304"/>
    <cellStyle name="Komma 3 5 2" xfId="685"/>
    <cellStyle name="Komma 3 6" xfId="885"/>
    <cellStyle name="Komma 4" xfId="12"/>
    <cellStyle name="Komma 4 2" xfId="88"/>
    <cellStyle name="Komma 4 2 2" xfId="243"/>
    <cellStyle name="Komma 4 2 2 2" xfId="466"/>
    <cellStyle name="Komma 4 2 2 2 2" xfId="839"/>
    <cellStyle name="Komma 4 2 2 2 2 2" xfId="1745"/>
    <cellStyle name="Komma 4 2 2 2 2 3" xfId="2438"/>
    <cellStyle name="Komma 4 2 2 2 3" xfId="1398"/>
    <cellStyle name="Komma 4 2 2 2 4" xfId="2091"/>
    <cellStyle name="Komma 4 2 2 3" xfId="644"/>
    <cellStyle name="Komma 4 2 2 3 2" xfId="1573"/>
    <cellStyle name="Komma 4 2 2 3 3" xfId="2266"/>
    <cellStyle name="Komma 4 2 2 4" xfId="1042"/>
    <cellStyle name="Komma 4 2 2 5" xfId="1226"/>
    <cellStyle name="Komma 4 2 2 6" xfId="1919"/>
    <cellStyle name="Komma 4 2 3" xfId="350"/>
    <cellStyle name="Komma 4 2 3 2" xfId="731"/>
    <cellStyle name="Komma 4 2 4" xfId="932"/>
    <cellStyle name="Komma 4 3" xfId="244"/>
    <cellStyle name="Komma 4 3 2" xfId="299"/>
    <cellStyle name="Komma 4 3 2 2" xfId="505"/>
    <cellStyle name="Komma 4 3 2 2 2" xfId="876"/>
    <cellStyle name="Komma 4 3 2 3" xfId="1079"/>
    <cellStyle name="Komma 4 3 3" xfId="467"/>
    <cellStyle name="Komma 4 3 3 2" xfId="840"/>
    <cellStyle name="Komma 4 3 3 2 2" xfId="1746"/>
    <cellStyle name="Komma 4 3 3 2 3" xfId="2439"/>
    <cellStyle name="Komma 4 3 3 3" xfId="1399"/>
    <cellStyle name="Komma 4 3 3 4" xfId="2092"/>
    <cellStyle name="Komma 4 3 4" xfId="645"/>
    <cellStyle name="Komma 4 3 4 2" xfId="1574"/>
    <cellStyle name="Komma 4 3 4 3" xfId="2267"/>
    <cellStyle name="Komma 4 3 5" xfId="1043"/>
    <cellStyle name="Komma 4 3 6" xfId="1227"/>
    <cellStyle name="Komma 4 3 7" xfId="1920"/>
    <cellStyle name="Komma 4 4" xfId="245"/>
    <cellStyle name="Komma 4 4 2" xfId="468"/>
    <cellStyle name="Komma 4 4 2 2" xfId="841"/>
    <cellStyle name="Komma 4 4 2 2 2" xfId="1747"/>
    <cellStyle name="Komma 4 4 2 2 3" xfId="2440"/>
    <cellStyle name="Komma 4 4 2 3" xfId="1400"/>
    <cellStyle name="Komma 4 4 2 4" xfId="2093"/>
    <cellStyle name="Komma 4 4 3" xfId="646"/>
    <cellStyle name="Komma 4 4 3 2" xfId="1575"/>
    <cellStyle name="Komma 4 4 3 3" xfId="2268"/>
    <cellStyle name="Komma 4 4 4" xfId="1044"/>
    <cellStyle name="Komma 4 4 5" xfId="1228"/>
    <cellStyle name="Komma 4 4 6" xfId="1921"/>
    <cellStyle name="Komma 4 5" xfId="306"/>
    <cellStyle name="Komma 4 5 2" xfId="687"/>
    <cellStyle name="Komma 4 6" xfId="887"/>
    <cellStyle name="Komma 5" xfId="13"/>
    <cellStyle name="Komma 5 2" xfId="89"/>
    <cellStyle name="Komma 5 2 2" xfId="351"/>
    <cellStyle name="Komma 5 2 2 2" xfId="732"/>
    <cellStyle name="Komma 5 2 3" xfId="933"/>
    <cellStyle name="Komma 5 3" xfId="307"/>
    <cellStyle name="Komma 5 3 2" xfId="688"/>
    <cellStyle name="Komma 5 4" xfId="888"/>
    <cellStyle name="Komma 6" xfId="7"/>
    <cellStyle name="Komma 6 2" xfId="22"/>
    <cellStyle name="Komma 6 2 2" xfId="312"/>
    <cellStyle name="Komma 6 2 2 2" xfId="693"/>
    <cellStyle name="Komma 6 2 3" xfId="893"/>
    <cellStyle name="Komma 6 3" xfId="21"/>
    <cellStyle name="Komma 6 3 2" xfId="311"/>
    <cellStyle name="Komma 6 3 2 2" xfId="692"/>
    <cellStyle name="Komma 6 3 3" xfId="892"/>
    <cellStyle name="Komma 6 4" xfId="301"/>
    <cellStyle name="Komma 6 4 2" xfId="682"/>
    <cellStyle name="Komma 6 5" xfId="882"/>
    <cellStyle name="Komma 7" xfId="90"/>
    <cellStyle name="Komma 7 2" xfId="352"/>
    <cellStyle name="Komma 7 2 2" xfId="733"/>
    <cellStyle name="Komma 7 3" xfId="934"/>
    <cellStyle name="Komma 8" xfId="300"/>
    <cellStyle name="Komma 8 2" xfId="681"/>
    <cellStyle name="Kontrollcelle 2" xfId="246"/>
    <cellStyle name="Linked Cell" xfId="75"/>
    <cellStyle name="Merknad 2" xfId="91"/>
    <cellStyle name="Merknad 2 2" xfId="92"/>
    <cellStyle name="Merknad 2 2 2" xfId="174"/>
    <cellStyle name="Merknad 2 2 2 2" xfId="418"/>
    <cellStyle name="Merknad 2 2 2 3" xfId="1088"/>
    <cellStyle name="Merknad 2 2 3" xfId="354"/>
    <cellStyle name="Merknad 2 2 4" xfId="1087"/>
    <cellStyle name="Merknad 2 3" xfId="173"/>
    <cellStyle name="Merknad 2 3 2" xfId="417"/>
    <cellStyle name="Merknad 2 3 3" xfId="1090"/>
    <cellStyle name="Merknad 2 4" xfId="353"/>
    <cellStyle name="Merknad 2 5" xfId="924"/>
    <cellStyle name="Merknad 3" xfId="93"/>
    <cellStyle name="Merknad 3 2" xfId="175"/>
    <cellStyle name="Merknad 3 2 2" xfId="419"/>
    <cellStyle name="Merknad 3 2 3" xfId="1037"/>
    <cellStyle name="Merknad 3 3" xfId="355"/>
    <cellStyle name="Merknad 3 4" xfId="1085"/>
    <cellStyle name="Neutral" xfId="76"/>
    <cellStyle name="Normal" xfId="0" builtinId="0"/>
    <cellStyle name="Normal 10" xfId="2"/>
    <cellStyle name="Normal 10 2" xfId="94"/>
    <cellStyle name="Normal 10_Balanse - eiendeler" xfId="95"/>
    <cellStyle name="Normal 11" xfId="5"/>
    <cellStyle name="Normal 15 3" xfId="880"/>
    <cellStyle name="Normal 2" xfId="6"/>
    <cellStyle name="Normal 2 2" xfId="1"/>
    <cellStyle name="Normal 2 2 2" xfId="96"/>
    <cellStyle name="Normal 2 2_Balanse - eiendeler" xfId="97"/>
    <cellStyle name="Normal 2 3" xfId="98"/>
    <cellStyle name="Normal 2 3 2" xfId="247"/>
    <cellStyle name="Normal 2 3 2 2" xfId="248"/>
    <cellStyle name="Normal 2 3 2 2 2" xfId="249"/>
    <cellStyle name="Normal 2 3 2 2 2 2" xfId="471"/>
    <cellStyle name="Normal 2 3 2 2 2 2 2" xfId="844"/>
    <cellStyle name="Normal 2 3 2 2 2 2 2 2" xfId="1750"/>
    <cellStyle name="Normal 2 3 2 2 2 2 2 3" xfId="2443"/>
    <cellStyle name="Normal 2 3 2 2 2 2 3" xfId="1403"/>
    <cellStyle name="Normal 2 3 2 2 2 2 4" xfId="2096"/>
    <cellStyle name="Normal 2 3 2 2 2 3" xfId="649"/>
    <cellStyle name="Normal 2 3 2 2 2 3 2" xfId="1578"/>
    <cellStyle name="Normal 2 3 2 2 2 3 3" xfId="2271"/>
    <cellStyle name="Normal 2 3 2 2 2 4" xfId="1047"/>
    <cellStyle name="Normal 2 3 2 2 2 5" xfId="1231"/>
    <cellStyle name="Normal 2 3 2 2 2 6" xfId="1924"/>
    <cellStyle name="Normal 2 3 2 2 3" xfId="470"/>
    <cellStyle name="Normal 2 3 2 2 3 2" xfId="843"/>
    <cellStyle name="Normal 2 3 2 2 3 2 2" xfId="1749"/>
    <cellStyle name="Normal 2 3 2 2 3 2 3" xfId="2442"/>
    <cellStyle name="Normal 2 3 2 2 3 3" xfId="1402"/>
    <cellStyle name="Normal 2 3 2 2 3 4" xfId="2095"/>
    <cellStyle name="Normal 2 3 2 2 4" xfId="648"/>
    <cellStyle name="Normal 2 3 2 2 4 2" xfId="1577"/>
    <cellStyle name="Normal 2 3 2 2 4 3" xfId="2270"/>
    <cellStyle name="Normal 2 3 2 2 5" xfId="1046"/>
    <cellStyle name="Normal 2 3 2 2 6" xfId="1230"/>
    <cellStyle name="Normal 2 3 2 2 7" xfId="1923"/>
    <cellStyle name="Normal 2 3 2 3" xfId="250"/>
    <cellStyle name="Normal 2 3 2 3 2" xfId="472"/>
    <cellStyle name="Normal 2 3 2 3 2 2" xfId="845"/>
    <cellStyle name="Normal 2 3 2 3 2 2 2" xfId="1751"/>
    <cellStyle name="Normal 2 3 2 3 2 2 3" xfId="2444"/>
    <cellStyle name="Normal 2 3 2 3 2 3" xfId="1404"/>
    <cellStyle name="Normal 2 3 2 3 2 4" xfId="2097"/>
    <cellStyle name="Normal 2 3 2 3 3" xfId="650"/>
    <cellStyle name="Normal 2 3 2 3 3 2" xfId="1579"/>
    <cellStyle name="Normal 2 3 2 3 3 3" xfId="2272"/>
    <cellStyle name="Normal 2 3 2 3 4" xfId="1048"/>
    <cellStyle name="Normal 2 3 2 3 5" xfId="1232"/>
    <cellStyle name="Normal 2 3 2 3 6" xfId="1925"/>
    <cellStyle name="Normal 2 3 2 4" xfId="469"/>
    <cellStyle name="Normal 2 3 2 4 2" xfId="842"/>
    <cellStyle name="Normal 2 3 2 4 2 2" xfId="1748"/>
    <cellStyle name="Normal 2 3 2 4 2 3" xfId="2441"/>
    <cellStyle name="Normal 2 3 2 4 3" xfId="1401"/>
    <cellStyle name="Normal 2 3 2 4 4" xfId="2094"/>
    <cellStyle name="Normal 2 3 2 5" xfId="647"/>
    <cellStyle name="Normal 2 3 2 5 2" xfId="1576"/>
    <cellStyle name="Normal 2 3 2 5 3" xfId="2269"/>
    <cellStyle name="Normal 2 3 2 6" xfId="1045"/>
    <cellStyle name="Normal 2 3 2 7" xfId="1229"/>
    <cellStyle name="Normal 2 3 2 8" xfId="1922"/>
    <cellStyle name="Normal 2 3 3" xfId="251"/>
    <cellStyle name="Normal 2 3 3 2" xfId="252"/>
    <cellStyle name="Normal 2 3 3 2 2" xfId="474"/>
    <cellStyle name="Normal 2 3 3 2 2 2" xfId="847"/>
    <cellStyle name="Normal 2 3 3 2 2 2 2" xfId="1753"/>
    <cellStyle name="Normal 2 3 3 2 2 2 3" xfId="2446"/>
    <cellStyle name="Normal 2 3 3 2 2 3" xfId="1406"/>
    <cellStyle name="Normal 2 3 3 2 2 4" xfId="2099"/>
    <cellStyle name="Normal 2 3 3 2 3" xfId="652"/>
    <cellStyle name="Normal 2 3 3 2 3 2" xfId="1581"/>
    <cellStyle name="Normal 2 3 3 2 3 3" xfId="2274"/>
    <cellStyle name="Normal 2 3 3 2 4" xfId="1050"/>
    <cellStyle name="Normal 2 3 3 2 5" xfId="1234"/>
    <cellStyle name="Normal 2 3 3 2 6" xfId="1927"/>
    <cellStyle name="Normal 2 3 3 3" xfId="473"/>
    <cellStyle name="Normal 2 3 3 3 2" xfId="846"/>
    <cellStyle name="Normal 2 3 3 3 2 2" xfId="1752"/>
    <cellStyle name="Normal 2 3 3 3 2 3" xfId="2445"/>
    <cellStyle name="Normal 2 3 3 3 3" xfId="1405"/>
    <cellStyle name="Normal 2 3 3 3 4" xfId="2098"/>
    <cellStyle name="Normal 2 3 3 4" xfId="651"/>
    <cellStyle name="Normal 2 3 3 4 2" xfId="1580"/>
    <cellStyle name="Normal 2 3 3 4 3" xfId="2273"/>
    <cellStyle name="Normal 2 3 3 5" xfId="1049"/>
    <cellStyle name="Normal 2 3 3 6" xfId="1233"/>
    <cellStyle name="Normal 2 3 3 7" xfId="1926"/>
    <cellStyle name="Normal 2 3 4" xfId="253"/>
    <cellStyle name="Normal 2 3 4 2" xfId="475"/>
    <cellStyle name="Normal 2 3 4 2 2" xfId="848"/>
    <cellStyle name="Normal 2 3 4 2 2 2" xfId="1754"/>
    <cellStyle name="Normal 2 3 4 2 2 3" xfId="2447"/>
    <cellStyle name="Normal 2 3 4 2 3" xfId="1407"/>
    <cellStyle name="Normal 2 3 4 2 4" xfId="2100"/>
    <cellStyle name="Normal 2 3 4 3" xfId="653"/>
    <cellStyle name="Normal 2 3 4 3 2" xfId="1582"/>
    <cellStyle name="Normal 2 3 4 3 3" xfId="2275"/>
    <cellStyle name="Normal 2 3 4 4" xfId="1051"/>
    <cellStyle name="Normal 2 3 4 5" xfId="1235"/>
    <cellStyle name="Normal 2 3 4 6" xfId="1928"/>
    <cellStyle name="Normal 2 4" xfId="20"/>
    <cellStyle name="Normal 2 4 10" xfId="1786"/>
    <cellStyle name="Normal 2 4 2" xfId="130"/>
    <cellStyle name="Normal 2 4 2 2" xfId="254"/>
    <cellStyle name="Normal 2 4 2 2 2" xfId="255"/>
    <cellStyle name="Normal 2 4 2 2 2 2" xfId="477"/>
    <cellStyle name="Normal 2 4 2 2 2 2 2" xfId="850"/>
    <cellStyle name="Normal 2 4 2 2 2 2 2 2" xfId="1756"/>
    <cellStyle name="Normal 2 4 2 2 2 2 2 3" xfId="2449"/>
    <cellStyle name="Normal 2 4 2 2 2 2 3" xfId="1409"/>
    <cellStyle name="Normal 2 4 2 2 2 2 4" xfId="2102"/>
    <cellStyle name="Normal 2 4 2 2 2 3" xfId="655"/>
    <cellStyle name="Normal 2 4 2 2 2 3 2" xfId="1584"/>
    <cellStyle name="Normal 2 4 2 2 2 3 3" xfId="2277"/>
    <cellStyle name="Normal 2 4 2 2 2 4" xfId="1053"/>
    <cellStyle name="Normal 2 4 2 2 2 5" xfId="1237"/>
    <cellStyle name="Normal 2 4 2 2 2 6" xfId="1930"/>
    <cellStyle name="Normal 2 4 2 2 3" xfId="476"/>
    <cellStyle name="Normal 2 4 2 2 3 2" xfId="849"/>
    <cellStyle name="Normal 2 4 2 2 3 2 2" xfId="1755"/>
    <cellStyle name="Normal 2 4 2 2 3 2 3" xfId="2448"/>
    <cellStyle name="Normal 2 4 2 2 3 3" xfId="1408"/>
    <cellStyle name="Normal 2 4 2 2 3 4" xfId="2101"/>
    <cellStyle name="Normal 2 4 2 2 4" xfId="654"/>
    <cellStyle name="Normal 2 4 2 2 4 2" xfId="1583"/>
    <cellStyle name="Normal 2 4 2 2 4 3" xfId="2276"/>
    <cellStyle name="Normal 2 4 2 2 5" xfId="1052"/>
    <cellStyle name="Normal 2 4 2 2 6" xfId="1236"/>
    <cellStyle name="Normal 2 4 2 2 7" xfId="1929"/>
    <cellStyle name="Normal 2 4 2 3" xfId="256"/>
    <cellStyle name="Normal 2 4 2 3 2" xfId="478"/>
    <cellStyle name="Normal 2 4 2 3 2 2" xfId="851"/>
    <cellStyle name="Normal 2 4 2 3 2 2 2" xfId="1757"/>
    <cellStyle name="Normal 2 4 2 3 2 2 3" xfId="2450"/>
    <cellStyle name="Normal 2 4 2 3 2 3" xfId="1410"/>
    <cellStyle name="Normal 2 4 2 3 2 4" xfId="2103"/>
    <cellStyle name="Normal 2 4 2 3 3" xfId="656"/>
    <cellStyle name="Normal 2 4 2 3 3 2" xfId="1585"/>
    <cellStyle name="Normal 2 4 2 3 3 3" xfId="2278"/>
    <cellStyle name="Normal 2 4 2 3 4" xfId="1054"/>
    <cellStyle name="Normal 2 4 2 3 5" xfId="1238"/>
    <cellStyle name="Normal 2 4 2 3 6" xfId="1931"/>
    <cellStyle name="Normal 2 4 2 4" xfId="374"/>
    <cellStyle name="Normal 2 4 2 4 2" xfId="752"/>
    <cellStyle name="Normal 2 4 2 4 2 2" xfId="1658"/>
    <cellStyle name="Normal 2 4 2 4 2 3" xfId="2351"/>
    <cellStyle name="Normal 2 4 2 4 3" xfId="1311"/>
    <cellStyle name="Normal 2 4 2 4 4" xfId="2004"/>
    <cellStyle name="Normal 2 4 2 5" xfId="557"/>
    <cellStyle name="Normal 2 4 2 5 2" xfId="1486"/>
    <cellStyle name="Normal 2 4 2 5 3" xfId="2179"/>
    <cellStyle name="Normal 2 4 2 6" xfId="954"/>
    <cellStyle name="Normal 2 4 2 7" xfId="1139"/>
    <cellStyle name="Normal 2 4 2 8" xfId="1832"/>
    <cellStyle name="Normal 2 4 3" xfId="177"/>
    <cellStyle name="Normal 2 4 3 2" xfId="257"/>
    <cellStyle name="Normal 2 4 3 2 2" xfId="479"/>
    <cellStyle name="Normal 2 4 3 2 2 2" xfId="852"/>
    <cellStyle name="Normal 2 4 3 2 2 2 2" xfId="1758"/>
    <cellStyle name="Normal 2 4 3 2 2 2 3" xfId="2451"/>
    <cellStyle name="Normal 2 4 3 2 2 3" xfId="1411"/>
    <cellStyle name="Normal 2 4 3 2 2 4" xfId="2104"/>
    <cellStyle name="Normal 2 4 3 2 3" xfId="657"/>
    <cellStyle name="Normal 2 4 3 2 3 2" xfId="1586"/>
    <cellStyle name="Normal 2 4 3 2 3 3" xfId="2279"/>
    <cellStyle name="Normal 2 4 3 2 4" xfId="1055"/>
    <cellStyle name="Normal 2 4 3 2 5" xfId="1239"/>
    <cellStyle name="Normal 2 4 3 2 6" xfId="1932"/>
    <cellStyle name="Normal 2 4 3 3" xfId="421"/>
    <cellStyle name="Normal 2 4 3 3 2" xfId="796"/>
    <cellStyle name="Normal 2 4 3 3 2 2" xfId="1702"/>
    <cellStyle name="Normal 2 4 3 3 2 3" xfId="2395"/>
    <cellStyle name="Normal 2 4 3 3 3" xfId="1355"/>
    <cellStyle name="Normal 2 4 3 3 4" xfId="2048"/>
    <cellStyle name="Normal 2 4 3 4" xfId="601"/>
    <cellStyle name="Normal 2 4 3 4 2" xfId="1530"/>
    <cellStyle name="Normal 2 4 3 4 3" xfId="2223"/>
    <cellStyle name="Normal 2 4 3 5" xfId="998"/>
    <cellStyle name="Normal 2 4 3 6" xfId="1183"/>
    <cellStyle name="Normal 2 4 3 7" xfId="1876"/>
    <cellStyle name="Normal 2 4 4" xfId="258"/>
    <cellStyle name="Normal 2 4 4 2" xfId="480"/>
    <cellStyle name="Normal 2 4 4 2 2" xfId="853"/>
    <cellStyle name="Normal 2 4 4 2 2 2" xfId="1759"/>
    <cellStyle name="Normal 2 4 4 2 2 3" xfId="2452"/>
    <cellStyle name="Normal 2 4 4 2 3" xfId="1412"/>
    <cellStyle name="Normal 2 4 4 2 4" xfId="2105"/>
    <cellStyle name="Normal 2 4 4 3" xfId="658"/>
    <cellStyle name="Normal 2 4 4 3 2" xfId="1587"/>
    <cellStyle name="Normal 2 4 4 3 3" xfId="2280"/>
    <cellStyle name="Normal 2 4 4 4" xfId="1056"/>
    <cellStyle name="Normal 2 4 4 5" xfId="1240"/>
    <cellStyle name="Normal 2 4 4 6" xfId="1933"/>
    <cellStyle name="Normal 2 4 5" xfId="507"/>
    <cellStyle name="Normal 2 4 5 2" xfId="878"/>
    <cellStyle name="Normal 2 4 5 2 2" xfId="1783"/>
    <cellStyle name="Normal 2 4 5 2 3" xfId="2476"/>
    <cellStyle name="Normal 2 4 5 3" xfId="1081"/>
    <cellStyle name="Normal 2 4 5 4" xfId="1436"/>
    <cellStyle name="Normal 2 4 5 5" xfId="2129"/>
    <cellStyle name="Normal 2 4 6" xfId="310"/>
    <cellStyle name="Normal 2 4 6 2" xfId="691"/>
    <cellStyle name="Normal 2 4 6 2 2" xfId="1612"/>
    <cellStyle name="Normal 2 4 6 2 3" xfId="2305"/>
    <cellStyle name="Normal 2 4 6 3" xfId="1265"/>
    <cellStyle name="Normal 2 4 6 4" xfId="1958"/>
    <cellStyle name="Normal 2 4 7" xfId="511"/>
    <cellStyle name="Normal 2 4 7 2" xfId="1440"/>
    <cellStyle name="Normal 2 4 7 3" xfId="2133"/>
    <cellStyle name="Normal 2 4 8" xfId="891"/>
    <cellStyle name="Normal 2 4 9" xfId="1093"/>
    <cellStyle name="Normal 2 5" xfId="259"/>
    <cellStyle name="Normal 2_Balanse - eiendeler" xfId="99"/>
    <cellStyle name="Normal 3" xfId="14"/>
    <cellStyle name="Normal 3 2" xfId="15"/>
    <cellStyle name="Normal 3 2 2" xfId="100"/>
    <cellStyle name="Normal 3 2_Balanse - eiendeler" xfId="101"/>
    <cellStyle name="Normal 3 3" xfId="102"/>
    <cellStyle name="Normal 3 3 2" xfId="260"/>
    <cellStyle name="Normal 3_Balanse - eiendeler" xfId="103"/>
    <cellStyle name="Normal 4" xfId="16"/>
    <cellStyle name="Normal 4 10" xfId="508"/>
    <cellStyle name="Normal 4 10 2" xfId="1437"/>
    <cellStyle name="Normal 4 10 3" xfId="2130"/>
    <cellStyle name="Normal 4 11" xfId="889"/>
    <cellStyle name="Normal 4 12" xfId="1091"/>
    <cellStyle name="Normal 4 13" xfId="1784"/>
    <cellStyle name="Normal 4 2" xfId="24"/>
    <cellStyle name="Normal 4 2 10" xfId="895"/>
    <cellStyle name="Normal 4 2 11" xfId="1095"/>
    <cellStyle name="Normal 4 2 12" xfId="1788"/>
    <cellStyle name="Normal 4 2 2" xfId="28"/>
    <cellStyle name="Normal 4 2 2 2" xfId="104"/>
    <cellStyle name="Normal 4 2 2 2 2" xfId="159"/>
    <cellStyle name="Normal 4 2 2 2 2 2" xfId="403"/>
    <cellStyle name="Normal 4 2 2 2 2 2 2" xfId="781"/>
    <cellStyle name="Normal 4 2 2 2 2 2 2 2" xfId="1687"/>
    <cellStyle name="Normal 4 2 2 2 2 2 2 3" xfId="2380"/>
    <cellStyle name="Normal 4 2 2 2 2 2 3" xfId="1340"/>
    <cellStyle name="Normal 4 2 2 2 2 2 4" xfId="2033"/>
    <cellStyle name="Normal 4 2 2 2 2 3" xfId="586"/>
    <cellStyle name="Normal 4 2 2 2 2 3 2" xfId="1515"/>
    <cellStyle name="Normal 4 2 2 2 2 3 3" xfId="2208"/>
    <cellStyle name="Normal 4 2 2 2 2 4" xfId="983"/>
    <cellStyle name="Normal 4 2 2 2 2 5" xfId="1168"/>
    <cellStyle name="Normal 4 2 2 2 2 6" xfId="1861"/>
    <cellStyle name="Normal 4 2 2 2 3" xfId="356"/>
    <cellStyle name="Normal 4 2 2 2 3 2" xfId="734"/>
    <cellStyle name="Normal 4 2 2 2 3 2 2" xfId="1641"/>
    <cellStyle name="Normal 4 2 2 2 3 2 3" xfId="2334"/>
    <cellStyle name="Normal 4 2 2 2 3 3" xfId="1294"/>
    <cellStyle name="Normal 4 2 2 2 3 4" xfId="1987"/>
    <cellStyle name="Normal 4 2 2 2 4" xfId="540"/>
    <cellStyle name="Normal 4 2 2 2 4 2" xfId="1469"/>
    <cellStyle name="Normal 4 2 2 2 4 3" xfId="2162"/>
    <cellStyle name="Normal 4 2 2 2 5" xfId="936"/>
    <cellStyle name="Normal 4 2 2 2 6" xfId="1122"/>
    <cellStyle name="Normal 4 2 2 2 7" xfId="1815"/>
    <cellStyle name="Normal 4 2 2 3" xfId="136"/>
    <cellStyle name="Normal 4 2 2 3 2" xfId="380"/>
    <cellStyle name="Normal 4 2 2 3 2 2" xfId="758"/>
    <cellStyle name="Normal 4 2 2 3 2 2 2" xfId="1664"/>
    <cellStyle name="Normal 4 2 2 3 2 2 3" xfId="2357"/>
    <cellStyle name="Normal 4 2 2 3 2 3" xfId="1317"/>
    <cellStyle name="Normal 4 2 2 3 2 4" xfId="2010"/>
    <cellStyle name="Normal 4 2 2 3 3" xfId="563"/>
    <cellStyle name="Normal 4 2 2 3 3 2" xfId="1492"/>
    <cellStyle name="Normal 4 2 2 3 3 3" xfId="2185"/>
    <cellStyle name="Normal 4 2 2 3 4" xfId="960"/>
    <cellStyle name="Normal 4 2 2 3 5" xfId="1145"/>
    <cellStyle name="Normal 4 2 2 3 6" xfId="1838"/>
    <cellStyle name="Normal 4 2 2 4" xfId="318"/>
    <cellStyle name="Normal 4 2 2 4 2" xfId="699"/>
    <cellStyle name="Normal 4 2 2 4 2 2" xfId="1618"/>
    <cellStyle name="Normal 4 2 2 4 2 3" xfId="2311"/>
    <cellStyle name="Normal 4 2 2 4 3" xfId="1271"/>
    <cellStyle name="Normal 4 2 2 4 4" xfId="1964"/>
    <cellStyle name="Normal 4 2 2 5" xfId="517"/>
    <cellStyle name="Normal 4 2 2 5 2" xfId="1446"/>
    <cellStyle name="Normal 4 2 2 5 3" xfId="2139"/>
    <cellStyle name="Normal 4 2 2 6" xfId="899"/>
    <cellStyle name="Normal 4 2 2 7" xfId="1099"/>
    <cellStyle name="Normal 4 2 2 8" xfId="1792"/>
    <cellStyle name="Normal 4 2 3" xfId="32"/>
    <cellStyle name="Normal 4 2 3 2" xfId="140"/>
    <cellStyle name="Normal 4 2 3 2 2" xfId="384"/>
    <cellStyle name="Normal 4 2 3 2 2 2" xfId="762"/>
    <cellStyle name="Normal 4 2 3 2 2 2 2" xfId="1668"/>
    <cellStyle name="Normal 4 2 3 2 2 2 3" xfId="2361"/>
    <cellStyle name="Normal 4 2 3 2 2 3" xfId="1321"/>
    <cellStyle name="Normal 4 2 3 2 2 4" xfId="2014"/>
    <cellStyle name="Normal 4 2 3 2 3" xfId="567"/>
    <cellStyle name="Normal 4 2 3 2 3 2" xfId="1496"/>
    <cellStyle name="Normal 4 2 3 2 3 3" xfId="2189"/>
    <cellStyle name="Normal 4 2 3 2 4" xfId="964"/>
    <cellStyle name="Normal 4 2 3 2 5" xfId="1149"/>
    <cellStyle name="Normal 4 2 3 2 6" xfId="1842"/>
    <cellStyle name="Normal 4 2 3 3" xfId="322"/>
    <cellStyle name="Normal 4 2 3 3 2" xfId="703"/>
    <cellStyle name="Normal 4 2 3 3 2 2" xfId="1622"/>
    <cellStyle name="Normal 4 2 3 3 2 3" xfId="2315"/>
    <cellStyle name="Normal 4 2 3 3 3" xfId="1275"/>
    <cellStyle name="Normal 4 2 3 3 4" xfId="1968"/>
    <cellStyle name="Normal 4 2 3 4" xfId="521"/>
    <cellStyle name="Normal 4 2 3 4 2" xfId="1450"/>
    <cellStyle name="Normal 4 2 3 4 3" xfId="2143"/>
    <cellStyle name="Normal 4 2 3 5" xfId="903"/>
    <cellStyle name="Normal 4 2 3 6" xfId="1103"/>
    <cellStyle name="Normal 4 2 3 7" xfId="1796"/>
    <cellStyle name="Normal 4 2 4" xfId="117"/>
    <cellStyle name="Normal 4 2 4 2" xfId="163"/>
    <cellStyle name="Normal 4 2 4 2 2" xfId="407"/>
    <cellStyle name="Normal 4 2 4 2 2 2" xfId="785"/>
    <cellStyle name="Normal 4 2 4 2 2 2 2" xfId="1691"/>
    <cellStyle name="Normal 4 2 4 2 2 2 3" xfId="2384"/>
    <cellStyle name="Normal 4 2 4 2 2 3" xfId="1344"/>
    <cellStyle name="Normal 4 2 4 2 2 4" xfId="2037"/>
    <cellStyle name="Normal 4 2 4 2 3" xfId="590"/>
    <cellStyle name="Normal 4 2 4 2 3 2" xfId="1519"/>
    <cellStyle name="Normal 4 2 4 2 3 3" xfId="2212"/>
    <cellStyle name="Normal 4 2 4 2 4" xfId="987"/>
    <cellStyle name="Normal 4 2 4 2 5" xfId="1172"/>
    <cellStyle name="Normal 4 2 4 2 6" xfId="1865"/>
    <cellStyle name="Normal 4 2 4 3" xfId="361"/>
    <cellStyle name="Normal 4 2 4 3 2" xfId="739"/>
    <cellStyle name="Normal 4 2 4 3 2 2" xfId="1645"/>
    <cellStyle name="Normal 4 2 4 3 2 3" xfId="2338"/>
    <cellStyle name="Normal 4 2 4 3 3" xfId="1298"/>
    <cellStyle name="Normal 4 2 4 3 4" xfId="1991"/>
    <cellStyle name="Normal 4 2 4 4" xfId="544"/>
    <cellStyle name="Normal 4 2 4 4 2" xfId="1473"/>
    <cellStyle name="Normal 4 2 4 4 3" xfId="2166"/>
    <cellStyle name="Normal 4 2 4 5" xfId="941"/>
    <cellStyle name="Normal 4 2 4 6" xfId="1126"/>
    <cellStyle name="Normal 4 2 4 7" xfId="1819"/>
    <cellStyle name="Normal 4 2 5" xfId="120"/>
    <cellStyle name="Normal 4 2 5 2" xfId="166"/>
    <cellStyle name="Normal 4 2 5 2 2" xfId="410"/>
    <cellStyle name="Normal 4 2 5 2 2 2" xfId="788"/>
    <cellStyle name="Normal 4 2 5 2 2 2 2" xfId="1694"/>
    <cellStyle name="Normal 4 2 5 2 2 2 3" xfId="2387"/>
    <cellStyle name="Normal 4 2 5 2 2 3" xfId="1347"/>
    <cellStyle name="Normal 4 2 5 2 2 4" xfId="2040"/>
    <cellStyle name="Normal 4 2 5 2 3" xfId="593"/>
    <cellStyle name="Normal 4 2 5 2 3 2" xfId="1522"/>
    <cellStyle name="Normal 4 2 5 2 3 3" xfId="2215"/>
    <cellStyle name="Normal 4 2 5 2 4" xfId="990"/>
    <cellStyle name="Normal 4 2 5 2 5" xfId="1175"/>
    <cellStyle name="Normal 4 2 5 2 6" xfId="1868"/>
    <cellStyle name="Normal 4 2 5 3" xfId="364"/>
    <cellStyle name="Normal 4 2 5 3 2" xfId="742"/>
    <cellStyle name="Normal 4 2 5 3 2 2" xfId="1648"/>
    <cellStyle name="Normal 4 2 5 3 2 3" xfId="2341"/>
    <cellStyle name="Normal 4 2 5 3 3" xfId="1301"/>
    <cellStyle name="Normal 4 2 5 3 4" xfId="1994"/>
    <cellStyle name="Normal 4 2 5 4" xfId="547"/>
    <cellStyle name="Normal 4 2 5 4 2" xfId="1476"/>
    <cellStyle name="Normal 4 2 5 4 3" xfId="2169"/>
    <cellStyle name="Normal 4 2 5 5" xfId="944"/>
    <cellStyle name="Normal 4 2 5 6" xfId="1129"/>
    <cellStyle name="Normal 4 2 5 7" xfId="1822"/>
    <cellStyle name="Normal 4 2 6" xfId="124"/>
    <cellStyle name="Normal 4 2 6 2" xfId="170"/>
    <cellStyle name="Normal 4 2 6 2 2" xfId="414"/>
    <cellStyle name="Normal 4 2 6 2 2 2" xfId="792"/>
    <cellStyle name="Normal 4 2 6 2 2 2 2" xfId="1698"/>
    <cellStyle name="Normal 4 2 6 2 2 2 3" xfId="2391"/>
    <cellStyle name="Normal 4 2 6 2 2 3" xfId="1351"/>
    <cellStyle name="Normal 4 2 6 2 2 4" xfId="2044"/>
    <cellStyle name="Normal 4 2 6 2 3" xfId="597"/>
    <cellStyle name="Normal 4 2 6 2 3 2" xfId="1526"/>
    <cellStyle name="Normal 4 2 6 2 3 3" xfId="2219"/>
    <cellStyle name="Normal 4 2 6 2 4" xfId="994"/>
    <cellStyle name="Normal 4 2 6 2 5" xfId="1179"/>
    <cellStyle name="Normal 4 2 6 2 6" xfId="1872"/>
    <cellStyle name="Normal 4 2 6 3" xfId="368"/>
    <cellStyle name="Normal 4 2 6 3 2" xfId="746"/>
    <cellStyle name="Normal 4 2 6 3 2 2" xfId="1652"/>
    <cellStyle name="Normal 4 2 6 3 2 3" xfId="2345"/>
    <cellStyle name="Normal 4 2 6 3 3" xfId="1305"/>
    <cellStyle name="Normal 4 2 6 3 4" xfId="1998"/>
    <cellStyle name="Normal 4 2 6 4" xfId="551"/>
    <cellStyle name="Normal 4 2 6 4 2" xfId="1480"/>
    <cellStyle name="Normal 4 2 6 4 3" xfId="2173"/>
    <cellStyle name="Normal 4 2 6 5" xfId="948"/>
    <cellStyle name="Normal 4 2 6 6" xfId="1133"/>
    <cellStyle name="Normal 4 2 6 7" xfId="1826"/>
    <cellStyle name="Normal 4 2 7" xfId="132"/>
    <cellStyle name="Normal 4 2 7 2" xfId="376"/>
    <cellStyle name="Normal 4 2 7 2 2" xfId="754"/>
    <cellStyle name="Normal 4 2 7 2 2 2" xfId="1660"/>
    <cellStyle name="Normal 4 2 7 2 2 3" xfId="2353"/>
    <cellStyle name="Normal 4 2 7 2 3" xfId="1313"/>
    <cellStyle name="Normal 4 2 7 2 4" xfId="2006"/>
    <cellStyle name="Normal 4 2 7 3" xfId="559"/>
    <cellStyle name="Normal 4 2 7 3 2" xfId="1488"/>
    <cellStyle name="Normal 4 2 7 3 3" xfId="2181"/>
    <cellStyle name="Normal 4 2 7 4" xfId="956"/>
    <cellStyle name="Normal 4 2 7 5" xfId="1141"/>
    <cellStyle name="Normal 4 2 7 6" xfId="1834"/>
    <cellStyle name="Normal 4 2 8" xfId="314"/>
    <cellStyle name="Normal 4 2 8 2" xfId="695"/>
    <cellStyle name="Normal 4 2 8 2 2" xfId="1614"/>
    <cellStyle name="Normal 4 2 8 2 3" xfId="2307"/>
    <cellStyle name="Normal 4 2 8 3" xfId="1267"/>
    <cellStyle name="Normal 4 2 8 4" xfId="1960"/>
    <cellStyle name="Normal 4 2 9" xfId="513"/>
    <cellStyle name="Normal 4 2 9 2" xfId="1442"/>
    <cellStyle name="Normal 4 2 9 3" xfId="2135"/>
    <cellStyle name="Normal 4 2_Balanse - eiendeler" xfId="105"/>
    <cellStyle name="Normal 4 3" xfId="23"/>
    <cellStyle name="Normal 4 3 2" xfId="106"/>
    <cellStyle name="Normal 4 3 2 2" xfId="160"/>
    <cellStyle name="Normal 4 3 2 2 2" xfId="404"/>
    <cellStyle name="Normal 4 3 2 2 2 2" xfId="782"/>
    <cellStyle name="Normal 4 3 2 2 2 2 2" xfId="1688"/>
    <cellStyle name="Normal 4 3 2 2 2 2 3" xfId="2381"/>
    <cellStyle name="Normal 4 3 2 2 2 3" xfId="1341"/>
    <cellStyle name="Normal 4 3 2 2 2 4" xfId="2034"/>
    <cellStyle name="Normal 4 3 2 2 3" xfId="587"/>
    <cellStyle name="Normal 4 3 2 2 3 2" xfId="1516"/>
    <cellStyle name="Normal 4 3 2 2 3 3" xfId="2209"/>
    <cellStyle name="Normal 4 3 2 2 4" xfId="984"/>
    <cellStyle name="Normal 4 3 2 2 5" xfId="1169"/>
    <cellStyle name="Normal 4 3 2 2 6" xfId="1862"/>
    <cellStyle name="Normal 4 3 2 3" xfId="357"/>
    <cellStyle name="Normal 4 3 2 3 2" xfId="735"/>
    <cellStyle name="Normal 4 3 2 3 2 2" xfId="1642"/>
    <cellStyle name="Normal 4 3 2 3 2 3" xfId="2335"/>
    <cellStyle name="Normal 4 3 2 3 3" xfId="1295"/>
    <cellStyle name="Normal 4 3 2 3 4" xfId="1988"/>
    <cellStyle name="Normal 4 3 2 4" xfId="541"/>
    <cellStyle name="Normal 4 3 2 4 2" xfId="1470"/>
    <cellStyle name="Normal 4 3 2 4 3" xfId="2163"/>
    <cellStyle name="Normal 4 3 2 5" xfId="937"/>
    <cellStyle name="Normal 4 3 2 6" xfId="1123"/>
    <cellStyle name="Normal 4 3 2 7" xfId="1816"/>
    <cellStyle name="Normal 4 3 3" xfId="131"/>
    <cellStyle name="Normal 4 3 3 2" xfId="375"/>
    <cellStyle name="Normal 4 3 3 2 2" xfId="753"/>
    <cellStyle name="Normal 4 3 3 2 2 2" xfId="1659"/>
    <cellStyle name="Normal 4 3 3 2 2 3" xfId="2352"/>
    <cellStyle name="Normal 4 3 3 2 3" xfId="1312"/>
    <cellStyle name="Normal 4 3 3 2 4" xfId="2005"/>
    <cellStyle name="Normal 4 3 3 3" xfId="558"/>
    <cellStyle name="Normal 4 3 3 3 2" xfId="1487"/>
    <cellStyle name="Normal 4 3 3 3 3" xfId="2180"/>
    <cellStyle name="Normal 4 3 3 4" xfId="955"/>
    <cellStyle name="Normal 4 3 3 5" xfId="1140"/>
    <cellStyle name="Normal 4 3 3 6" xfId="1833"/>
    <cellStyle name="Normal 4 3 4" xfId="313"/>
    <cellStyle name="Normal 4 3 4 2" xfId="694"/>
    <cellStyle name="Normal 4 3 4 2 2" xfId="1613"/>
    <cellStyle name="Normal 4 3 4 2 3" xfId="2306"/>
    <cellStyle name="Normal 4 3 4 3" xfId="1266"/>
    <cellStyle name="Normal 4 3 4 4" xfId="1959"/>
    <cellStyle name="Normal 4 3 5" xfId="512"/>
    <cellStyle name="Normal 4 3 5 2" xfId="1441"/>
    <cellStyle name="Normal 4 3 5 3" xfId="2134"/>
    <cellStyle name="Normal 4 3 6" xfId="894"/>
    <cellStyle name="Normal 4 3 7" xfId="1094"/>
    <cellStyle name="Normal 4 3 8" xfId="1787"/>
    <cellStyle name="Normal 4 4" xfId="27"/>
    <cellStyle name="Normal 4 4 2" xfId="35"/>
    <cellStyle name="Normal 4 4 2 2" xfId="143"/>
    <cellStyle name="Normal 4 4 2 2 2" xfId="387"/>
    <cellStyle name="Normal 4 4 2 2 2 2" xfId="765"/>
    <cellStyle name="Normal 4 4 2 2 2 2 2" xfId="1671"/>
    <cellStyle name="Normal 4 4 2 2 2 2 3" xfId="2364"/>
    <cellStyle name="Normal 4 4 2 2 2 3" xfId="1324"/>
    <cellStyle name="Normal 4 4 2 2 2 4" xfId="2017"/>
    <cellStyle name="Normal 4 4 2 2 3" xfId="570"/>
    <cellStyle name="Normal 4 4 2 2 3 2" xfId="1499"/>
    <cellStyle name="Normal 4 4 2 2 3 3" xfId="2192"/>
    <cellStyle name="Normal 4 4 2 2 4" xfId="967"/>
    <cellStyle name="Normal 4 4 2 2 5" xfId="1152"/>
    <cellStyle name="Normal 4 4 2 2 6" xfId="1845"/>
    <cellStyle name="Normal 4 4 2 3" xfId="325"/>
    <cellStyle name="Normal 4 4 2 3 2" xfId="706"/>
    <cellStyle name="Normal 4 4 2 3 2 2" xfId="1625"/>
    <cellStyle name="Normal 4 4 2 3 2 3" xfId="2318"/>
    <cellStyle name="Normal 4 4 2 3 3" xfId="1278"/>
    <cellStyle name="Normal 4 4 2 3 4" xfId="1971"/>
    <cellStyle name="Normal 4 4 2 4" xfId="524"/>
    <cellStyle name="Normal 4 4 2 4 2" xfId="1453"/>
    <cellStyle name="Normal 4 4 2 4 3" xfId="2146"/>
    <cellStyle name="Normal 4 4 2 5" xfId="906"/>
    <cellStyle name="Normal 4 4 2 6" xfId="1106"/>
    <cellStyle name="Normal 4 4 2 7" xfId="1799"/>
    <cellStyle name="Normal 4 4 3" xfId="135"/>
    <cellStyle name="Normal 4 4 3 2" xfId="379"/>
    <cellStyle name="Normal 4 4 3 2 2" xfId="757"/>
    <cellStyle name="Normal 4 4 3 2 2 2" xfId="1663"/>
    <cellStyle name="Normal 4 4 3 2 2 3" xfId="2356"/>
    <cellStyle name="Normal 4 4 3 2 3" xfId="1316"/>
    <cellStyle name="Normal 4 4 3 2 4" xfId="2009"/>
    <cellStyle name="Normal 4 4 3 3" xfId="562"/>
    <cellStyle name="Normal 4 4 3 3 2" xfId="1491"/>
    <cellStyle name="Normal 4 4 3 3 3" xfId="2184"/>
    <cellStyle name="Normal 4 4 3 4" xfId="959"/>
    <cellStyle name="Normal 4 4 3 5" xfId="1144"/>
    <cellStyle name="Normal 4 4 3 6" xfId="1837"/>
    <cellStyle name="Normal 4 4 4" xfId="317"/>
    <cellStyle name="Normal 4 4 4 2" xfId="698"/>
    <cellStyle name="Normal 4 4 4 2 2" xfId="1617"/>
    <cellStyle name="Normal 4 4 4 2 3" xfId="2310"/>
    <cellStyle name="Normal 4 4 4 3" xfId="1270"/>
    <cellStyle name="Normal 4 4 4 4" xfId="1963"/>
    <cellStyle name="Normal 4 4 5" xfId="516"/>
    <cellStyle name="Normal 4 4 5 2" xfId="1445"/>
    <cellStyle name="Normal 4 4 5 3" xfId="2138"/>
    <cellStyle name="Normal 4 4 6" xfId="898"/>
    <cellStyle name="Normal 4 4 7" xfId="1098"/>
    <cellStyle name="Normal 4 4 8" xfId="1791"/>
    <cellStyle name="Normal 4 5" xfId="31"/>
    <cellStyle name="Normal 4 5 2" xfId="139"/>
    <cellStyle name="Normal 4 5 2 2" xfId="383"/>
    <cellStyle name="Normal 4 5 2 2 2" xfId="761"/>
    <cellStyle name="Normal 4 5 2 2 2 2" xfId="1667"/>
    <cellStyle name="Normal 4 5 2 2 2 3" xfId="2360"/>
    <cellStyle name="Normal 4 5 2 2 3" xfId="1320"/>
    <cellStyle name="Normal 4 5 2 2 4" xfId="2013"/>
    <cellStyle name="Normal 4 5 2 3" xfId="566"/>
    <cellStyle name="Normal 4 5 2 3 2" xfId="1495"/>
    <cellStyle name="Normal 4 5 2 3 3" xfId="2188"/>
    <cellStyle name="Normal 4 5 2 4" xfId="963"/>
    <cellStyle name="Normal 4 5 2 5" xfId="1148"/>
    <cellStyle name="Normal 4 5 2 6" xfId="1841"/>
    <cellStyle name="Normal 4 5 3" xfId="321"/>
    <cellStyle name="Normal 4 5 3 2" xfId="702"/>
    <cellStyle name="Normal 4 5 3 2 2" xfId="1621"/>
    <cellStyle name="Normal 4 5 3 2 3" xfId="2314"/>
    <cellStyle name="Normal 4 5 3 3" xfId="1274"/>
    <cellStyle name="Normal 4 5 3 4" xfId="1967"/>
    <cellStyle name="Normal 4 5 4" xfId="520"/>
    <cellStyle name="Normal 4 5 4 2" xfId="1449"/>
    <cellStyle name="Normal 4 5 4 3" xfId="2142"/>
    <cellStyle name="Normal 4 5 5" xfId="902"/>
    <cellStyle name="Normal 4 5 6" xfId="1102"/>
    <cellStyle name="Normal 4 5 7" xfId="1795"/>
    <cellStyle name="Normal 4 6" xfId="119"/>
    <cellStyle name="Normal 4 6 2" xfId="165"/>
    <cellStyle name="Normal 4 6 2 2" xfId="409"/>
    <cellStyle name="Normal 4 6 2 2 2" xfId="787"/>
    <cellStyle name="Normal 4 6 2 2 2 2" xfId="1693"/>
    <cellStyle name="Normal 4 6 2 2 2 3" xfId="2386"/>
    <cellStyle name="Normal 4 6 2 2 3" xfId="1346"/>
    <cellStyle name="Normal 4 6 2 2 4" xfId="2039"/>
    <cellStyle name="Normal 4 6 2 3" xfId="592"/>
    <cellStyle name="Normal 4 6 2 3 2" xfId="1521"/>
    <cellStyle name="Normal 4 6 2 3 3" xfId="2214"/>
    <cellStyle name="Normal 4 6 2 4" xfId="989"/>
    <cellStyle name="Normal 4 6 2 5" xfId="1174"/>
    <cellStyle name="Normal 4 6 2 6" xfId="1867"/>
    <cellStyle name="Normal 4 6 3" xfId="363"/>
    <cellStyle name="Normal 4 6 3 2" xfId="741"/>
    <cellStyle name="Normal 4 6 3 2 2" xfId="1647"/>
    <cellStyle name="Normal 4 6 3 2 3" xfId="2340"/>
    <cellStyle name="Normal 4 6 3 3" xfId="1300"/>
    <cellStyle name="Normal 4 6 3 4" xfId="1993"/>
    <cellStyle name="Normal 4 6 4" xfId="546"/>
    <cellStyle name="Normal 4 6 4 2" xfId="1475"/>
    <cellStyle name="Normal 4 6 4 3" xfId="2168"/>
    <cellStyle name="Normal 4 6 5" xfId="943"/>
    <cellStyle name="Normal 4 6 6" xfId="1128"/>
    <cellStyle name="Normal 4 6 7" xfId="1821"/>
    <cellStyle name="Normal 4 7" xfId="123"/>
    <cellStyle name="Normal 4 7 2" xfId="169"/>
    <cellStyle name="Normal 4 7 2 2" xfId="413"/>
    <cellStyle name="Normal 4 7 2 2 2" xfId="791"/>
    <cellStyle name="Normal 4 7 2 2 2 2" xfId="1697"/>
    <cellStyle name="Normal 4 7 2 2 2 3" xfId="2390"/>
    <cellStyle name="Normal 4 7 2 2 3" xfId="1350"/>
    <cellStyle name="Normal 4 7 2 2 4" xfId="2043"/>
    <cellStyle name="Normal 4 7 2 3" xfId="596"/>
    <cellStyle name="Normal 4 7 2 3 2" xfId="1525"/>
    <cellStyle name="Normal 4 7 2 3 3" xfId="2218"/>
    <cellStyle name="Normal 4 7 2 4" xfId="993"/>
    <cellStyle name="Normal 4 7 2 5" xfId="1178"/>
    <cellStyle name="Normal 4 7 2 6" xfId="1871"/>
    <cellStyle name="Normal 4 7 3" xfId="367"/>
    <cellStyle name="Normal 4 7 3 2" xfId="745"/>
    <cellStyle name="Normal 4 7 3 2 2" xfId="1651"/>
    <cellStyle name="Normal 4 7 3 2 3" xfId="2344"/>
    <cellStyle name="Normal 4 7 3 3" xfId="1304"/>
    <cellStyle name="Normal 4 7 3 4" xfId="1997"/>
    <cellStyle name="Normal 4 7 4" xfId="550"/>
    <cellStyle name="Normal 4 7 4 2" xfId="1479"/>
    <cellStyle name="Normal 4 7 4 3" xfId="2172"/>
    <cellStyle name="Normal 4 7 5" xfId="947"/>
    <cellStyle name="Normal 4 7 6" xfId="1132"/>
    <cellStyle name="Normal 4 7 7" xfId="1825"/>
    <cellStyle name="Normal 4 8" xfId="127"/>
    <cellStyle name="Normal 4 8 2" xfId="371"/>
    <cellStyle name="Normal 4 8 2 2" xfId="749"/>
    <cellStyle name="Normal 4 8 2 2 2" xfId="1655"/>
    <cellStyle name="Normal 4 8 2 2 3" xfId="2348"/>
    <cellStyle name="Normal 4 8 2 3" xfId="1308"/>
    <cellStyle name="Normal 4 8 2 4" xfId="2001"/>
    <cellStyle name="Normal 4 8 3" xfId="554"/>
    <cellStyle name="Normal 4 8 3 2" xfId="1483"/>
    <cellStyle name="Normal 4 8 3 3" xfId="2176"/>
    <cellStyle name="Normal 4 8 4" xfId="951"/>
    <cellStyle name="Normal 4 8 5" xfId="1136"/>
    <cellStyle name="Normal 4 8 6" xfId="1829"/>
    <cellStyle name="Normal 4 9" xfId="308"/>
    <cellStyle name="Normal 4 9 2" xfId="689"/>
    <cellStyle name="Normal 4 9 2 2" xfId="1610"/>
    <cellStyle name="Normal 4 9 2 3" xfId="2303"/>
    <cellStyle name="Normal 4 9 3" xfId="1263"/>
    <cellStyle name="Normal 4 9 4" xfId="1956"/>
    <cellStyle name="Normal 4_Balanse - eiendeler" xfId="107"/>
    <cellStyle name="Normal 5" xfId="18"/>
    <cellStyle name="Normal 5 10" xfId="298"/>
    <cellStyle name="Normal 5 10 2" xfId="504"/>
    <cellStyle name="Normal 5 10 2 2" xfId="875"/>
    <cellStyle name="Normal 5 10 2 2 2" xfId="1781"/>
    <cellStyle name="Normal 5 10 2 2 3" xfId="2474"/>
    <cellStyle name="Normal 5 10 2 3" xfId="1434"/>
    <cellStyle name="Normal 5 10 2 4" xfId="2127"/>
    <cellStyle name="Normal 5 10 3" xfId="680"/>
    <cellStyle name="Normal 5 10 3 2" xfId="1609"/>
    <cellStyle name="Normal 5 10 3 3" xfId="2302"/>
    <cellStyle name="Normal 5 10 4" xfId="1078"/>
    <cellStyle name="Normal 5 10 5" xfId="1262"/>
    <cellStyle name="Normal 5 10 6" xfId="1955"/>
    <cellStyle name="Normal 5 11" xfId="309"/>
    <cellStyle name="Normal 5 11 2" xfId="690"/>
    <cellStyle name="Normal 5 11 2 2" xfId="1611"/>
    <cellStyle name="Normal 5 11 2 3" xfId="2304"/>
    <cellStyle name="Normal 5 11 3" xfId="1264"/>
    <cellStyle name="Normal 5 11 4" xfId="1957"/>
    <cellStyle name="Normal 5 12" xfId="509"/>
    <cellStyle name="Normal 5 12 2" xfId="1438"/>
    <cellStyle name="Normal 5 12 3" xfId="2131"/>
    <cellStyle name="Normal 5 13" xfId="890"/>
    <cellStyle name="Normal 5 14" xfId="1092"/>
    <cellStyle name="Normal 5 15" xfId="1785"/>
    <cellStyle name="Normal 5 2" xfId="26"/>
    <cellStyle name="Normal 5 2 10" xfId="897"/>
    <cellStyle name="Normal 5 2 11" xfId="1097"/>
    <cellStyle name="Normal 5 2 12" xfId="1790"/>
    <cellStyle name="Normal 5 2 2" xfId="30"/>
    <cellStyle name="Normal 5 2 2 2" xfId="108"/>
    <cellStyle name="Normal 5 2 2 2 2" xfId="161"/>
    <cellStyle name="Normal 5 2 2 2 2 2" xfId="405"/>
    <cellStyle name="Normal 5 2 2 2 2 2 2" xfId="783"/>
    <cellStyle name="Normal 5 2 2 2 2 2 2 2" xfId="1689"/>
    <cellStyle name="Normal 5 2 2 2 2 2 2 3" xfId="2382"/>
    <cellStyle name="Normal 5 2 2 2 2 2 3" xfId="1342"/>
    <cellStyle name="Normal 5 2 2 2 2 2 4" xfId="2035"/>
    <cellStyle name="Normal 5 2 2 2 2 3" xfId="588"/>
    <cellStyle name="Normal 5 2 2 2 2 3 2" xfId="1517"/>
    <cellStyle name="Normal 5 2 2 2 2 3 3" xfId="2210"/>
    <cellStyle name="Normal 5 2 2 2 2 4" xfId="985"/>
    <cellStyle name="Normal 5 2 2 2 2 5" xfId="1170"/>
    <cellStyle name="Normal 5 2 2 2 2 6" xfId="1863"/>
    <cellStyle name="Normal 5 2 2 2 3" xfId="358"/>
    <cellStyle name="Normal 5 2 2 2 3 2" xfId="736"/>
    <cellStyle name="Normal 5 2 2 2 3 2 2" xfId="1643"/>
    <cellStyle name="Normal 5 2 2 2 3 2 3" xfId="2336"/>
    <cellStyle name="Normal 5 2 2 2 3 3" xfId="1296"/>
    <cellStyle name="Normal 5 2 2 2 3 4" xfId="1989"/>
    <cellStyle name="Normal 5 2 2 2 4" xfId="542"/>
    <cellStyle name="Normal 5 2 2 2 4 2" xfId="1471"/>
    <cellStyle name="Normal 5 2 2 2 4 3" xfId="2164"/>
    <cellStyle name="Normal 5 2 2 2 5" xfId="938"/>
    <cellStyle name="Normal 5 2 2 2 6" xfId="1124"/>
    <cellStyle name="Normal 5 2 2 2 7" xfId="1817"/>
    <cellStyle name="Normal 5 2 2 3" xfId="138"/>
    <cellStyle name="Normal 5 2 2 3 2" xfId="382"/>
    <cellStyle name="Normal 5 2 2 3 2 2" xfId="760"/>
    <cellStyle name="Normal 5 2 2 3 2 2 2" xfId="1666"/>
    <cellStyle name="Normal 5 2 2 3 2 2 3" xfId="2359"/>
    <cellStyle name="Normal 5 2 2 3 2 3" xfId="1319"/>
    <cellStyle name="Normal 5 2 2 3 2 4" xfId="2012"/>
    <cellStyle name="Normal 5 2 2 3 3" xfId="565"/>
    <cellStyle name="Normal 5 2 2 3 3 2" xfId="1494"/>
    <cellStyle name="Normal 5 2 2 3 3 3" xfId="2187"/>
    <cellStyle name="Normal 5 2 2 3 4" xfId="962"/>
    <cellStyle name="Normal 5 2 2 3 5" xfId="1147"/>
    <cellStyle name="Normal 5 2 2 3 6" xfId="1840"/>
    <cellStyle name="Normal 5 2 2 4" xfId="320"/>
    <cellStyle name="Normal 5 2 2 4 2" xfId="701"/>
    <cellStyle name="Normal 5 2 2 4 2 2" xfId="1620"/>
    <cellStyle name="Normal 5 2 2 4 2 3" xfId="2313"/>
    <cellStyle name="Normal 5 2 2 4 3" xfId="1273"/>
    <cellStyle name="Normal 5 2 2 4 4" xfId="1966"/>
    <cellStyle name="Normal 5 2 2 5" xfId="519"/>
    <cellStyle name="Normal 5 2 2 5 2" xfId="1448"/>
    <cellStyle name="Normal 5 2 2 5 3" xfId="2141"/>
    <cellStyle name="Normal 5 2 2 6" xfId="901"/>
    <cellStyle name="Normal 5 2 2 7" xfId="1101"/>
    <cellStyle name="Normal 5 2 2 8" xfId="1794"/>
    <cellStyle name="Normal 5 2 3" xfId="34"/>
    <cellStyle name="Normal 5 2 3 2" xfId="40"/>
    <cellStyle name="Normal 5 2 3 3" xfId="142"/>
    <cellStyle name="Normal 5 2 3 3 2" xfId="386"/>
    <cellStyle name="Normal 5 2 3 3 2 2" xfId="764"/>
    <cellStyle name="Normal 5 2 3 3 2 2 2" xfId="1670"/>
    <cellStyle name="Normal 5 2 3 3 2 2 3" xfId="2363"/>
    <cellStyle name="Normal 5 2 3 3 2 3" xfId="1323"/>
    <cellStyle name="Normal 5 2 3 3 2 4" xfId="2016"/>
    <cellStyle name="Normal 5 2 3 3 3" xfId="569"/>
    <cellStyle name="Normal 5 2 3 3 3 2" xfId="1498"/>
    <cellStyle name="Normal 5 2 3 3 3 3" xfId="2191"/>
    <cellStyle name="Normal 5 2 3 3 4" xfId="966"/>
    <cellStyle name="Normal 5 2 3 3 5" xfId="1151"/>
    <cellStyle name="Normal 5 2 3 3 6" xfId="1844"/>
    <cellStyle name="Normal 5 2 3 4" xfId="324"/>
    <cellStyle name="Normal 5 2 3 4 2" xfId="705"/>
    <cellStyle name="Normal 5 2 3 4 2 2" xfId="1624"/>
    <cellStyle name="Normal 5 2 3 4 2 3" xfId="2317"/>
    <cellStyle name="Normal 5 2 3 4 3" xfId="1277"/>
    <cellStyle name="Normal 5 2 3 4 4" xfId="1970"/>
    <cellStyle name="Normal 5 2 3 5" xfId="523"/>
    <cellStyle name="Normal 5 2 3 5 2" xfId="1452"/>
    <cellStyle name="Normal 5 2 3 5 3" xfId="2145"/>
    <cellStyle name="Normal 5 2 3 6" xfId="905"/>
    <cellStyle name="Normal 5 2 3 7" xfId="1105"/>
    <cellStyle name="Normal 5 2 3 8" xfId="1798"/>
    <cellStyle name="Normal 5 2 4" xfId="118"/>
    <cellStyle name="Normal 5 2 4 2" xfId="164"/>
    <cellStyle name="Normal 5 2 4 2 2" xfId="408"/>
    <cellStyle name="Normal 5 2 4 2 2 2" xfId="786"/>
    <cellStyle name="Normal 5 2 4 2 2 2 2" xfId="1692"/>
    <cellStyle name="Normal 5 2 4 2 2 2 3" xfId="2385"/>
    <cellStyle name="Normal 5 2 4 2 2 3" xfId="1345"/>
    <cellStyle name="Normal 5 2 4 2 2 4" xfId="2038"/>
    <cellStyle name="Normal 5 2 4 2 3" xfId="591"/>
    <cellStyle name="Normal 5 2 4 2 3 2" xfId="1520"/>
    <cellStyle name="Normal 5 2 4 2 3 3" xfId="2213"/>
    <cellStyle name="Normal 5 2 4 2 4" xfId="988"/>
    <cellStyle name="Normal 5 2 4 2 5" xfId="1173"/>
    <cellStyle name="Normal 5 2 4 2 6" xfId="1866"/>
    <cellStyle name="Normal 5 2 4 3" xfId="362"/>
    <cellStyle name="Normal 5 2 4 3 2" xfId="740"/>
    <cellStyle name="Normal 5 2 4 3 2 2" xfId="1646"/>
    <cellStyle name="Normal 5 2 4 3 2 3" xfId="2339"/>
    <cellStyle name="Normal 5 2 4 3 3" xfId="1299"/>
    <cellStyle name="Normal 5 2 4 3 4" xfId="1992"/>
    <cellStyle name="Normal 5 2 4 4" xfId="545"/>
    <cellStyle name="Normal 5 2 4 4 2" xfId="1474"/>
    <cellStyle name="Normal 5 2 4 4 3" xfId="2167"/>
    <cellStyle name="Normal 5 2 4 5" xfId="942"/>
    <cellStyle name="Normal 5 2 4 6" xfId="1127"/>
    <cellStyle name="Normal 5 2 4 7" xfId="1820"/>
    <cellStyle name="Normal 5 2 5" xfId="122"/>
    <cellStyle name="Normal 5 2 5 2" xfId="168"/>
    <cellStyle name="Normal 5 2 5 2 2" xfId="412"/>
    <cellStyle name="Normal 5 2 5 2 2 2" xfId="790"/>
    <cellStyle name="Normal 5 2 5 2 2 2 2" xfId="1696"/>
    <cellStyle name="Normal 5 2 5 2 2 2 3" xfId="2389"/>
    <cellStyle name="Normal 5 2 5 2 2 3" xfId="1349"/>
    <cellStyle name="Normal 5 2 5 2 2 4" xfId="2042"/>
    <cellStyle name="Normal 5 2 5 2 3" xfId="595"/>
    <cellStyle name="Normal 5 2 5 2 3 2" xfId="1524"/>
    <cellStyle name="Normal 5 2 5 2 3 3" xfId="2217"/>
    <cellStyle name="Normal 5 2 5 2 4" xfId="992"/>
    <cellStyle name="Normal 5 2 5 2 5" xfId="1177"/>
    <cellStyle name="Normal 5 2 5 2 6" xfId="1870"/>
    <cellStyle name="Normal 5 2 5 3" xfId="366"/>
    <cellStyle name="Normal 5 2 5 3 2" xfId="744"/>
    <cellStyle name="Normal 5 2 5 3 2 2" xfId="1650"/>
    <cellStyle name="Normal 5 2 5 3 2 3" xfId="2343"/>
    <cellStyle name="Normal 5 2 5 3 3" xfId="1303"/>
    <cellStyle name="Normal 5 2 5 3 4" xfId="1996"/>
    <cellStyle name="Normal 5 2 5 4" xfId="549"/>
    <cellStyle name="Normal 5 2 5 4 2" xfId="1478"/>
    <cellStyle name="Normal 5 2 5 4 3" xfId="2171"/>
    <cellStyle name="Normal 5 2 5 5" xfId="946"/>
    <cellStyle name="Normal 5 2 5 6" xfId="1131"/>
    <cellStyle name="Normal 5 2 5 7" xfId="1824"/>
    <cellStyle name="Normal 5 2 6" xfId="126"/>
    <cellStyle name="Normal 5 2 6 2" xfId="172"/>
    <cellStyle name="Normal 5 2 6 2 2" xfId="416"/>
    <cellStyle name="Normal 5 2 6 2 2 2" xfId="794"/>
    <cellStyle name="Normal 5 2 6 2 2 2 2" xfId="1700"/>
    <cellStyle name="Normal 5 2 6 2 2 2 3" xfId="2393"/>
    <cellStyle name="Normal 5 2 6 2 2 3" xfId="1353"/>
    <cellStyle name="Normal 5 2 6 2 2 4" xfId="2046"/>
    <cellStyle name="Normal 5 2 6 2 3" xfId="599"/>
    <cellStyle name="Normal 5 2 6 2 3 2" xfId="1528"/>
    <cellStyle name="Normal 5 2 6 2 3 3" xfId="2221"/>
    <cellStyle name="Normal 5 2 6 2 4" xfId="996"/>
    <cellStyle name="Normal 5 2 6 2 5" xfId="1181"/>
    <cellStyle name="Normal 5 2 6 2 6" xfId="1874"/>
    <cellStyle name="Normal 5 2 6 3" xfId="370"/>
    <cellStyle name="Normal 5 2 6 3 2" xfId="748"/>
    <cellStyle name="Normal 5 2 6 3 2 2" xfId="1654"/>
    <cellStyle name="Normal 5 2 6 3 2 3" xfId="2347"/>
    <cellStyle name="Normal 5 2 6 3 3" xfId="1307"/>
    <cellStyle name="Normal 5 2 6 3 4" xfId="2000"/>
    <cellStyle name="Normal 5 2 6 4" xfId="553"/>
    <cellStyle name="Normal 5 2 6 4 2" xfId="1482"/>
    <cellStyle name="Normal 5 2 6 4 3" xfId="2175"/>
    <cellStyle name="Normal 5 2 6 5" xfId="950"/>
    <cellStyle name="Normal 5 2 6 6" xfId="1135"/>
    <cellStyle name="Normal 5 2 6 7" xfId="1828"/>
    <cellStyle name="Normal 5 2 7" xfId="134"/>
    <cellStyle name="Normal 5 2 7 2" xfId="378"/>
    <cellStyle name="Normal 5 2 7 2 2" xfId="756"/>
    <cellStyle name="Normal 5 2 7 2 2 2" xfId="1662"/>
    <cellStyle name="Normal 5 2 7 2 2 3" xfId="2355"/>
    <cellStyle name="Normal 5 2 7 2 3" xfId="1315"/>
    <cellStyle name="Normal 5 2 7 2 4" xfId="2008"/>
    <cellStyle name="Normal 5 2 7 3" xfId="561"/>
    <cellStyle name="Normal 5 2 7 3 2" xfId="1490"/>
    <cellStyle name="Normal 5 2 7 3 3" xfId="2183"/>
    <cellStyle name="Normal 5 2 7 4" xfId="958"/>
    <cellStyle name="Normal 5 2 7 5" xfId="1143"/>
    <cellStyle name="Normal 5 2 7 6" xfId="1836"/>
    <cellStyle name="Normal 5 2 8" xfId="316"/>
    <cellStyle name="Normal 5 2 8 2" xfId="697"/>
    <cellStyle name="Normal 5 2 8 2 2" xfId="1616"/>
    <cellStyle name="Normal 5 2 8 2 3" xfId="2309"/>
    <cellStyle name="Normal 5 2 8 3" xfId="1269"/>
    <cellStyle name="Normal 5 2 8 4" xfId="1962"/>
    <cellStyle name="Normal 5 2 9" xfId="515"/>
    <cellStyle name="Normal 5 2 9 2" xfId="1444"/>
    <cellStyle name="Normal 5 2 9 3" xfId="2137"/>
    <cellStyle name="Normal 5 2_Balanse - eiendeler" xfId="109"/>
    <cellStyle name="Normal 5 3" xfId="25"/>
    <cellStyle name="Normal 5 3 2" xfId="110"/>
    <cellStyle name="Normal 5 3 2 2" xfId="162"/>
    <cellStyle name="Normal 5 3 2 2 2" xfId="406"/>
    <cellStyle name="Normal 5 3 2 2 2 2" xfId="784"/>
    <cellStyle name="Normal 5 3 2 2 2 2 2" xfId="1690"/>
    <cellStyle name="Normal 5 3 2 2 2 2 3" xfId="2383"/>
    <cellStyle name="Normal 5 3 2 2 2 3" xfId="1343"/>
    <cellStyle name="Normal 5 3 2 2 2 4" xfId="2036"/>
    <cellStyle name="Normal 5 3 2 2 3" xfId="589"/>
    <cellStyle name="Normal 5 3 2 2 3 2" xfId="1518"/>
    <cellStyle name="Normal 5 3 2 2 3 3" xfId="2211"/>
    <cellStyle name="Normal 5 3 2 2 4" xfId="986"/>
    <cellStyle name="Normal 5 3 2 2 5" xfId="1171"/>
    <cellStyle name="Normal 5 3 2 2 6" xfId="1864"/>
    <cellStyle name="Normal 5 3 2 3" xfId="359"/>
    <cellStyle name="Normal 5 3 2 3 2" xfId="737"/>
    <cellStyle name="Normal 5 3 2 3 2 2" xfId="1644"/>
    <cellStyle name="Normal 5 3 2 3 2 3" xfId="2337"/>
    <cellStyle name="Normal 5 3 2 3 3" xfId="1297"/>
    <cellStyle name="Normal 5 3 2 3 4" xfId="1990"/>
    <cellStyle name="Normal 5 3 2 4" xfId="543"/>
    <cellStyle name="Normal 5 3 2 4 2" xfId="1472"/>
    <cellStyle name="Normal 5 3 2 4 3" xfId="2165"/>
    <cellStyle name="Normal 5 3 2 5" xfId="939"/>
    <cellStyle name="Normal 5 3 2 6" xfId="1125"/>
    <cellStyle name="Normal 5 3 2 7" xfId="1818"/>
    <cellStyle name="Normal 5 3 3" xfId="133"/>
    <cellStyle name="Normal 5 3 3 2" xfId="377"/>
    <cellStyle name="Normal 5 3 3 2 2" xfId="755"/>
    <cellStyle name="Normal 5 3 3 2 2 2" xfId="1661"/>
    <cellStyle name="Normal 5 3 3 2 2 3" xfId="2354"/>
    <cellStyle name="Normal 5 3 3 2 3" xfId="1314"/>
    <cellStyle name="Normal 5 3 3 2 4" xfId="2007"/>
    <cellStyle name="Normal 5 3 3 3" xfId="560"/>
    <cellStyle name="Normal 5 3 3 3 2" xfId="1489"/>
    <cellStyle name="Normal 5 3 3 3 3" xfId="2182"/>
    <cellStyle name="Normal 5 3 3 4" xfId="957"/>
    <cellStyle name="Normal 5 3 3 5" xfId="1142"/>
    <cellStyle name="Normal 5 3 3 6" xfId="1835"/>
    <cellStyle name="Normal 5 3 4" xfId="315"/>
    <cellStyle name="Normal 5 3 4 2" xfId="696"/>
    <cellStyle name="Normal 5 3 4 2 2" xfId="1615"/>
    <cellStyle name="Normal 5 3 4 2 3" xfId="2308"/>
    <cellStyle name="Normal 5 3 4 3" xfId="1268"/>
    <cellStyle name="Normal 5 3 4 4" xfId="1961"/>
    <cellStyle name="Normal 5 3 5" xfId="514"/>
    <cellStyle name="Normal 5 3 5 2" xfId="1443"/>
    <cellStyle name="Normal 5 3 5 3" xfId="2136"/>
    <cellStyle name="Normal 5 3 6" xfId="896"/>
    <cellStyle name="Normal 5 3 7" xfId="1096"/>
    <cellStyle name="Normal 5 3 8" xfId="1789"/>
    <cellStyle name="Normal 5 4" xfId="29"/>
    <cellStyle name="Normal 5 4 2" xfId="36"/>
    <cellStyle name="Normal 5 4 2 2" xfId="144"/>
    <cellStyle name="Normal 5 4 2 2 2" xfId="388"/>
    <cellStyle name="Normal 5 4 2 2 2 2" xfId="766"/>
    <cellStyle name="Normal 5 4 2 2 2 2 2" xfId="1672"/>
    <cellStyle name="Normal 5 4 2 2 2 2 3" xfId="2365"/>
    <cellStyle name="Normal 5 4 2 2 2 3" xfId="1325"/>
    <cellStyle name="Normal 5 4 2 2 2 4" xfId="2018"/>
    <cellStyle name="Normal 5 4 2 2 3" xfId="571"/>
    <cellStyle name="Normal 5 4 2 2 3 2" xfId="1500"/>
    <cellStyle name="Normal 5 4 2 2 3 3" xfId="2193"/>
    <cellStyle name="Normal 5 4 2 2 4" xfId="968"/>
    <cellStyle name="Normal 5 4 2 2 5" xfId="1153"/>
    <cellStyle name="Normal 5 4 2 2 6" xfId="1846"/>
    <cellStyle name="Normal 5 4 2 3" xfId="326"/>
    <cellStyle name="Normal 5 4 2 3 2" xfId="707"/>
    <cellStyle name="Normal 5 4 2 3 2 2" xfId="1626"/>
    <cellStyle name="Normal 5 4 2 3 2 3" xfId="2319"/>
    <cellStyle name="Normal 5 4 2 3 3" xfId="1279"/>
    <cellStyle name="Normal 5 4 2 3 4" xfId="1972"/>
    <cellStyle name="Normal 5 4 2 4" xfId="525"/>
    <cellStyle name="Normal 5 4 2 4 2" xfId="1454"/>
    <cellStyle name="Normal 5 4 2 4 3" xfId="2147"/>
    <cellStyle name="Normal 5 4 2 5" xfId="907"/>
    <cellStyle name="Normal 5 4 2 6" xfId="1107"/>
    <cellStyle name="Normal 5 4 2 7" xfId="1800"/>
    <cellStyle name="Normal 5 4 3" xfId="137"/>
    <cellStyle name="Normal 5 4 3 2" xfId="381"/>
    <cellStyle name="Normal 5 4 3 2 2" xfId="759"/>
    <cellStyle name="Normal 5 4 3 2 2 2" xfId="1665"/>
    <cellStyle name="Normal 5 4 3 2 2 3" xfId="2358"/>
    <cellStyle name="Normal 5 4 3 2 3" xfId="1318"/>
    <cellStyle name="Normal 5 4 3 2 4" xfId="2011"/>
    <cellStyle name="Normal 5 4 3 3" xfId="564"/>
    <cellStyle name="Normal 5 4 3 3 2" xfId="1493"/>
    <cellStyle name="Normal 5 4 3 3 3" xfId="2186"/>
    <cellStyle name="Normal 5 4 3 4" xfId="961"/>
    <cellStyle name="Normal 5 4 3 5" xfId="1146"/>
    <cellStyle name="Normal 5 4 3 6" xfId="1839"/>
    <cellStyle name="Normal 5 4 4" xfId="319"/>
    <cellStyle name="Normal 5 4 4 2" xfId="700"/>
    <cellStyle name="Normal 5 4 4 2 2" xfId="1619"/>
    <cellStyle name="Normal 5 4 4 2 3" xfId="2312"/>
    <cellStyle name="Normal 5 4 4 3" xfId="1272"/>
    <cellStyle name="Normal 5 4 4 4" xfId="1965"/>
    <cellStyle name="Normal 5 4 5" xfId="518"/>
    <cellStyle name="Normal 5 4 5 2" xfId="1447"/>
    <cellStyle name="Normal 5 4 5 3" xfId="2140"/>
    <cellStyle name="Normal 5 4 6" xfId="900"/>
    <cellStyle name="Normal 5 4 7" xfId="1100"/>
    <cellStyle name="Normal 5 4 8" xfId="1793"/>
    <cellStyle name="Normal 5 5" xfId="33"/>
    <cellStyle name="Normal 5 5 2" xfId="141"/>
    <cellStyle name="Normal 5 5 2 2" xfId="385"/>
    <cellStyle name="Normal 5 5 2 2 2" xfId="763"/>
    <cellStyle name="Normal 5 5 2 2 2 2" xfId="1669"/>
    <cellStyle name="Normal 5 5 2 2 2 3" xfId="2362"/>
    <cellStyle name="Normal 5 5 2 2 3" xfId="1322"/>
    <cellStyle name="Normal 5 5 2 2 4" xfId="2015"/>
    <cellStyle name="Normal 5 5 2 3" xfId="568"/>
    <cellStyle name="Normal 5 5 2 3 2" xfId="1497"/>
    <cellStyle name="Normal 5 5 2 3 3" xfId="2190"/>
    <cellStyle name="Normal 5 5 2 4" xfId="965"/>
    <cellStyle name="Normal 5 5 2 5" xfId="1150"/>
    <cellStyle name="Normal 5 5 2 6" xfId="1843"/>
    <cellStyle name="Normal 5 5 3" xfId="323"/>
    <cellStyle name="Normal 5 5 3 2" xfId="704"/>
    <cellStyle name="Normal 5 5 3 2 2" xfId="1623"/>
    <cellStyle name="Normal 5 5 3 2 3" xfId="2316"/>
    <cellStyle name="Normal 5 5 3 3" xfId="1276"/>
    <cellStyle name="Normal 5 5 3 4" xfId="1969"/>
    <cellStyle name="Normal 5 5 4" xfId="522"/>
    <cellStyle name="Normal 5 5 4 2" xfId="1451"/>
    <cellStyle name="Normal 5 5 4 3" xfId="2144"/>
    <cellStyle name="Normal 5 5 5" xfId="904"/>
    <cellStyle name="Normal 5 5 6" xfId="1104"/>
    <cellStyle name="Normal 5 5 7" xfId="1797"/>
    <cellStyle name="Normal 5 6" xfId="121"/>
    <cellStyle name="Normal 5 6 2" xfId="167"/>
    <cellStyle name="Normal 5 6 2 2" xfId="411"/>
    <cellStyle name="Normal 5 6 2 2 2" xfId="789"/>
    <cellStyle name="Normal 5 6 2 2 2 2" xfId="1695"/>
    <cellStyle name="Normal 5 6 2 2 2 3" xfId="2388"/>
    <cellStyle name="Normal 5 6 2 2 3" xfId="1348"/>
    <cellStyle name="Normal 5 6 2 2 4" xfId="2041"/>
    <cellStyle name="Normal 5 6 2 3" xfId="594"/>
    <cellStyle name="Normal 5 6 2 3 2" xfId="1523"/>
    <cellStyle name="Normal 5 6 2 3 3" xfId="2216"/>
    <cellStyle name="Normal 5 6 2 4" xfId="991"/>
    <cellStyle name="Normal 5 6 2 5" xfId="1176"/>
    <cellStyle name="Normal 5 6 2 6" xfId="1869"/>
    <cellStyle name="Normal 5 6 3" xfId="365"/>
    <cellStyle name="Normal 5 6 3 2" xfId="743"/>
    <cellStyle name="Normal 5 6 3 2 2" xfId="1649"/>
    <cellStyle name="Normal 5 6 3 2 3" xfId="2342"/>
    <cellStyle name="Normal 5 6 3 3" xfId="1302"/>
    <cellStyle name="Normal 5 6 3 4" xfId="1995"/>
    <cellStyle name="Normal 5 6 4" xfId="548"/>
    <cellStyle name="Normal 5 6 4 2" xfId="1477"/>
    <cellStyle name="Normal 5 6 4 3" xfId="2170"/>
    <cellStyle name="Normal 5 6 5" xfId="945"/>
    <cellStyle name="Normal 5 6 6" xfId="1130"/>
    <cellStyle name="Normal 5 6 7" xfId="1823"/>
    <cellStyle name="Normal 5 7" xfId="125"/>
    <cellStyle name="Normal 5 7 2" xfId="171"/>
    <cellStyle name="Normal 5 7 2 2" xfId="415"/>
    <cellStyle name="Normal 5 7 2 2 2" xfId="793"/>
    <cellStyle name="Normal 5 7 2 2 2 2" xfId="1699"/>
    <cellStyle name="Normal 5 7 2 2 2 3" xfId="2392"/>
    <cellStyle name="Normal 5 7 2 2 3" xfId="1352"/>
    <cellStyle name="Normal 5 7 2 2 4" xfId="2045"/>
    <cellStyle name="Normal 5 7 2 3" xfId="598"/>
    <cellStyle name="Normal 5 7 2 3 2" xfId="1527"/>
    <cellStyle name="Normal 5 7 2 3 3" xfId="2220"/>
    <cellStyle name="Normal 5 7 2 4" xfId="995"/>
    <cellStyle name="Normal 5 7 2 5" xfId="1180"/>
    <cellStyle name="Normal 5 7 2 6" xfId="1873"/>
    <cellStyle name="Normal 5 7 3" xfId="369"/>
    <cellStyle name="Normal 5 7 3 2" xfId="747"/>
    <cellStyle name="Normal 5 7 3 2 2" xfId="1653"/>
    <cellStyle name="Normal 5 7 3 2 3" xfId="2346"/>
    <cellStyle name="Normal 5 7 3 3" xfId="1306"/>
    <cellStyle name="Normal 5 7 3 4" xfId="1999"/>
    <cellStyle name="Normal 5 7 4" xfId="552"/>
    <cellStyle name="Normal 5 7 4 2" xfId="1481"/>
    <cellStyle name="Normal 5 7 4 3" xfId="2174"/>
    <cellStyle name="Normal 5 7 5" xfId="949"/>
    <cellStyle name="Normal 5 7 6" xfId="1134"/>
    <cellStyle name="Normal 5 7 7" xfId="1827"/>
    <cellStyle name="Normal 5 8" xfId="128"/>
    <cellStyle name="Normal 5 8 2" xfId="372"/>
    <cellStyle name="Normal 5 8 2 2" xfId="750"/>
    <cellStyle name="Normal 5 8 2 2 2" xfId="1656"/>
    <cellStyle name="Normal 5 8 2 2 3" xfId="2349"/>
    <cellStyle name="Normal 5 8 2 3" xfId="1309"/>
    <cellStyle name="Normal 5 8 2 4" xfId="2002"/>
    <cellStyle name="Normal 5 8 3" xfId="555"/>
    <cellStyle name="Normal 5 8 3 2" xfId="1484"/>
    <cellStyle name="Normal 5 8 3 3" xfId="2177"/>
    <cellStyle name="Normal 5 8 4" xfId="952"/>
    <cellStyle name="Normal 5 8 5" xfId="1137"/>
    <cellStyle name="Normal 5 8 6" xfId="1830"/>
    <cellStyle name="Normal 5 9" xfId="297"/>
    <cellStyle name="Normal 5 9 2" xfId="503"/>
    <cellStyle name="Normal 5 9 2 2" xfId="874"/>
    <cellStyle name="Normal 5 9 2 2 2" xfId="1780"/>
    <cellStyle name="Normal 5 9 2 2 3" xfId="2473"/>
    <cellStyle name="Normal 5 9 2 3" xfId="1433"/>
    <cellStyle name="Normal 5 9 2 4" xfId="2126"/>
    <cellStyle name="Normal 5 9 3" xfId="679"/>
    <cellStyle name="Normal 5 9 3 2" xfId="1608"/>
    <cellStyle name="Normal 5 9 3 3" xfId="2301"/>
    <cellStyle name="Normal 5 9 4" xfId="1077"/>
    <cellStyle name="Normal 5 9 5" xfId="1261"/>
    <cellStyle name="Normal 5 9 6" xfId="1954"/>
    <cellStyle name="Normal 5_Balanse - eiendeler" xfId="111"/>
    <cellStyle name="Normal 57" xfId="879"/>
    <cellStyle name="Normal 6" xfId="39"/>
    <cellStyle name="Normal 6 2" xfId="112"/>
    <cellStyle name="Normal 6 2 2" xfId="261"/>
    <cellStyle name="Normal 6 2 2 2" xfId="262"/>
    <cellStyle name="Normal 6 2 2 2 2" xfId="482"/>
    <cellStyle name="Normal 6 2 2 2 2 2" xfId="855"/>
    <cellStyle name="Normal 6 2 2 2 2 2 2" xfId="1761"/>
    <cellStyle name="Normal 6 2 2 2 2 2 3" xfId="2454"/>
    <cellStyle name="Normal 6 2 2 2 2 3" xfId="1414"/>
    <cellStyle name="Normal 6 2 2 2 2 4" xfId="2107"/>
    <cellStyle name="Normal 6 2 2 2 3" xfId="660"/>
    <cellStyle name="Normal 6 2 2 2 3 2" xfId="1589"/>
    <cellStyle name="Normal 6 2 2 2 3 3" xfId="2282"/>
    <cellStyle name="Normal 6 2 2 2 4" xfId="1058"/>
    <cellStyle name="Normal 6 2 2 2 5" xfId="1242"/>
    <cellStyle name="Normal 6 2 2 2 6" xfId="1935"/>
    <cellStyle name="Normal 6 2 2 3" xfId="481"/>
    <cellStyle name="Normal 6 2 2 3 2" xfId="854"/>
    <cellStyle name="Normal 6 2 2 3 2 2" xfId="1760"/>
    <cellStyle name="Normal 6 2 2 3 2 3" xfId="2453"/>
    <cellStyle name="Normal 6 2 2 3 3" xfId="1413"/>
    <cellStyle name="Normal 6 2 2 3 4" xfId="2106"/>
    <cellStyle name="Normal 6 2 2 4" xfId="659"/>
    <cellStyle name="Normal 6 2 2 4 2" xfId="1588"/>
    <cellStyle name="Normal 6 2 2 4 3" xfId="2281"/>
    <cellStyle name="Normal 6 2 2 5" xfId="1057"/>
    <cellStyle name="Normal 6 2 2 6" xfId="1241"/>
    <cellStyle name="Normal 6 2 2 7" xfId="1934"/>
    <cellStyle name="Normal 6 2 3" xfId="263"/>
    <cellStyle name="Normal 6 2 3 2" xfId="483"/>
    <cellStyle name="Normal 6 2 3 2 2" xfId="856"/>
    <cellStyle name="Normal 6 2 3 2 2 2" xfId="1762"/>
    <cellStyle name="Normal 6 2 3 2 2 3" xfId="2455"/>
    <cellStyle name="Normal 6 2 3 2 3" xfId="1415"/>
    <cellStyle name="Normal 6 2 3 2 4" xfId="2108"/>
    <cellStyle name="Normal 6 2 3 3" xfId="661"/>
    <cellStyle name="Normal 6 2 3 3 2" xfId="1590"/>
    <cellStyle name="Normal 6 2 3 3 3" xfId="2283"/>
    <cellStyle name="Normal 6 2 3 4" xfId="1059"/>
    <cellStyle name="Normal 6 2 3 5" xfId="1243"/>
    <cellStyle name="Normal 6 2 3 6" xfId="1936"/>
    <cellStyle name="Normal 6 3" xfId="145"/>
    <cellStyle name="Normal 6 3 2" xfId="264"/>
    <cellStyle name="Normal 6 3 2 2" xfId="484"/>
    <cellStyle name="Normal 6 3 2 2 2" xfId="857"/>
    <cellStyle name="Normal 6 3 2 2 2 2" xfId="1763"/>
    <cellStyle name="Normal 6 3 2 2 2 3" xfId="2456"/>
    <cellStyle name="Normal 6 3 2 2 3" xfId="1416"/>
    <cellStyle name="Normal 6 3 2 2 4" xfId="2109"/>
    <cellStyle name="Normal 6 3 2 3" xfId="662"/>
    <cellStyle name="Normal 6 3 2 3 2" xfId="1591"/>
    <cellStyle name="Normal 6 3 2 3 3" xfId="2284"/>
    <cellStyle name="Normal 6 3 2 4" xfId="1060"/>
    <cellStyle name="Normal 6 3 2 5" xfId="1244"/>
    <cellStyle name="Normal 6 3 2 6" xfId="1937"/>
    <cellStyle name="Normal 6 3 3" xfId="389"/>
    <cellStyle name="Normal 6 3 3 2" xfId="767"/>
    <cellStyle name="Normal 6 3 3 2 2" xfId="1673"/>
    <cellStyle name="Normal 6 3 3 2 3" xfId="2366"/>
    <cellStyle name="Normal 6 3 3 3" xfId="1326"/>
    <cellStyle name="Normal 6 3 3 4" xfId="2019"/>
    <cellStyle name="Normal 6 3 4" xfId="572"/>
    <cellStyle name="Normal 6 3 4 2" xfId="1501"/>
    <cellStyle name="Normal 6 3 4 3" xfId="2194"/>
    <cellStyle name="Normal 6 3 5" xfId="969"/>
    <cellStyle name="Normal 6 3 6" xfId="1154"/>
    <cellStyle name="Normal 6 3 7" xfId="1847"/>
    <cellStyle name="Normal 6 4" xfId="265"/>
    <cellStyle name="Normal 6 4 2" xfId="485"/>
    <cellStyle name="Normal 6 4 2 2" xfId="858"/>
    <cellStyle name="Normal 6 4 2 2 2" xfId="1764"/>
    <cellStyle name="Normal 6 4 2 2 3" xfId="2457"/>
    <cellStyle name="Normal 6 4 2 3" xfId="1417"/>
    <cellStyle name="Normal 6 4 2 4" xfId="2110"/>
    <cellStyle name="Normal 6 4 3" xfId="663"/>
    <cellStyle name="Normal 6 4 3 2" xfId="1592"/>
    <cellStyle name="Normal 6 4 3 3" xfId="2285"/>
    <cellStyle name="Normal 6 4 4" xfId="1061"/>
    <cellStyle name="Normal 6 4 5" xfId="1245"/>
    <cellStyle name="Normal 6 4 6" xfId="1938"/>
    <cellStyle name="Normal 6 5" xfId="329"/>
    <cellStyle name="Normal 6 5 2" xfId="710"/>
    <cellStyle name="Normal 6 5 2 2" xfId="1627"/>
    <cellStyle name="Normal 6 5 2 3" xfId="2320"/>
    <cellStyle name="Normal 6 5 3" xfId="1280"/>
    <cellStyle name="Normal 6 5 4" xfId="1973"/>
    <cellStyle name="Normal 6 6" xfId="526"/>
    <cellStyle name="Normal 6 6 2" xfId="1455"/>
    <cellStyle name="Normal 6 6 3" xfId="2148"/>
    <cellStyle name="Normal 6 7" xfId="910"/>
    <cellStyle name="Normal 6 8" xfId="1108"/>
    <cellStyle name="Normal 6 9" xfId="1801"/>
    <cellStyle name="Normal 6_Balanse - eiendeler" xfId="113"/>
    <cellStyle name="Normal 60 2" xfId="1083"/>
    <cellStyle name="Normal 7" xfId="266"/>
    <cellStyle name="Normal 7 2" xfId="267"/>
    <cellStyle name="Normal 7 2 2" xfId="268"/>
    <cellStyle name="Normal 7 2 2 2" xfId="269"/>
    <cellStyle name="Normal 7 2 2 2 2" xfId="489"/>
    <cellStyle name="Normal 7 2 2 2 2 2" xfId="862"/>
    <cellStyle name="Normal 7 2 2 2 2 2 2" xfId="1768"/>
    <cellStyle name="Normal 7 2 2 2 2 2 3" xfId="2461"/>
    <cellStyle name="Normal 7 2 2 2 2 3" xfId="1421"/>
    <cellStyle name="Normal 7 2 2 2 2 4" xfId="2114"/>
    <cellStyle name="Normal 7 2 2 2 3" xfId="667"/>
    <cellStyle name="Normal 7 2 2 2 3 2" xfId="1596"/>
    <cellStyle name="Normal 7 2 2 2 3 3" xfId="2289"/>
    <cellStyle name="Normal 7 2 2 2 4" xfId="1065"/>
    <cellStyle name="Normal 7 2 2 2 5" xfId="1249"/>
    <cellStyle name="Normal 7 2 2 2 6" xfId="1942"/>
    <cellStyle name="Normal 7 2 2 3" xfId="488"/>
    <cellStyle name="Normal 7 2 2 3 2" xfId="861"/>
    <cellStyle name="Normal 7 2 2 3 2 2" xfId="1767"/>
    <cellStyle name="Normal 7 2 2 3 2 3" xfId="2460"/>
    <cellStyle name="Normal 7 2 2 3 3" xfId="1420"/>
    <cellStyle name="Normal 7 2 2 3 4" xfId="2113"/>
    <cellStyle name="Normal 7 2 2 4" xfId="666"/>
    <cellStyle name="Normal 7 2 2 4 2" xfId="1595"/>
    <cellStyle name="Normal 7 2 2 4 3" xfId="2288"/>
    <cellStyle name="Normal 7 2 2 5" xfId="1064"/>
    <cellStyle name="Normal 7 2 2 6" xfId="1248"/>
    <cellStyle name="Normal 7 2 2 7" xfId="1941"/>
    <cellStyle name="Normal 7 2 3" xfId="270"/>
    <cellStyle name="Normal 7 2 3 2" xfId="490"/>
    <cellStyle name="Normal 7 2 3 2 2" xfId="863"/>
    <cellStyle name="Normal 7 2 3 2 2 2" xfId="1769"/>
    <cellStyle name="Normal 7 2 3 2 2 3" xfId="2462"/>
    <cellStyle name="Normal 7 2 3 2 3" xfId="1422"/>
    <cellStyle name="Normal 7 2 3 2 4" xfId="2115"/>
    <cellStyle name="Normal 7 2 3 3" xfId="668"/>
    <cellStyle name="Normal 7 2 3 3 2" xfId="1597"/>
    <cellStyle name="Normal 7 2 3 3 3" xfId="2290"/>
    <cellStyle name="Normal 7 2 3 4" xfId="1066"/>
    <cellStyle name="Normal 7 2 3 5" xfId="1250"/>
    <cellStyle name="Normal 7 2 3 6" xfId="1943"/>
    <cellStyle name="Normal 7 2 4" xfId="487"/>
    <cellStyle name="Normal 7 2 4 2" xfId="860"/>
    <cellStyle name="Normal 7 2 4 2 2" xfId="1766"/>
    <cellStyle name="Normal 7 2 4 2 3" xfId="2459"/>
    <cellStyle name="Normal 7 2 4 3" xfId="1419"/>
    <cellStyle name="Normal 7 2 4 4" xfId="2112"/>
    <cellStyle name="Normal 7 2 5" xfId="665"/>
    <cellStyle name="Normal 7 2 5 2" xfId="1594"/>
    <cellStyle name="Normal 7 2 5 3" xfId="2287"/>
    <cellStyle name="Normal 7 2 6" xfId="1063"/>
    <cellStyle name="Normal 7 2 7" xfId="1247"/>
    <cellStyle name="Normal 7 2 8" xfId="1940"/>
    <cellStyle name="Normal 7 3" xfId="271"/>
    <cellStyle name="Normal 7 3 2" xfId="272"/>
    <cellStyle name="Normal 7 3 2 2" xfId="492"/>
    <cellStyle name="Normal 7 3 2 2 2" xfId="865"/>
    <cellStyle name="Normal 7 3 2 2 2 2" xfId="1771"/>
    <cellStyle name="Normal 7 3 2 2 2 3" xfId="2464"/>
    <cellStyle name="Normal 7 3 2 2 3" xfId="1424"/>
    <cellStyle name="Normal 7 3 2 2 4" xfId="2117"/>
    <cellStyle name="Normal 7 3 2 3" xfId="670"/>
    <cellStyle name="Normal 7 3 2 3 2" xfId="1599"/>
    <cellStyle name="Normal 7 3 2 3 3" xfId="2292"/>
    <cellStyle name="Normal 7 3 2 4" xfId="1068"/>
    <cellStyle name="Normal 7 3 2 5" xfId="1252"/>
    <cellStyle name="Normal 7 3 2 6" xfId="1945"/>
    <cellStyle name="Normal 7 3 3" xfId="491"/>
    <cellStyle name="Normal 7 3 3 2" xfId="864"/>
    <cellStyle name="Normal 7 3 3 2 2" xfId="1770"/>
    <cellStyle name="Normal 7 3 3 2 3" xfId="2463"/>
    <cellStyle name="Normal 7 3 3 3" xfId="1423"/>
    <cellStyle name="Normal 7 3 3 4" xfId="2116"/>
    <cellStyle name="Normal 7 3 4" xfId="669"/>
    <cellStyle name="Normal 7 3 4 2" xfId="1598"/>
    <cellStyle name="Normal 7 3 4 3" xfId="2291"/>
    <cellStyle name="Normal 7 3 5" xfId="1067"/>
    <cellStyle name="Normal 7 3 6" xfId="1251"/>
    <cellStyle name="Normal 7 3 7" xfId="1944"/>
    <cellStyle name="Normal 7 4" xfId="273"/>
    <cellStyle name="Normal 7 4 2" xfId="493"/>
    <cellStyle name="Normal 7 4 2 2" xfId="866"/>
    <cellStyle name="Normal 7 4 2 2 2" xfId="1772"/>
    <cellStyle name="Normal 7 4 2 2 3" xfId="2465"/>
    <cellStyle name="Normal 7 4 2 3" xfId="1425"/>
    <cellStyle name="Normal 7 4 2 4" xfId="2118"/>
    <cellStyle name="Normal 7 4 3" xfId="671"/>
    <cellStyle name="Normal 7 4 3 2" xfId="1600"/>
    <cellStyle name="Normal 7 4 3 3" xfId="2293"/>
    <cellStyle name="Normal 7 4 4" xfId="1069"/>
    <cellStyle name="Normal 7 4 5" xfId="1253"/>
    <cellStyle name="Normal 7 4 6" xfId="1946"/>
    <cellStyle name="Normal 7 5" xfId="486"/>
    <cellStyle name="Normal 7 5 2" xfId="859"/>
    <cellStyle name="Normal 7 5 2 2" xfId="1765"/>
    <cellStyle name="Normal 7 5 2 3" xfId="2458"/>
    <cellStyle name="Normal 7 5 3" xfId="1418"/>
    <cellStyle name="Normal 7 5 4" xfId="2111"/>
    <cellStyle name="Normal 7 6" xfId="664"/>
    <cellStyle name="Normal 7 6 2" xfId="1593"/>
    <cellStyle name="Normal 7 6 3" xfId="2286"/>
    <cellStyle name="Normal 7 7" xfId="1062"/>
    <cellStyle name="Normal 7 8" xfId="1246"/>
    <cellStyle name="Normal 7 9" xfId="1939"/>
    <cellStyle name="Normal 8" xfId="274"/>
    <cellStyle name="Normal 9" xfId="275"/>
    <cellStyle name="Normal 9 2" xfId="276"/>
    <cellStyle name="Normal 9 2 2" xfId="277"/>
    <cellStyle name="Normal 9 2 2 2" xfId="496"/>
    <cellStyle name="Normal 9 2 2 2 2" xfId="869"/>
    <cellStyle name="Normal 9 2 2 2 2 2" xfId="1775"/>
    <cellStyle name="Normal 9 2 2 2 2 3" xfId="2468"/>
    <cellStyle name="Normal 9 2 2 2 3" xfId="1428"/>
    <cellStyle name="Normal 9 2 2 2 4" xfId="2121"/>
    <cellStyle name="Normal 9 2 2 3" xfId="674"/>
    <cellStyle name="Normal 9 2 2 3 2" xfId="1603"/>
    <cellStyle name="Normal 9 2 2 3 3" xfId="2296"/>
    <cellStyle name="Normal 9 2 2 4" xfId="1072"/>
    <cellStyle name="Normal 9 2 2 5" xfId="1256"/>
    <cellStyle name="Normal 9 2 2 6" xfId="1949"/>
    <cellStyle name="Normal 9 2 3" xfId="278"/>
    <cellStyle name="Normal 9 2 3 2" xfId="296"/>
    <cellStyle name="Normal 9 2 3 2 2" xfId="502"/>
    <cellStyle name="Normal 9 2 3 2 2 2" xfId="873"/>
    <cellStyle name="Normal 9 2 3 2 2 2 2" xfId="1779"/>
    <cellStyle name="Normal 9 2 3 2 2 2 3" xfId="2472"/>
    <cellStyle name="Normal 9 2 3 2 2 3" xfId="1432"/>
    <cellStyle name="Normal 9 2 3 2 2 4" xfId="2125"/>
    <cellStyle name="Normal 9 2 3 2 3" xfId="678"/>
    <cellStyle name="Normal 9 2 3 2 3 2" xfId="1607"/>
    <cellStyle name="Normal 9 2 3 2 3 3" xfId="2300"/>
    <cellStyle name="Normal 9 2 3 2 4" xfId="1076"/>
    <cellStyle name="Normal 9 2 3 2 5" xfId="1260"/>
    <cellStyle name="Normal 9 2 3 2 6" xfId="1953"/>
    <cellStyle name="Normal 9 2 3 3" xfId="497"/>
    <cellStyle name="Normal 9 2 3 3 2" xfId="870"/>
    <cellStyle name="Normal 9 2 3 3 2 2" xfId="1776"/>
    <cellStyle name="Normal 9 2 3 3 2 3" xfId="2469"/>
    <cellStyle name="Normal 9 2 3 3 3" xfId="1429"/>
    <cellStyle name="Normal 9 2 3 3 4" xfId="2122"/>
    <cellStyle name="Normal 9 2 3 4" xfId="675"/>
    <cellStyle name="Normal 9 2 3 4 2" xfId="1604"/>
    <cellStyle name="Normal 9 2 3 4 3" xfId="2297"/>
    <cellStyle name="Normal 9 2 3 5" xfId="1073"/>
    <cellStyle name="Normal 9 2 3 6" xfId="1257"/>
    <cellStyle name="Normal 9 2 3 7" xfId="1950"/>
    <cellStyle name="Normal 9 2 4" xfId="495"/>
    <cellStyle name="Normal 9 2 4 2" xfId="868"/>
    <cellStyle name="Normal 9 2 4 2 2" xfId="1774"/>
    <cellStyle name="Normal 9 2 4 2 3" xfId="2467"/>
    <cellStyle name="Normal 9 2 4 3" xfId="1427"/>
    <cellStyle name="Normal 9 2 4 4" xfId="2120"/>
    <cellStyle name="Normal 9 2 5" xfId="673"/>
    <cellStyle name="Normal 9 2 5 2" xfId="1602"/>
    <cellStyle name="Normal 9 2 5 3" xfId="2295"/>
    <cellStyle name="Normal 9 2 6" xfId="1071"/>
    <cellStyle name="Normal 9 2 7" xfId="1255"/>
    <cellStyle name="Normal 9 2 8" xfId="1948"/>
    <cellStyle name="Normal 9 3" xfId="279"/>
    <cellStyle name="Normal 9 3 2" xfId="498"/>
    <cellStyle name="Normal 9 3 2 2" xfId="871"/>
    <cellStyle name="Normal 9 3 2 2 2" xfId="1777"/>
    <cellStyle name="Normal 9 3 2 2 3" xfId="2470"/>
    <cellStyle name="Normal 9 3 2 3" xfId="1430"/>
    <cellStyle name="Normal 9 3 2 4" xfId="2123"/>
    <cellStyle name="Normal 9 3 3" xfId="676"/>
    <cellStyle name="Normal 9 3 3 2" xfId="1605"/>
    <cellStyle name="Normal 9 3 3 3" xfId="2298"/>
    <cellStyle name="Normal 9 3 4" xfId="1074"/>
    <cellStyle name="Normal 9 3 5" xfId="1258"/>
    <cellStyle name="Normal 9 3 6" xfId="1951"/>
    <cellStyle name="Normal 9 4" xfId="280"/>
    <cellStyle name="Normal 9 4 2" xfId="499"/>
    <cellStyle name="Normal 9 4 2 2" xfId="872"/>
    <cellStyle name="Normal 9 4 2 2 2" xfId="1778"/>
    <cellStyle name="Normal 9 4 2 2 3" xfId="2471"/>
    <cellStyle name="Normal 9 4 2 3" xfId="1431"/>
    <cellStyle name="Normal 9 4 2 4" xfId="2124"/>
    <cellStyle name="Normal 9 4 3" xfId="677"/>
    <cellStyle name="Normal 9 4 3 2" xfId="1606"/>
    <cellStyle name="Normal 9 4 3 3" xfId="2299"/>
    <cellStyle name="Normal 9 4 4" xfId="1075"/>
    <cellStyle name="Normal 9 4 5" xfId="1259"/>
    <cellStyle name="Normal 9 4 6" xfId="1952"/>
    <cellStyle name="Normal 9 5" xfId="494"/>
    <cellStyle name="Normal 9 5 2" xfId="867"/>
    <cellStyle name="Normal 9 5 2 2" xfId="1773"/>
    <cellStyle name="Normal 9 5 2 3" xfId="2466"/>
    <cellStyle name="Normal 9 5 3" xfId="1426"/>
    <cellStyle name="Normal 9 5 4" xfId="2119"/>
    <cellStyle name="Normal 9 6" xfId="672"/>
    <cellStyle name="Normal 9 6 2" xfId="1601"/>
    <cellStyle name="Normal 9 6 3" xfId="2294"/>
    <cellStyle name="Normal 9 7" xfId="1070"/>
    <cellStyle name="Normal 9 8" xfId="1254"/>
    <cellStyle name="Normal 9 9" xfId="1947"/>
    <cellStyle name="Note" xfId="77"/>
    <cellStyle name="Note 2" xfId="158"/>
    <cellStyle name="Note 2 2" xfId="402"/>
    <cellStyle name="Note 2 2 2" xfId="780"/>
    <cellStyle name="Note 2 2 2 2" xfId="1686"/>
    <cellStyle name="Note 2 2 2 3" xfId="2379"/>
    <cellStyle name="Note 2 2 3" xfId="1339"/>
    <cellStyle name="Note 2 2 4" xfId="2032"/>
    <cellStyle name="Note 2 3" xfId="585"/>
    <cellStyle name="Note 2 3 2" xfId="1514"/>
    <cellStyle name="Note 2 3 3" xfId="2207"/>
    <cellStyle name="Note 2 4" xfId="982"/>
    <cellStyle name="Note 2 5" xfId="1167"/>
    <cellStyle name="Note 2 6" xfId="1860"/>
    <cellStyle name="Note 3" xfId="344"/>
    <cellStyle name="Note 3 2" xfId="725"/>
    <cellStyle name="Note 3 2 2" xfId="1640"/>
    <cellStyle name="Note 3 2 3" xfId="2333"/>
    <cellStyle name="Note 3 3" xfId="1293"/>
    <cellStyle name="Note 3 4" xfId="1986"/>
    <cellStyle name="Note 4" xfId="539"/>
    <cellStyle name="Note 4 2" xfId="1468"/>
    <cellStyle name="Note 4 3" xfId="2161"/>
    <cellStyle name="Note 5" xfId="926"/>
    <cellStyle name="Note 6" xfId="1121"/>
    <cellStyle name="Note 7" xfId="1814"/>
    <cellStyle name="Nøytral 2" xfId="281"/>
    <cellStyle name="Output" xfId="78"/>
    <cellStyle name="Overskrift 1 2" xfId="282"/>
    <cellStyle name="Overskrift 2 2" xfId="283"/>
    <cellStyle name="Overskrift 3 2" xfId="284"/>
    <cellStyle name="Overskrift 4 2" xfId="285"/>
    <cellStyle name="Prosent" xfId="3" builtinId="5"/>
    <cellStyle name="Prosent 2" xfId="4"/>
    <cellStyle name="Prosent 2 2" xfId="114"/>
    <cellStyle name="Prosent 3" xfId="17"/>
    <cellStyle name="Prosent 3 2" xfId="115"/>
    <cellStyle name="Title" xfId="79"/>
    <cellStyle name="Tittel 2" xfId="286"/>
    <cellStyle name="Total" xfId="80"/>
    <cellStyle name="Totalt 2" xfId="287"/>
    <cellStyle name="Totalt 2 2" xfId="500"/>
    <cellStyle name="Totalt 2 3" xfId="935"/>
    <cellStyle name="Tusenskille 2" xfId="41"/>
    <cellStyle name="Tusenskille 2 2" xfId="116"/>
    <cellStyle name="Tusenskille 2 2 2" xfId="360"/>
    <cellStyle name="Tusenskille 2 2 2 2" xfId="738"/>
    <cellStyle name="Tusenskille 2 2 3" xfId="940"/>
    <cellStyle name="Tusenskille 2 3" xfId="330"/>
    <cellStyle name="Tusenskille 2 3 2" xfId="711"/>
    <cellStyle name="Tusenskille 2 4" xfId="911"/>
    <cellStyle name="Tusenskille 3" xfId="37"/>
    <cellStyle name="Tusenskille 3 2" xfId="327"/>
    <cellStyle name="Tusenskille 3 2 2" xfId="708"/>
    <cellStyle name="Tusenskille 3 3" xfId="908"/>
    <cellStyle name="Tusenskille 4" xfId="38"/>
    <cellStyle name="Tusenskille 4 2" xfId="328"/>
    <cellStyle name="Tusenskille 4 2 2" xfId="709"/>
    <cellStyle name="Tusenskille 4 3" xfId="909"/>
    <cellStyle name="Utdata 2" xfId="288"/>
    <cellStyle name="Utdata 2 2" xfId="501"/>
    <cellStyle name="Utdata 2 3" xfId="1086"/>
    <cellStyle name="Uthevingsfarge1 2" xfId="289"/>
    <cellStyle name="Uthevingsfarge2 2" xfId="290"/>
    <cellStyle name="Uthevingsfarge3 2" xfId="291"/>
    <cellStyle name="Uthevingsfarge4 2" xfId="292"/>
    <cellStyle name="Uthevingsfarge5 2" xfId="293"/>
    <cellStyle name="Uthevingsfarge6 2" xfId="294"/>
    <cellStyle name="Varseltekst 2" xfId="295"/>
    <cellStyle name="Warning Text" xfId="8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2.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 Id="rId27" Type="http://schemas.openxmlformats.org/officeDocument/2006/relationships/customXml" Target="../customXml/item3.xml"/></Relationships>
</file>

<file path=xl/theme/theme1.xml><?xml version="1.0" encoding="utf-8"?>
<a:theme xmlns:a="http://schemas.openxmlformats.org/drawingml/2006/main" name="Office-t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1"/>
  <sheetViews>
    <sheetView workbookViewId="0">
      <selection activeCell="C10" sqref="C10"/>
    </sheetView>
  </sheetViews>
  <sheetFormatPr baseColWidth="10" defaultColWidth="17.28515625" defaultRowHeight="15.75" customHeight="1" x14ac:dyDescent="0.25"/>
  <cols>
    <col min="1" max="1" width="46.5703125" style="345" customWidth="1"/>
    <col min="2" max="2" width="10.7109375" style="345" customWidth="1"/>
    <col min="3" max="3" width="26.7109375" style="345" customWidth="1"/>
    <col min="4" max="6" width="10.7109375" style="345" customWidth="1"/>
    <col min="7" max="16384" width="17.28515625" style="345"/>
  </cols>
  <sheetData>
    <row r="1" spans="1:6" ht="12.75" customHeight="1" x14ac:dyDescent="0.25">
      <c r="A1" s="2"/>
    </row>
    <row r="2" spans="1:6" ht="15" customHeight="1" x14ac:dyDescent="0.25">
      <c r="A2" s="3" t="s">
        <v>802</v>
      </c>
      <c r="B2" s="4"/>
      <c r="C2" s="5"/>
      <c r="D2" s="1"/>
      <c r="E2" s="1"/>
      <c r="F2" s="1"/>
    </row>
    <row r="3" spans="1:6" ht="15" customHeight="1" x14ac:dyDescent="0.25">
      <c r="A3" s="6"/>
      <c r="B3" s="7"/>
      <c r="C3" s="1"/>
      <c r="D3" s="1"/>
      <c r="E3" s="1"/>
      <c r="F3" s="1"/>
    </row>
    <row r="4" spans="1:6" ht="15" customHeight="1" x14ac:dyDescent="0.25">
      <c r="A4" s="65" t="s">
        <v>0</v>
      </c>
      <c r="B4" s="1"/>
      <c r="C4" s="1"/>
      <c r="D4" s="1"/>
      <c r="E4" s="1"/>
      <c r="F4" s="1"/>
    </row>
    <row r="5" spans="1:6" ht="15" customHeight="1" x14ac:dyDescent="0.25">
      <c r="A5" s="9"/>
      <c r="B5" s="1"/>
      <c r="C5" s="1"/>
      <c r="D5" s="1"/>
      <c r="E5" s="1"/>
      <c r="F5" s="1"/>
    </row>
    <row r="6" spans="1:6" ht="12.75" customHeight="1" x14ac:dyDescent="0.25">
      <c r="A6" s="596" t="s">
        <v>1</v>
      </c>
      <c r="B6" s="596"/>
      <c r="C6" s="596"/>
      <c r="D6" s="1"/>
      <c r="E6" s="1"/>
      <c r="F6" s="1"/>
    </row>
    <row r="7" spans="1:6" ht="12.75" customHeight="1" x14ac:dyDescent="0.25">
      <c r="A7" s="596"/>
      <c r="B7" s="596"/>
      <c r="C7" s="596"/>
      <c r="D7" s="1"/>
      <c r="E7" s="1"/>
      <c r="F7" s="1"/>
    </row>
    <row r="8" spans="1:6" ht="15" customHeight="1" x14ac:dyDescent="0.25">
      <c r="A8" s="596"/>
      <c r="B8" s="596"/>
      <c r="C8" s="596"/>
      <c r="D8" s="1"/>
      <c r="E8" s="1"/>
      <c r="F8" s="1"/>
    </row>
    <row r="9" spans="1:6" ht="15" customHeight="1" x14ac:dyDescent="0.25">
      <c r="A9" s="10"/>
      <c r="B9" s="10"/>
      <c r="C9" s="10"/>
      <c r="D9" s="1"/>
      <c r="E9" s="1"/>
      <c r="F9" s="1"/>
    </row>
    <row r="10" spans="1:6" ht="15" customHeight="1" x14ac:dyDescent="0.25">
      <c r="A10" s="8" t="s">
        <v>2</v>
      </c>
      <c r="B10" s="11"/>
      <c r="C10" s="11"/>
      <c r="D10" s="1"/>
      <c r="E10" s="1"/>
      <c r="F10" s="1"/>
    </row>
    <row r="11" spans="1:6" ht="15" customHeight="1" x14ac:dyDescent="0.25">
      <c r="A11" s="11"/>
      <c r="B11" s="1"/>
      <c r="C11" s="1"/>
      <c r="D11" s="1"/>
      <c r="E11" s="1"/>
      <c r="F11" s="1"/>
    </row>
    <row r="12" spans="1:6" ht="15" customHeight="1" x14ac:dyDescent="0.25">
      <c r="A12" s="12" t="s">
        <v>3</v>
      </c>
      <c r="B12" s="11"/>
      <c r="C12" s="1"/>
      <c r="D12" s="1"/>
      <c r="E12" s="1"/>
      <c r="F12" s="1"/>
    </row>
    <row r="13" spans="1:6" ht="15" customHeight="1" x14ac:dyDescent="0.25">
      <c r="A13" s="596" t="s">
        <v>454</v>
      </c>
      <c r="B13" s="596"/>
      <c r="C13" s="596"/>
      <c r="D13" s="1"/>
      <c r="E13" s="1"/>
      <c r="F13" s="1"/>
    </row>
    <row r="14" spans="1:6" ht="15" customHeight="1" x14ac:dyDescent="0.25">
      <c r="A14" s="596"/>
      <c r="B14" s="596"/>
      <c r="C14" s="596"/>
      <c r="D14" s="1"/>
      <c r="E14" s="1"/>
      <c r="F14" s="1"/>
    </row>
    <row r="15" spans="1:6" ht="15" customHeight="1" x14ac:dyDescent="0.25">
      <c r="A15" s="596"/>
      <c r="B15" s="596"/>
      <c r="C15" s="596"/>
      <c r="D15" s="1"/>
      <c r="E15" s="1"/>
      <c r="F15" s="1"/>
    </row>
    <row r="16" spans="1:6" ht="15" customHeight="1" x14ac:dyDescent="0.25">
      <c r="A16" s="596"/>
      <c r="B16" s="596"/>
      <c r="C16" s="596"/>
      <c r="D16" s="1"/>
      <c r="E16" s="1"/>
      <c r="F16" s="1"/>
    </row>
    <row r="17" spans="1:6" ht="15" customHeight="1" x14ac:dyDescent="0.25">
      <c r="A17" s="343"/>
      <c r="B17" s="343"/>
      <c r="C17" s="343"/>
      <c r="D17" s="1"/>
      <c r="E17" s="1"/>
      <c r="F17" s="1"/>
    </row>
    <row r="18" spans="1:6" ht="15" customHeight="1" x14ac:dyDescent="0.25">
      <c r="A18" s="12" t="s">
        <v>4</v>
      </c>
      <c r="B18" s="11"/>
      <c r="C18" s="1"/>
      <c r="D18" s="1"/>
      <c r="E18" s="1"/>
      <c r="F18" s="1"/>
    </row>
    <row r="19" spans="1:6" ht="15" customHeight="1" x14ac:dyDescent="0.25">
      <c r="A19" s="596" t="s">
        <v>5</v>
      </c>
      <c r="B19" s="596"/>
      <c r="C19" s="596"/>
      <c r="D19" s="1"/>
      <c r="E19" s="1"/>
      <c r="F19" s="1"/>
    </row>
    <row r="20" spans="1:6" ht="15" customHeight="1" x14ac:dyDescent="0.25">
      <c r="A20" s="596"/>
      <c r="B20" s="596"/>
      <c r="C20" s="596"/>
      <c r="D20" s="1"/>
      <c r="E20" s="1"/>
      <c r="F20" s="1"/>
    </row>
    <row r="21" spans="1:6" ht="15" customHeight="1" x14ac:dyDescent="0.25">
      <c r="A21" s="596"/>
      <c r="B21" s="596"/>
      <c r="C21" s="596"/>
      <c r="D21" s="1"/>
      <c r="E21" s="1"/>
      <c r="F21" s="1"/>
    </row>
    <row r="22" spans="1:6" ht="15" customHeight="1" x14ac:dyDescent="0.25">
      <c r="A22" s="596"/>
      <c r="B22" s="596"/>
      <c r="C22" s="596"/>
      <c r="D22" s="1"/>
      <c r="E22" s="1"/>
      <c r="F22" s="1"/>
    </row>
    <row r="23" spans="1:6" ht="15" customHeight="1" x14ac:dyDescent="0.25">
      <c r="A23" s="13"/>
      <c r="B23" s="11"/>
      <c r="C23" s="1"/>
      <c r="D23" s="1"/>
      <c r="E23" s="1"/>
      <c r="F23" s="1"/>
    </row>
    <row r="24" spans="1:6" ht="15" customHeight="1" x14ac:dyDescent="0.25">
      <c r="A24" s="12" t="s">
        <v>6</v>
      </c>
      <c r="B24" s="11"/>
      <c r="C24" s="1"/>
      <c r="D24" s="1"/>
      <c r="E24" s="1"/>
      <c r="F24" s="1"/>
    </row>
    <row r="25" spans="1:6" ht="15" customHeight="1" x14ac:dyDescent="0.25">
      <c r="A25" s="596" t="s">
        <v>7</v>
      </c>
      <c r="B25" s="596"/>
      <c r="C25" s="596"/>
      <c r="D25" s="1"/>
      <c r="E25" s="1"/>
      <c r="F25" s="1"/>
    </row>
    <row r="26" spans="1:6" ht="15" customHeight="1" x14ac:dyDescent="0.25">
      <c r="A26" s="596"/>
      <c r="B26" s="596"/>
      <c r="C26" s="596"/>
      <c r="D26" s="1"/>
      <c r="E26" s="1"/>
      <c r="F26" s="1"/>
    </row>
    <row r="27" spans="1:6" ht="15" customHeight="1" x14ac:dyDescent="0.25">
      <c r="A27" s="596"/>
      <c r="B27" s="596"/>
      <c r="C27" s="596"/>
      <c r="D27" s="1"/>
      <c r="E27" s="1"/>
      <c r="F27" s="1"/>
    </row>
    <row r="28" spans="1:6" ht="15" customHeight="1" x14ac:dyDescent="0.25">
      <c r="A28" s="596"/>
      <c r="B28" s="596"/>
      <c r="C28" s="596"/>
      <c r="D28" s="1"/>
      <c r="E28" s="1"/>
      <c r="F28" s="1"/>
    </row>
    <row r="29" spans="1:6" ht="15" customHeight="1" x14ac:dyDescent="0.25">
      <c r="A29" s="343"/>
      <c r="B29" s="343"/>
      <c r="C29" s="343"/>
      <c r="D29" s="1"/>
      <c r="E29" s="1"/>
      <c r="F29" s="1"/>
    </row>
    <row r="30" spans="1:6" ht="15" customHeight="1" x14ac:dyDescent="0.25">
      <c r="A30" s="12" t="s">
        <v>8</v>
      </c>
      <c r="B30" s="11"/>
      <c r="C30" s="1"/>
      <c r="D30" s="1"/>
      <c r="E30" s="1"/>
      <c r="F30" s="1"/>
    </row>
    <row r="31" spans="1:6" ht="15" customHeight="1" x14ac:dyDescent="0.25">
      <c r="A31" s="596" t="s">
        <v>9</v>
      </c>
      <c r="B31" s="596"/>
      <c r="C31" s="596"/>
      <c r="D31" s="1"/>
      <c r="E31" s="1"/>
      <c r="F31" s="1"/>
    </row>
    <row r="32" spans="1:6" ht="15" customHeight="1" x14ac:dyDescent="0.25">
      <c r="A32" s="596"/>
      <c r="B32" s="596"/>
      <c r="C32" s="596"/>
      <c r="D32" s="1"/>
      <c r="E32" s="1"/>
      <c r="F32" s="1"/>
    </row>
    <row r="33" spans="1:6" ht="15" customHeight="1" x14ac:dyDescent="0.25">
      <c r="A33" s="596"/>
      <c r="B33" s="596"/>
      <c r="C33" s="596"/>
      <c r="D33" s="1"/>
      <c r="E33" s="1"/>
      <c r="F33" s="1"/>
    </row>
    <row r="34" spans="1:6" ht="15" customHeight="1" x14ac:dyDescent="0.25">
      <c r="A34" s="596"/>
      <c r="B34" s="596"/>
      <c r="C34" s="596"/>
      <c r="D34" s="1"/>
      <c r="E34" s="1"/>
      <c r="F34" s="1"/>
    </row>
    <row r="35" spans="1:6" ht="15" customHeight="1" x14ac:dyDescent="0.25">
      <c r="A35" s="596"/>
      <c r="B35" s="596"/>
      <c r="C35" s="596"/>
      <c r="D35" s="1"/>
      <c r="E35" s="1"/>
      <c r="F35" s="1"/>
    </row>
    <row r="36" spans="1:6" ht="15" customHeight="1" x14ac:dyDescent="0.25">
      <c r="A36" s="596"/>
      <c r="B36" s="596"/>
      <c r="C36" s="596"/>
      <c r="D36" s="1"/>
      <c r="E36" s="1"/>
      <c r="F36" s="1"/>
    </row>
    <row r="37" spans="1:6" ht="15" customHeight="1" x14ac:dyDescent="0.25">
      <c r="A37" s="13"/>
      <c r="B37" s="11"/>
      <c r="C37" s="1"/>
      <c r="D37" s="1"/>
      <c r="E37" s="1"/>
      <c r="F37" s="1"/>
    </row>
    <row r="38" spans="1:6" ht="15" customHeight="1" x14ac:dyDescent="0.25">
      <c r="A38" s="12" t="s">
        <v>10</v>
      </c>
      <c r="B38" s="11"/>
      <c r="C38" s="1"/>
      <c r="D38" s="1"/>
      <c r="E38" s="1"/>
      <c r="F38" s="1"/>
    </row>
    <row r="39" spans="1:6" ht="15" customHeight="1" x14ac:dyDescent="0.25">
      <c r="A39" s="595" t="s">
        <v>11</v>
      </c>
      <c r="B39" s="595"/>
      <c r="C39" s="595"/>
      <c r="D39" s="1"/>
      <c r="E39" s="1"/>
      <c r="F39" s="1"/>
    </row>
    <row r="40" spans="1:6" ht="15" customHeight="1" x14ac:dyDescent="0.25">
      <c r="A40" s="595"/>
      <c r="B40" s="595"/>
      <c r="C40" s="595"/>
      <c r="D40" s="1"/>
      <c r="E40" s="1"/>
      <c r="F40" s="1"/>
    </row>
    <row r="41" spans="1:6" ht="15" customHeight="1" x14ac:dyDescent="0.25">
      <c r="A41" s="595"/>
      <c r="B41" s="595"/>
      <c r="C41" s="595"/>
      <c r="D41" s="1"/>
      <c r="E41" s="1"/>
      <c r="F41" s="1"/>
    </row>
    <row r="42" spans="1:6" ht="15" customHeight="1" x14ac:dyDescent="0.25">
      <c r="A42" s="13"/>
      <c r="B42" s="11"/>
      <c r="C42" s="1"/>
      <c r="D42" s="1"/>
      <c r="E42" s="1"/>
      <c r="F42" s="1"/>
    </row>
    <row r="43" spans="1:6" ht="15" customHeight="1" x14ac:dyDescent="0.25">
      <c r="A43" s="12" t="s">
        <v>12</v>
      </c>
      <c r="B43" s="11"/>
      <c r="C43" s="1"/>
      <c r="D43" s="1"/>
      <c r="E43" s="1"/>
      <c r="F43" s="1"/>
    </row>
    <row r="44" spans="1:6" ht="15" customHeight="1" x14ac:dyDescent="0.25">
      <c r="A44" s="596" t="s">
        <v>13</v>
      </c>
      <c r="B44" s="596"/>
      <c r="C44" s="596"/>
      <c r="D44" s="1"/>
      <c r="E44" s="1"/>
      <c r="F44" s="1"/>
    </row>
    <row r="45" spans="1:6" ht="15" customHeight="1" x14ac:dyDescent="0.25">
      <c r="A45" s="339"/>
      <c r="B45" s="339"/>
      <c r="C45" s="339"/>
      <c r="D45" s="1"/>
      <c r="E45" s="1"/>
      <c r="F45" s="1"/>
    </row>
    <row r="46" spans="1:6" ht="15" customHeight="1" x14ac:dyDescent="0.25">
      <c r="A46" s="12" t="s">
        <v>14</v>
      </c>
      <c r="B46" s="11"/>
      <c r="C46" s="1"/>
      <c r="D46" s="1"/>
      <c r="E46" s="1"/>
      <c r="F46" s="1"/>
    </row>
    <row r="47" spans="1:6" ht="15" customHeight="1" x14ac:dyDescent="0.25">
      <c r="A47" s="596" t="s">
        <v>15</v>
      </c>
      <c r="B47" s="596"/>
      <c r="C47" s="596"/>
      <c r="D47" s="1"/>
      <c r="E47" s="1"/>
      <c r="F47" s="1"/>
    </row>
    <row r="48" spans="1:6" ht="15" customHeight="1" x14ac:dyDescent="0.25">
      <c r="A48" s="596"/>
      <c r="B48" s="596"/>
      <c r="C48" s="596"/>
      <c r="D48" s="1"/>
      <c r="E48" s="1"/>
      <c r="F48" s="1"/>
    </row>
    <row r="49" spans="1:6" ht="15" customHeight="1" x14ac:dyDescent="0.25">
      <c r="A49" s="339"/>
      <c r="B49" s="339"/>
      <c r="C49" s="339"/>
      <c r="D49" s="1"/>
      <c r="E49" s="1"/>
      <c r="F49" s="1"/>
    </row>
    <row r="50" spans="1:6" ht="15" customHeight="1" x14ac:dyDescent="0.25">
      <c r="A50" s="12" t="s">
        <v>16</v>
      </c>
      <c r="B50" s="11"/>
      <c r="C50" s="1"/>
      <c r="D50" s="1"/>
      <c r="E50" s="1"/>
      <c r="F50" s="1"/>
    </row>
    <row r="51" spans="1:6" ht="15" customHeight="1" x14ac:dyDescent="0.25">
      <c r="A51" s="596" t="s">
        <v>17</v>
      </c>
      <c r="B51" s="596"/>
      <c r="C51" s="596"/>
      <c r="D51" s="1"/>
      <c r="E51" s="1"/>
      <c r="F51" s="1"/>
    </row>
    <row r="52" spans="1:6" ht="15" customHeight="1" x14ac:dyDescent="0.25">
      <c r="A52" s="596"/>
      <c r="B52" s="596"/>
      <c r="C52" s="596"/>
      <c r="D52" s="1"/>
      <c r="E52" s="1"/>
      <c r="F52" s="1"/>
    </row>
    <row r="53" spans="1:6" ht="15" customHeight="1" x14ac:dyDescent="0.25">
      <c r="A53" s="596"/>
      <c r="B53" s="596"/>
      <c r="C53" s="596"/>
      <c r="D53" s="1"/>
      <c r="E53" s="1"/>
      <c r="F53" s="1"/>
    </row>
    <row r="54" spans="1:6" ht="15" customHeight="1" x14ac:dyDescent="0.25">
      <c r="A54" s="13"/>
      <c r="B54" s="11"/>
      <c r="C54" s="1"/>
      <c r="D54" s="1"/>
      <c r="E54" s="14"/>
      <c r="F54" s="1"/>
    </row>
    <row r="55" spans="1:6" ht="15" customHeight="1" x14ac:dyDescent="0.25">
      <c r="A55" s="12" t="s">
        <v>18</v>
      </c>
      <c r="B55" s="11"/>
      <c r="C55" s="1"/>
      <c r="D55" s="1"/>
      <c r="E55" s="1"/>
      <c r="F55" s="1"/>
    </row>
    <row r="56" spans="1:6" ht="15" customHeight="1" x14ac:dyDescent="0.25">
      <c r="A56" s="596" t="s">
        <v>363</v>
      </c>
      <c r="B56" s="596"/>
      <c r="C56" s="596"/>
      <c r="D56" s="1"/>
      <c r="E56" s="1"/>
      <c r="F56" s="1"/>
    </row>
    <row r="57" spans="1:6" ht="15" customHeight="1" x14ac:dyDescent="0.25">
      <c r="A57" s="596"/>
      <c r="B57" s="596"/>
      <c r="C57" s="596"/>
      <c r="D57" s="1"/>
      <c r="E57" s="1"/>
      <c r="F57" s="1"/>
    </row>
    <row r="58" spans="1:6" ht="15" customHeight="1" x14ac:dyDescent="0.25">
      <c r="A58" s="596"/>
      <c r="B58" s="596"/>
      <c r="C58" s="596"/>
      <c r="D58" s="1"/>
      <c r="E58" s="1"/>
      <c r="F58" s="1"/>
    </row>
    <row r="59" spans="1:6" ht="15" customHeight="1" x14ac:dyDescent="0.25">
      <c r="A59" s="596"/>
      <c r="B59" s="596"/>
      <c r="C59" s="596"/>
      <c r="D59" s="1"/>
      <c r="E59" s="1"/>
      <c r="F59" s="1"/>
    </row>
    <row r="60" spans="1:6" ht="15" customHeight="1" x14ac:dyDescent="0.25">
      <c r="A60" s="344"/>
      <c r="B60" s="344"/>
      <c r="C60" s="344"/>
      <c r="D60" s="1"/>
      <c r="E60" s="1"/>
      <c r="F60" s="1"/>
    </row>
    <row r="61" spans="1:6" ht="15" customHeight="1" x14ac:dyDescent="0.25">
      <c r="A61" s="12" t="s">
        <v>19</v>
      </c>
      <c r="B61" s="11"/>
      <c r="C61" s="1"/>
      <c r="D61" s="1"/>
      <c r="E61" s="1"/>
      <c r="F61" s="1"/>
    </row>
    <row r="62" spans="1:6" ht="33" customHeight="1" x14ac:dyDescent="0.25">
      <c r="A62" s="596" t="s">
        <v>20</v>
      </c>
      <c r="B62" s="596"/>
      <c r="C62" s="596"/>
      <c r="D62" s="1"/>
      <c r="E62" s="1"/>
      <c r="F62" s="1"/>
    </row>
    <row r="63" spans="1:6" ht="15" customHeight="1" x14ac:dyDescent="0.25">
      <c r="A63" s="13"/>
      <c r="B63" s="11"/>
      <c r="C63" s="1"/>
      <c r="D63" s="1"/>
      <c r="E63" s="1"/>
      <c r="F63" s="1"/>
    </row>
    <row r="64" spans="1:6" ht="15" customHeight="1" x14ac:dyDescent="0.25">
      <c r="A64" s="15" t="s">
        <v>21</v>
      </c>
      <c r="B64" s="11"/>
      <c r="C64" s="1"/>
      <c r="D64" s="1"/>
      <c r="E64" s="1"/>
      <c r="F64" s="1"/>
    </row>
    <row r="65" spans="1:6" ht="15" customHeight="1" x14ac:dyDescent="0.25">
      <c r="A65" s="597" t="s">
        <v>463</v>
      </c>
      <c r="B65" s="597"/>
      <c r="C65" s="597"/>
      <c r="D65" s="1"/>
      <c r="E65" s="1"/>
      <c r="F65" s="1"/>
    </row>
    <row r="66" spans="1:6" ht="15" customHeight="1" x14ac:dyDescent="0.25">
      <c r="A66" s="16"/>
      <c r="B66" s="11"/>
      <c r="C66" s="1"/>
      <c r="D66" s="1"/>
      <c r="E66" s="1"/>
      <c r="F66" s="1"/>
    </row>
    <row r="67" spans="1:6" ht="15" customHeight="1" x14ac:dyDescent="0.25">
      <c r="A67" s="15" t="s">
        <v>22</v>
      </c>
      <c r="B67" s="11"/>
      <c r="C67" s="1"/>
      <c r="D67" s="1"/>
      <c r="E67" s="1"/>
      <c r="F67" s="1"/>
    </row>
    <row r="68" spans="1:6" ht="15" customHeight="1" x14ac:dyDescent="0.25">
      <c r="A68" s="597" t="s">
        <v>23</v>
      </c>
      <c r="B68" s="597"/>
      <c r="C68" s="597"/>
      <c r="D68" s="1"/>
      <c r="E68" s="1"/>
      <c r="F68" s="1"/>
    </row>
    <row r="69" spans="1:6" ht="15" customHeight="1" x14ac:dyDescent="0.25">
      <c r="A69" s="211"/>
      <c r="B69" s="211"/>
      <c r="C69" s="211"/>
      <c r="D69" s="1"/>
      <c r="E69" s="1"/>
      <c r="F69" s="1"/>
    </row>
    <row r="70" spans="1:6" ht="15" customHeight="1" x14ac:dyDescent="0.25">
      <c r="A70" s="15" t="s">
        <v>24</v>
      </c>
      <c r="B70" s="11"/>
      <c r="C70" s="1"/>
      <c r="D70" s="1"/>
      <c r="E70" s="1"/>
      <c r="F70" s="1"/>
    </row>
    <row r="71" spans="1:6" ht="15" customHeight="1" x14ac:dyDescent="0.25">
      <c r="A71" s="595" t="s">
        <v>25</v>
      </c>
      <c r="B71" s="595"/>
      <c r="C71" s="595"/>
      <c r="D71" s="1"/>
      <c r="E71" s="1"/>
      <c r="F71" s="1"/>
    </row>
  </sheetData>
  <sheetProtection formatCells="0" formatColumns="0" formatRows="0" insertColumns="0" insertRows="0"/>
  <mergeCells count="14">
    <mergeCell ref="A68:C68"/>
    <mergeCell ref="A71:C71"/>
    <mergeCell ref="A44:C44"/>
    <mergeCell ref="A47:C48"/>
    <mergeCell ref="A51:C53"/>
    <mergeCell ref="A56:C59"/>
    <mergeCell ref="A62:C62"/>
    <mergeCell ref="A65:C65"/>
    <mergeCell ref="A39:C41"/>
    <mergeCell ref="A6:C8"/>
    <mergeCell ref="A13:C16"/>
    <mergeCell ref="A19:C22"/>
    <mergeCell ref="A25:C28"/>
    <mergeCell ref="A31:C36"/>
  </mergeCells>
  <pageMargins left="0.7" right="0.7" top="0.75" bottom="0.75" header="0.3" footer="0.3"/>
  <pageSetup paperSize="9" orientation="portrait" r:id="rId1"/>
  <rowBreaks count="1" manualBreakCount="1">
    <brk id="49" max="16383" man="1"/>
  </rowBreak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76"/>
  <sheetViews>
    <sheetView topLeftCell="A20" workbookViewId="0">
      <selection activeCell="F60" sqref="F60:F63"/>
    </sheetView>
  </sheetViews>
  <sheetFormatPr baseColWidth="10" defaultColWidth="17.28515625" defaultRowHeight="15.75" customHeight="1" x14ac:dyDescent="0.25"/>
  <cols>
    <col min="1" max="1" width="43.5703125" style="350" customWidth="1"/>
    <col min="2" max="2" width="16.7109375" style="350" customWidth="1"/>
    <col min="3" max="3" width="15" style="350" customWidth="1"/>
    <col min="4" max="4" width="17.5703125" style="350" customWidth="1"/>
    <col min="5" max="5" width="15.7109375" style="350" customWidth="1"/>
    <col min="6" max="6" width="14.28515625" style="176" customWidth="1"/>
    <col min="7" max="8" width="10.7109375" style="345" customWidth="1"/>
    <col min="9" max="16384" width="17.28515625" style="345"/>
  </cols>
  <sheetData>
    <row r="1" spans="1:8" ht="12.75" customHeight="1" x14ac:dyDescent="0.25">
      <c r="A1" s="112"/>
      <c r="B1" s="348"/>
      <c r="C1" s="348"/>
      <c r="D1" s="348"/>
      <c r="E1" s="348"/>
    </row>
    <row r="2" spans="1:8" ht="15" x14ac:dyDescent="0.25">
      <c r="A2" s="347" t="str">
        <f>Resultatregnskap!A2</f>
        <v>Virksomhetens navn: Bergen Arkitekthøgskole</v>
      </c>
      <c r="B2" s="347"/>
      <c r="C2" s="347"/>
      <c r="D2" s="347"/>
      <c r="E2" s="347"/>
      <c r="F2" s="171"/>
      <c r="G2" s="1"/>
      <c r="H2" s="1"/>
    </row>
    <row r="3" spans="1:8" ht="15" x14ac:dyDescent="0.25">
      <c r="A3" s="348"/>
      <c r="B3" s="348"/>
      <c r="C3" s="348"/>
      <c r="D3" s="348"/>
      <c r="E3" s="348"/>
    </row>
    <row r="4" spans="1:8" ht="14.25" customHeight="1" x14ac:dyDescent="0.25">
      <c r="A4" s="349" t="s">
        <v>753</v>
      </c>
      <c r="B4" s="109"/>
      <c r="C4" s="109"/>
      <c r="D4" s="109"/>
      <c r="E4" s="109"/>
      <c r="F4" s="109"/>
      <c r="G4" s="1"/>
      <c r="H4" s="1"/>
    </row>
    <row r="5" spans="1:8" s="42" customFormat="1" ht="14.25" customHeight="1" x14ac:dyDescent="0.25">
      <c r="A5" s="107" t="str">
        <f>Resultatregnskap!A6</f>
        <v>Beløp i 1000 kroner</v>
      </c>
      <c r="B5" s="348"/>
      <c r="C5" s="348"/>
      <c r="D5" s="348"/>
      <c r="E5" s="348"/>
      <c r="F5" s="171"/>
      <c r="G5" s="1"/>
      <c r="H5" s="1"/>
    </row>
    <row r="6" spans="1:8" ht="12.75" customHeight="1" x14ac:dyDescent="0.25">
      <c r="A6" s="348"/>
      <c r="B6" s="348"/>
      <c r="C6" s="348"/>
      <c r="D6" s="348"/>
      <c r="E6" s="348"/>
    </row>
    <row r="7" spans="1:8" ht="20.100000000000001" customHeight="1" x14ac:dyDescent="0.25">
      <c r="A7" s="438" t="s">
        <v>483</v>
      </c>
      <c r="B7" s="603">
        <f>Resultatregnskap!C8</f>
        <v>45657</v>
      </c>
      <c r="C7" s="604"/>
      <c r="D7" s="605">
        <f>Resultatregnskap!D8</f>
        <v>45291</v>
      </c>
      <c r="E7" s="606"/>
      <c r="F7" s="444"/>
    </row>
    <row r="8" spans="1:8" ht="30" customHeight="1" x14ac:dyDescent="0.25">
      <c r="A8" s="439"/>
      <c r="B8" s="436" t="s">
        <v>749</v>
      </c>
      <c r="C8" s="437" t="s">
        <v>739</v>
      </c>
      <c r="D8" s="436" t="s">
        <v>749</v>
      </c>
      <c r="E8" s="436" t="s">
        <v>739</v>
      </c>
      <c r="F8" s="449" t="s">
        <v>466</v>
      </c>
    </row>
    <row r="9" spans="1:8" ht="15" customHeight="1" x14ac:dyDescent="0.25">
      <c r="A9" s="348" t="s">
        <v>781</v>
      </c>
      <c r="B9" s="172"/>
      <c r="C9" s="172"/>
      <c r="D9" s="172">
        <v>0</v>
      </c>
      <c r="E9" s="217">
        <v>0</v>
      </c>
      <c r="F9" s="222" t="s">
        <v>486</v>
      </c>
    </row>
    <row r="10" spans="1:8" ht="15" customHeight="1" x14ac:dyDescent="0.25">
      <c r="A10" s="348" t="s">
        <v>782</v>
      </c>
      <c r="B10" s="217"/>
      <c r="C10" s="217"/>
      <c r="D10" s="217">
        <v>0</v>
      </c>
      <c r="E10" s="217">
        <v>0</v>
      </c>
      <c r="F10" s="222" t="s">
        <v>487</v>
      </c>
    </row>
    <row r="11" spans="1:8" ht="15" customHeight="1" x14ac:dyDescent="0.25">
      <c r="A11" s="348" t="s">
        <v>783</v>
      </c>
      <c r="B11" s="173"/>
      <c r="C11" s="173"/>
      <c r="D11" s="173">
        <v>0</v>
      </c>
      <c r="E11" s="217">
        <v>0</v>
      </c>
      <c r="F11" s="222" t="s">
        <v>488</v>
      </c>
    </row>
    <row r="12" spans="1:8" ht="15" customHeight="1" x14ac:dyDescent="0.25">
      <c r="A12" s="167" t="s">
        <v>479</v>
      </c>
      <c r="B12" s="218">
        <f>SUM(B9:B11)</f>
        <v>0</v>
      </c>
      <c r="C12" s="218">
        <f>SUM(C9:C11)</f>
        <v>0</v>
      </c>
      <c r="D12" s="219">
        <f>SUM(D9:D11)</f>
        <v>0</v>
      </c>
      <c r="E12" s="219">
        <f>SUM(E9:E11)</f>
        <v>0</v>
      </c>
      <c r="F12" s="221" t="s">
        <v>489</v>
      </c>
    </row>
    <row r="13" spans="1:8" ht="15" customHeight="1" x14ac:dyDescent="0.25">
      <c r="A13" s="348"/>
      <c r="B13" s="220"/>
      <c r="C13" s="220"/>
      <c r="D13" s="220"/>
      <c r="E13" s="220"/>
      <c r="F13" s="78"/>
    </row>
    <row r="14" spans="1:8" ht="15" customHeight="1" x14ac:dyDescent="0.25">
      <c r="A14" s="348"/>
      <c r="B14" s="348"/>
      <c r="C14" s="348"/>
      <c r="D14" s="348"/>
      <c r="E14" s="348"/>
      <c r="F14" s="55"/>
    </row>
    <row r="15" spans="1:8" ht="20.100000000000001" customHeight="1" x14ac:dyDescent="0.25">
      <c r="A15" s="438" t="s">
        <v>484</v>
      </c>
      <c r="B15" s="603">
        <f>B7</f>
        <v>45657</v>
      </c>
      <c r="C15" s="604"/>
      <c r="D15" s="605">
        <f>D7</f>
        <v>45291</v>
      </c>
      <c r="E15" s="606"/>
      <c r="F15" s="444"/>
    </row>
    <row r="16" spans="1:8" ht="30" customHeight="1" x14ac:dyDescent="0.25">
      <c r="A16" s="439"/>
      <c r="B16" s="436" t="s">
        <v>749</v>
      </c>
      <c r="C16" s="437" t="s">
        <v>739</v>
      </c>
      <c r="D16" s="436" t="s">
        <v>749</v>
      </c>
      <c r="E16" s="436" t="s">
        <v>739</v>
      </c>
      <c r="F16" s="449" t="s">
        <v>466</v>
      </c>
    </row>
    <row r="17" spans="1:6" ht="15" customHeight="1" x14ac:dyDescent="0.25">
      <c r="A17" s="348" t="s">
        <v>781</v>
      </c>
      <c r="B17" s="172"/>
      <c r="C17" s="172"/>
      <c r="D17" s="172">
        <v>0</v>
      </c>
      <c r="E17" s="217">
        <v>0</v>
      </c>
      <c r="F17" s="222" t="s">
        <v>490</v>
      </c>
    </row>
    <row r="18" spans="1:6" ht="15" customHeight="1" x14ac:dyDescent="0.25">
      <c r="A18" s="348" t="s">
        <v>782</v>
      </c>
      <c r="B18" s="217"/>
      <c r="C18" s="217"/>
      <c r="D18" s="217">
        <v>0</v>
      </c>
      <c r="E18" s="217">
        <v>0</v>
      </c>
      <c r="F18" s="222" t="s">
        <v>491</v>
      </c>
    </row>
    <row r="19" spans="1:6" ht="15" customHeight="1" x14ac:dyDescent="0.25">
      <c r="A19" s="348" t="s">
        <v>783</v>
      </c>
      <c r="B19" s="173"/>
      <c r="C19" s="173"/>
      <c r="D19" s="173">
        <v>0</v>
      </c>
      <c r="E19" s="217">
        <v>0</v>
      </c>
      <c r="F19" s="222" t="s">
        <v>492</v>
      </c>
    </row>
    <row r="20" spans="1:6" ht="15" customHeight="1" x14ac:dyDescent="0.25">
      <c r="A20" s="167" t="s">
        <v>480</v>
      </c>
      <c r="B20" s="218">
        <f>SUM(B17:B19)</f>
        <v>0</v>
      </c>
      <c r="C20" s="218">
        <f>SUM(C17:C19)</f>
        <v>0</v>
      </c>
      <c r="D20" s="219">
        <f>SUM(D17:D19)</f>
        <v>0</v>
      </c>
      <c r="E20" s="219">
        <f>SUM(E17:E19)</f>
        <v>0</v>
      </c>
      <c r="F20" s="221" t="s">
        <v>493</v>
      </c>
    </row>
    <row r="21" spans="1:6" ht="15" customHeight="1" x14ac:dyDescent="0.25">
      <c r="A21" s="348"/>
      <c r="B21" s="348"/>
      <c r="C21" s="348"/>
      <c r="D21" s="348"/>
      <c r="E21" s="348"/>
    </row>
    <row r="22" spans="1:6" ht="15" customHeight="1" x14ac:dyDescent="0.25">
      <c r="A22" s="601" t="s">
        <v>831</v>
      </c>
      <c r="B22" s="601"/>
      <c r="C22" s="601"/>
      <c r="D22" s="601"/>
      <c r="E22" s="601"/>
      <c r="F22" s="601"/>
    </row>
    <row r="23" spans="1:6" ht="15" customHeight="1" x14ac:dyDescent="0.25">
      <c r="A23" s="609" t="s">
        <v>832</v>
      </c>
      <c r="B23" s="610"/>
      <c r="C23" s="611"/>
      <c r="D23" s="551">
        <v>45657</v>
      </c>
      <c r="E23" s="552">
        <f>D15</f>
        <v>45291</v>
      </c>
      <c r="F23" s="534"/>
    </row>
    <row r="24" spans="1:6" ht="33" customHeight="1" x14ac:dyDescent="0.25">
      <c r="A24" s="535" t="s">
        <v>833</v>
      </c>
      <c r="B24" s="612" t="s">
        <v>834</v>
      </c>
      <c r="C24" s="613"/>
      <c r="D24" s="536" t="s">
        <v>835</v>
      </c>
      <c r="E24" s="537" t="s">
        <v>835</v>
      </c>
      <c r="F24" s="538" t="s">
        <v>466</v>
      </c>
    </row>
    <row r="25" spans="1:6" ht="15" customHeight="1" x14ac:dyDescent="0.25">
      <c r="A25" s="539" t="s">
        <v>887</v>
      </c>
      <c r="B25" s="621" t="s">
        <v>888</v>
      </c>
      <c r="C25" s="622"/>
      <c r="D25" s="173">
        <f>1153276/1000</f>
        <v>1153.2760000000001</v>
      </c>
      <c r="E25" s="173">
        <f>1267352/1000</f>
        <v>1267.3520000000001</v>
      </c>
      <c r="F25" s="589" t="s">
        <v>893</v>
      </c>
    </row>
    <row r="26" spans="1:6" ht="15" customHeight="1" x14ac:dyDescent="0.25">
      <c r="A26" s="539"/>
      <c r="B26" s="616"/>
      <c r="C26" s="617"/>
      <c r="D26" s="541"/>
      <c r="E26" s="541"/>
      <c r="F26" s="589" t="s">
        <v>894</v>
      </c>
    </row>
    <row r="27" spans="1:6" ht="15" customHeight="1" x14ac:dyDescent="0.25">
      <c r="A27" s="539"/>
      <c r="B27" s="618"/>
      <c r="C27" s="619"/>
      <c r="D27" s="542"/>
      <c r="E27" s="541"/>
      <c r="F27" s="589" t="s">
        <v>895</v>
      </c>
    </row>
    <row r="28" spans="1:6" ht="15" customHeight="1" x14ac:dyDescent="0.25">
      <c r="A28" s="535" t="s">
        <v>836</v>
      </c>
      <c r="B28" s="618"/>
      <c r="C28" s="619"/>
      <c r="D28" s="543">
        <f>SUM(D25:D27)</f>
        <v>1153.2760000000001</v>
      </c>
      <c r="E28" s="544">
        <f>SUM(E25:E27)</f>
        <v>1267.3520000000001</v>
      </c>
      <c r="F28" s="590" t="s">
        <v>896</v>
      </c>
    </row>
    <row r="29" spans="1:6" ht="15" customHeight="1" x14ac:dyDescent="0.25">
      <c r="A29" s="530"/>
      <c r="B29" s="530"/>
      <c r="C29" s="530"/>
      <c r="D29" s="530"/>
      <c r="E29" s="530"/>
      <c r="F29" s="530"/>
    </row>
    <row r="30" spans="1:6" ht="15.75" customHeight="1" x14ac:dyDescent="0.25">
      <c r="A30" s="349" t="s">
        <v>754</v>
      </c>
      <c r="B30" s="349"/>
      <c r="C30" s="349"/>
      <c r="D30" s="349"/>
      <c r="E30" s="349"/>
      <c r="F30" s="349"/>
    </row>
    <row r="31" spans="1:6" ht="15.75" customHeight="1" x14ac:dyDescent="0.25">
      <c r="A31" s="107" t="s">
        <v>589</v>
      </c>
      <c r="B31" s="348"/>
      <c r="C31" s="348"/>
      <c r="D31" s="348"/>
      <c r="E31" s="348"/>
      <c r="F31" s="348"/>
    </row>
    <row r="32" spans="1:6" ht="15.75" customHeight="1" x14ac:dyDescent="0.25">
      <c r="A32" s="108"/>
      <c r="B32" s="108"/>
      <c r="C32" s="108"/>
      <c r="D32" s="108"/>
      <c r="E32" s="108"/>
      <c r="F32" s="348"/>
    </row>
    <row r="33" spans="1:6" ht="15.75" customHeight="1" x14ac:dyDescent="0.25">
      <c r="A33" s="167" t="s">
        <v>750</v>
      </c>
      <c r="B33" s="603">
        <f>B15</f>
        <v>45657</v>
      </c>
      <c r="C33" s="604"/>
      <c r="D33" s="605">
        <f>'Balanse - eiendeler'!D7</f>
        <v>45291</v>
      </c>
      <c r="E33" s="606"/>
      <c r="F33" s="405"/>
    </row>
    <row r="34" spans="1:6" ht="30" customHeight="1" x14ac:dyDescent="0.25">
      <c r="A34" s="441"/>
      <c r="B34" s="436" t="s">
        <v>749</v>
      </c>
      <c r="C34" s="442" t="s">
        <v>739</v>
      </c>
      <c r="D34" s="436" t="s">
        <v>749</v>
      </c>
      <c r="E34" s="436" t="s">
        <v>739</v>
      </c>
      <c r="F34" s="449" t="s">
        <v>466</v>
      </c>
    </row>
    <row r="35" spans="1:6" ht="15.75" customHeight="1" x14ac:dyDescent="0.25">
      <c r="A35" s="240" t="s">
        <v>472</v>
      </c>
      <c r="B35" s="172">
        <v>0</v>
      </c>
      <c r="C35" s="172">
        <v>0</v>
      </c>
      <c r="D35" s="172">
        <v>0</v>
      </c>
      <c r="E35" s="217">
        <v>0</v>
      </c>
      <c r="F35" s="177" t="s">
        <v>494</v>
      </c>
    </row>
    <row r="36" spans="1:6" ht="15.75" customHeight="1" x14ac:dyDescent="0.25">
      <c r="A36" s="240" t="s">
        <v>470</v>
      </c>
      <c r="B36" s="173">
        <f>1153276/1000</f>
        <v>1153.2760000000001</v>
      </c>
      <c r="C36" s="173">
        <v>0</v>
      </c>
      <c r="D36" s="173">
        <f>1267352/1000</f>
        <v>1267.3520000000001</v>
      </c>
      <c r="E36" s="217">
        <v>0</v>
      </c>
      <c r="F36" s="177" t="s">
        <v>495</v>
      </c>
    </row>
    <row r="37" spans="1:6" ht="15.75" customHeight="1" x14ac:dyDescent="0.25">
      <c r="A37" s="167" t="s">
        <v>471</v>
      </c>
      <c r="B37" s="218">
        <f>SUM(B35:B36)</f>
        <v>1153.2760000000001</v>
      </c>
      <c r="C37" s="218">
        <f>SUM(C35:C36)</f>
        <v>0</v>
      </c>
      <c r="D37" s="219">
        <f>SUM(D35:D36)</f>
        <v>1267.3520000000001</v>
      </c>
      <c r="E37" s="219">
        <f>SUM(E35:E36)</f>
        <v>0</v>
      </c>
      <c r="F37" s="162" t="s">
        <v>496</v>
      </c>
    </row>
    <row r="38" spans="1:6" ht="15.75" customHeight="1" x14ac:dyDescent="0.25">
      <c r="A38" s="240"/>
      <c r="B38" s="220"/>
      <c r="C38" s="220"/>
      <c r="D38" s="220"/>
      <c r="E38" s="220"/>
      <c r="F38" s="350"/>
    </row>
    <row r="39" spans="1:6" ht="15.75" customHeight="1" x14ac:dyDescent="0.25">
      <c r="A39" s="167" t="s">
        <v>481</v>
      </c>
      <c r="B39" s="603">
        <f>B33</f>
        <v>45657</v>
      </c>
      <c r="C39" s="604"/>
      <c r="D39" s="605">
        <f>D33</f>
        <v>45291</v>
      </c>
      <c r="E39" s="606"/>
      <c r="F39" s="405"/>
    </row>
    <row r="40" spans="1:6" ht="30" customHeight="1" x14ac:dyDescent="0.25">
      <c r="A40" s="167"/>
      <c r="B40" s="436" t="s">
        <v>749</v>
      </c>
      <c r="C40" s="442" t="s">
        <v>739</v>
      </c>
      <c r="D40" s="436" t="s">
        <v>749</v>
      </c>
      <c r="E40" s="436" t="s">
        <v>739</v>
      </c>
      <c r="F40" s="449" t="s">
        <v>466</v>
      </c>
    </row>
    <row r="41" spans="1:6" ht="15.75" customHeight="1" x14ac:dyDescent="0.25">
      <c r="A41" s="240" t="s">
        <v>473</v>
      </c>
      <c r="B41" s="172">
        <v>0</v>
      </c>
      <c r="C41" s="172">
        <v>0</v>
      </c>
      <c r="D41" s="172">
        <v>0</v>
      </c>
      <c r="E41" s="217">
        <v>0</v>
      </c>
      <c r="F41" s="177" t="s">
        <v>497</v>
      </c>
    </row>
    <row r="42" spans="1:6" ht="15.75" customHeight="1" x14ac:dyDescent="0.25">
      <c r="A42" s="240" t="s">
        <v>474</v>
      </c>
      <c r="B42" s="173">
        <v>0</v>
      </c>
      <c r="C42" s="173">
        <v>0</v>
      </c>
      <c r="D42" s="173">
        <v>0</v>
      </c>
      <c r="E42" s="217">
        <v>0</v>
      </c>
      <c r="F42" s="177" t="s">
        <v>498</v>
      </c>
    </row>
    <row r="43" spans="1:6" ht="15.75" customHeight="1" x14ac:dyDescent="0.25">
      <c r="A43" s="167" t="s">
        <v>475</v>
      </c>
      <c r="B43" s="218">
        <f>SUM(B41:B42)</f>
        <v>0</v>
      </c>
      <c r="C43" s="218">
        <f>SUM(C41:C42)</f>
        <v>0</v>
      </c>
      <c r="D43" s="219">
        <f>SUM(D41:D42)</f>
        <v>0</v>
      </c>
      <c r="E43" s="219">
        <f>SUM(E41:E42)</f>
        <v>0</v>
      </c>
      <c r="F43" s="162" t="s">
        <v>499</v>
      </c>
    </row>
    <row r="44" spans="1:6" ht="15.75" customHeight="1" x14ac:dyDescent="0.25">
      <c r="A44" s="240"/>
      <c r="B44" s="220"/>
      <c r="C44" s="220"/>
      <c r="D44" s="220"/>
      <c r="E44" s="220"/>
      <c r="F44" s="350"/>
    </row>
    <row r="45" spans="1:6" ht="15.75" customHeight="1" x14ac:dyDescent="0.25">
      <c r="A45" s="167" t="s">
        <v>510</v>
      </c>
      <c r="B45" s="603">
        <f>B33</f>
        <v>45657</v>
      </c>
      <c r="C45" s="604"/>
      <c r="D45" s="605">
        <f>D33</f>
        <v>45291</v>
      </c>
      <c r="E45" s="607"/>
      <c r="F45" s="443"/>
    </row>
    <row r="46" spans="1:6" ht="30" customHeight="1" x14ac:dyDescent="0.25">
      <c r="A46" s="167"/>
      <c r="B46" s="436" t="s">
        <v>749</v>
      </c>
      <c r="C46" s="442" t="s">
        <v>739</v>
      </c>
      <c r="D46" s="436" t="s">
        <v>749</v>
      </c>
      <c r="E46" s="436" t="s">
        <v>739</v>
      </c>
      <c r="F46" s="449" t="s">
        <v>466</v>
      </c>
    </row>
    <row r="47" spans="1:6" ht="15.75" customHeight="1" x14ac:dyDescent="0.25">
      <c r="A47" s="240" t="s">
        <v>507</v>
      </c>
      <c r="B47" s="172">
        <v>0</v>
      </c>
      <c r="C47" s="172">
        <v>0</v>
      </c>
      <c r="D47" s="172">
        <v>0</v>
      </c>
      <c r="E47" s="217">
        <v>0</v>
      </c>
      <c r="F47" s="177" t="s">
        <v>500</v>
      </c>
    </row>
    <row r="48" spans="1:6" ht="15.75" customHeight="1" x14ac:dyDescent="0.25">
      <c r="A48" s="240" t="s">
        <v>508</v>
      </c>
      <c r="B48" s="173">
        <v>0</v>
      </c>
      <c r="C48" s="173">
        <v>0</v>
      </c>
      <c r="D48" s="173">
        <v>0</v>
      </c>
      <c r="E48" s="217">
        <v>0</v>
      </c>
      <c r="F48" s="177" t="s">
        <v>501</v>
      </c>
    </row>
    <row r="49" spans="1:11" ht="15.75" customHeight="1" x14ac:dyDescent="0.25">
      <c r="A49" s="167" t="s">
        <v>509</v>
      </c>
      <c r="B49" s="218">
        <f>SUM(B47:B48)</f>
        <v>0</v>
      </c>
      <c r="C49" s="218">
        <f>SUM(C47:C48)</f>
        <v>0</v>
      </c>
      <c r="D49" s="219">
        <f>SUM(D47:D48)</f>
        <v>0</v>
      </c>
      <c r="E49" s="219">
        <f>SUM(E47:E48)</f>
        <v>0</v>
      </c>
      <c r="F49" s="162" t="s">
        <v>502</v>
      </c>
    </row>
    <row r="50" spans="1:11" ht="15.75" customHeight="1" x14ac:dyDescent="0.25">
      <c r="A50" s="241"/>
      <c r="B50" s="223"/>
      <c r="C50" s="223"/>
      <c r="D50" s="223"/>
      <c r="E50" s="223"/>
      <c r="F50" s="350"/>
    </row>
    <row r="51" spans="1:11" ht="15.75" customHeight="1" x14ac:dyDescent="0.25">
      <c r="A51" s="167" t="s">
        <v>482</v>
      </c>
      <c r="B51" s="215">
        <f>B33</f>
        <v>45657</v>
      </c>
      <c r="C51" s="215"/>
      <c r="D51" s="605">
        <f>D33</f>
        <v>45291</v>
      </c>
      <c r="E51" s="606"/>
      <c r="F51" s="405"/>
    </row>
    <row r="52" spans="1:11" ht="30" customHeight="1" x14ac:dyDescent="0.25">
      <c r="A52" s="167"/>
      <c r="B52" s="436" t="s">
        <v>749</v>
      </c>
      <c r="C52" s="442" t="s">
        <v>739</v>
      </c>
      <c r="D52" s="436" t="s">
        <v>749</v>
      </c>
      <c r="E52" s="436" t="s">
        <v>739</v>
      </c>
      <c r="F52" s="449" t="s">
        <v>466</v>
      </c>
    </row>
    <row r="53" spans="1:11" ht="15.75" customHeight="1" x14ac:dyDescent="0.25">
      <c r="A53" s="240" t="s">
        <v>477</v>
      </c>
      <c r="B53" s="172">
        <v>0</v>
      </c>
      <c r="C53" s="172">
        <v>0</v>
      </c>
      <c r="D53" s="172">
        <v>0</v>
      </c>
      <c r="E53" s="217">
        <v>0</v>
      </c>
      <c r="F53" s="177" t="s">
        <v>503</v>
      </c>
    </row>
    <row r="54" spans="1:11" ht="15.75" customHeight="1" x14ac:dyDescent="0.25">
      <c r="A54" s="240" t="s">
        <v>478</v>
      </c>
      <c r="B54" s="173">
        <v>0</v>
      </c>
      <c r="C54" s="173">
        <v>0</v>
      </c>
      <c r="D54" s="173">
        <v>0</v>
      </c>
      <c r="E54" s="217">
        <v>0</v>
      </c>
      <c r="F54" s="177" t="s">
        <v>504</v>
      </c>
    </row>
    <row r="55" spans="1:11" ht="15.75" customHeight="1" x14ac:dyDescent="0.25">
      <c r="A55" s="167" t="s">
        <v>476</v>
      </c>
      <c r="B55" s="218">
        <f>SUM(B53:B54)</f>
        <v>0</v>
      </c>
      <c r="C55" s="218">
        <f>SUM(C53:C54)</f>
        <v>0</v>
      </c>
      <c r="D55" s="219">
        <f>SUM(D53:D54)</f>
        <v>0</v>
      </c>
      <c r="E55" s="219">
        <f>SUM(E53:E54)</f>
        <v>0</v>
      </c>
      <c r="F55" s="162" t="s">
        <v>505</v>
      </c>
    </row>
    <row r="56" spans="1:11" ht="15.75" customHeight="1" x14ac:dyDescent="0.25">
      <c r="A56" s="110"/>
      <c r="B56" s="545"/>
      <c r="C56" s="545"/>
      <c r="D56" s="220"/>
      <c r="E56" s="220"/>
      <c r="F56" s="546"/>
    </row>
    <row r="57" spans="1:11" ht="15.75" customHeight="1" x14ac:dyDescent="0.25">
      <c r="A57" s="608" t="s">
        <v>837</v>
      </c>
      <c r="B57" s="608"/>
      <c r="C57" s="608"/>
      <c r="D57" s="608"/>
      <c r="E57" s="608"/>
      <c r="F57" s="608"/>
    </row>
    <row r="58" spans="1:11" ht="15.75" customHeight="1" x14ac:dyDescent="0.25">
      <c r="A58" s="609" t="s">
        <v>838</v>
      </c>
      <c r="B58" s="610"/>
      <c r="C58" s="611"/>
      <c r="D58" s="532">
        <v>45657</v>
      </c>
      <c r="E58" s="533">
        <v>45291</v>
      </c>
      <c r="F58" s="534"/>
    </row>
    <row r="59" spans="1:11" ht="36.75" customHeight="1" x14ac:dyDescent="0.25">
      <c r="A59" s="535" t="s">
        <v>839</v>
      </c>
      <c r="B59" s="612" t="s">
        <v>840</v>
      </c>
      <c r="C59" s="613"/>
      <c r="D59" s="536" t="s">
        <v>835</v>
      </c>
      <c r="E59" s="537" t="s">
        <v>835</v>
      </c>
      <c r="F59" s="538" t="s">
        <v>466</v>
      </c>
    </row>
    <row r="60" spans="1:11" ht="15.75" customHeight="1" x14ac:dyDescent="0.25">
      <c r="A60" s="582" t="s">
        <v>887</v>
      </c>
      <c r="B60" s="614" t="s">
        <v>888</v>
      </c>
      <c r="C60" s="615"/>
      <c r="D60" s="540">
        <f>1153276/1000</f>
        <v>1153.2760000000001</v>
      </c>
      <c r="E60" s="581">
        <f>1267352/1000</f>
        <v>1267.3520000000001</v>
      </c>
      <c r="F60" s="589" t="s">
        <v>897</v>
      </c>
      <c r="G60" s="42"/>
      <c r="H60" s="42"/>
      <c r="I60" s="42"/>
      <c r="J60" s="572"/>
      <c r="K60" s="42"/>
    </row>
    <row r="61" spans="1:11" ht="15.75" customHeight="1" x14ac:dyDescent="0.25">
      <c r="A61" s="539"/>
      <c r="B61" s="616"/>
      <c r="C61" s="617"/>
      <c r="D61" s="541"/>
      <c r="E61" s="541"/>
      <c r="F61" s="589" t="s">
        <v>898</v>
      </c>
      <c r="G61" s="42"/>
      <c r="H61" s="42"/>
      <c r="I61" s="42"/>
      <c r="J61" s="572"/>
      <c r="K61" s="42"/>
    </row>
    <row r="62" spans="1:11" ht="15.75" customHeight="1" x14ac:dyDescent="0.25">
      <c r="A62" s="539"/>
      <c r="B62" s="618"/>
      <c r="C62" s="619"/>
      <c r="D62" s="542"/>
      <c r="E62" s="541"/>
      <c r="F62" s="589" t="s">
        <v>899</v>
      </c>
      <c r="G62" s="42"/>
      <c r="H62" s="42"/>
      <c r="I62" s="42"/>
      <c r="J62" s="572"/>
      <c r="K62" s="42"/>
    </row>
    <row r="63" spans="1:11" ht="33.75" customHeight="1" x14ac:dyDescent="0.25">
      <c r="A63" s="547" t="s">
        <v>841</v>
      </c>
      <c r="B63" s="618"/>
      <c r="C63" s="619"/>
      <c r="D63" s="543">
        <f>SUM(D60:D62)</f>
        <v>1153.2760000000001</v>
      </c>
      <c r="E63" s="544">
        <f>SUM(E60:E62)</f>
        <v>1267.3520000000001</v>
      </c>
      <c r="F63" s="590" t="s">
        <v>900</v>
      </c>
      <c r="G63" s="42"/>
      <c r="H63" s="42"/>
      <c r="I63" s="42"/>
      <c r="J63" s="572"/>
      <c r="K63" s="42"/>
    </row>
    <row r="64" spans="1:11" ht="15.75" customHeight="1" x14ac:dyDescent="0.25">
      <c r="A64" s="105"/>
      <c r="B64" s="105"/>
      <c r="C64" s="105"/>
      <c r="D64" s="105"/>
      <c r="E64" s="105"/>
      <c r="F64" s="105"/>
      <c r="J64" s="573"/>
    </row>
    <row r="65" spans="1:6" ht="15.75" customHeight="1" x14ac:dyDescent="0.25">
      <c r="A65" s="620" t="s">
        <v>842</v>
      </c>
      <c r="B65" s="620"/>
      <c r="C65" s="620"/>
      <c r="D65" s="620"/>
      <c r="E65" s="620"/>
      <c r="F65" s="620"/>
    </row>
    <row r="66" spans="1:6" ht="27.6" customHeight="1" x14ac:dyDescent="0.25">
      <c r="A66" s="620"/>
      <c r="B66" s="620"/>
      <c r="C66" s="620"/>
      <c r="D66" s="620"/>
      <c r="E66" s="620"/>
      <c r="F66" s="620"/>
    </row>
    <row r="67" spans="1:6" ht="15.75" customHeight="1" x14ac:dyDescent="0.25">
      <c r="A67" s="602" t="s">
        <v>511</v>
      </c>
      <c r="B67" s="602"/>
      <c r="C67" s="602"/>
      <c r="D67" s="602"/>
      <c r="E67" s="602"/>
      <c r="F67" s="602"/>
    </row>
    <row r="68" spans="1:6" ht="17.25" customHeight="1" x14ac:dyDescent="0.25">
      <c r="A68" s="600" t="s">
        <v>751</v>
      </c>
      <c r="B68" s="600"/>
      <c r="C68" s="600"/>
      <c r="D68" s="600"/>
      <c r="E68" s="600"/>
      <c r="F68" s="600"/>
    </row>
    <row r="69" spans="1:6" ht="17.25" customHeight="1" x14ac:dyDescent="0.25">
      <c r="A69" s="600"/>
      <c r="B69" s="600"/>
      <c r="C69" s="600"/>
      <c r="D69" s="600"/>
      <c r="E69" s="600"/>
      <c r="F69" s="600"/>
    </row>
    <row r="70" spans="1:6" ht="15.75" customHeight="1" x14ac:dyDescent="0.25">
      <c r="A70" s="600" t="s">
        <v>755</v>
      </c>
      <c r="B70" s="600"/>
      <c r="C70" s="600"/>
      <c r="D70" s="600"/>
      <c r="E70" s="600"/>
      <c r="F70" s="600"/>
    </row>
    <row r="71" spans="1:6" ht="15.75" customHeight="1" x14ac:dyDescent="0.25">
      <c r="A71" s="600"/>
      <c r="B71" s="600"/>
      <c r="C71" s="600"/>
      <c r="D71" s="600"/>
      <c r="E71" s="600"/>
      <c r="F71" s="600"/>
    </row>
    <row r="73" spans="1:6" ht="15.75" customHeight="1" x14ac:dyDescent="0.25">
      <c r="A73" s="583" t="s">
        <v>889</v>
      </c>
    </row>
    <row r="74" spans="1:6" ht="15.75" customHeight="1" x14ac:dyDescent="0.25">
      <c r="A74" s="584" t="s">
        <v>890</v>
      </c>
    </row>
    <row r="75" spans="1:6" ht="15.75" customHeight="1" x14ac:dyDescent="0.25">
      <c r="A75" s="584" t="s">
        <v>891</v>
      </c>
    </row>
    <row r="76" spans="1:6" ht="15.75" customHeight="1" x14ac:dyDescent="0.25">
      <c r="A76" s="584" t="s">
        <v>892</v>
      </c>
    </row>
  </sheetData>
  <sheetProtection formatCells="0" formatColumns="0" formatRows="0" insertColumns="0" insertRows="0"/>
  <mergeCells count="29">
    <mergeCell ref="A65:F66"/>
    <mergeCell ref="B7:C7"/>
    <mergeCell ref="D7:E7"/>
    <mergeCell ref="B15:C15"/>
    <mergeCell ref="D15:E15"/>
    <mergeCell ref="D33:E33"/>
    <mergeCell ref="B33:C33"/>
    <mergeCell ref="A23:C23"/>
    <mergeCell ref="B24:C24"/>
    <mergeCell ref="B25:C25"/>
    <mergeCell ref="B26:C26"/>
    <mergeCell ref="B27:C27"/>
    <mergeCell ref="B28:C28"/>
    <mergeCell ref="A70:F71"/>
    <mergeCell ref="A68:F69"/>
    <mergeCell ref="A22:F22"/>
    <mergeCell ref="A67:F67"/>
    <mergeCell ref="B39:C39"/>
    <mergeCell ref="D39:E39"/>
    <mergeCell ref="B45:C45"/>
    <mergeCell ref="D45:E45"/>
    <mergeCell ref="D51:E51"/>
    <mergeCell ref="A57:F57"/>
    <mergeCell ref="A58:C58"/>
    <mergeCell ref="B59:C59"/>
    <mergeCell ref="B60:C60"/>
    <mergeCell ref="B61:C61"/>
    <mergeCell ref="B62:C62"/>
    <mergeCell ref="B63:C63"/>
  </mergeCells>
  <pageMargins left="0.7" right="0.7" top="0.75" bottom="0.75" header="0.3" footer="0.3"/>
  <pageSetup paperSize="9" scale="72" fitToHeight="0"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8"/>
  <sheetViews>
    <sheetView workbookViewId="0">
      <selection activeCell="C25" sqref="C25"/>
    </sheetView>
  </sheetViews>
  <sheetFormatPr baseColWidth="10" defaultRowHeight="12.75" x14ac:dyDescent="0.2"/>
  <cols>
    <col min="1" max="1" width="49.28515625" style="393" customWidth="1"/>
    <col min="2" max="2" width="13.42578125" customWidth="1"/>
    <col min="3" max="3" width="13" customWidth="1"/>
    <col min="6" max="6" width="9.7109375" customWidth="1"/>
  </cols>
  <sheetData>
    <row r="1" spans="1:9" s="352" customFormat="1" ht="15" customHeight="1" x14ac:dyDescent="0.25">
      <c r="A1" s="386"/>
    </row>
    <row r="2" spans="1:9" s="352" customFormat="1" ht="15" customHeight="1" x14ac:dyDescent="0.25">
      <c r="A2" s="387" t="str">
        <f>Resultatregnskap!A2</f>
        <v>Virksomhetens navn: Bergen Arkitekthøgskole</v>
      </c>
      <c r="B2" s="351"/>
      <c r="C2" s="351"/>
      <c r="D2" s="351"/>
      <c r="E2" s="351"/>
    </row>
    <row r="3" spans="1:9" s="352" customFormat="1" ht="15" customHeight="1" x14ac:dyDescent="0.25">
      <c r="A3" s="386"/>
    </row>
    <row r="4" spans="1:9" s="352" customFormat="1" ht="15" customHeight="1" x14ac:dyDescent="0.25">
      <c r="A4" s="388" t="s">
        <v>871</v>
      </c>
      <c r="B4" s="363"/>
      <c r="C4" s="363"/>
      <c r="D4" s="239"/>
      <c r="E4" s="239"/>
      <c r="F4" s="239"/>
    </row>
    <row r="5" spans="1:9" s="352" customFormat="1" ht="15" customHeight="1" x14ac:dyDescent="0.25">
      <c r="A5" s="389" t="str">
        <f>Resultatregnskap!A6</f>
        <v>Beløp i 1000 kroner</v>
      </c>
    </row>
    <row r="6" spans="1:9" s="352" customFormat="1" ht="30" customHeight="1" x14ac:dyDescent="0.25">
      <c r="A6" s="394"/>
      <c r="B6" s="395" t="s">
        <v>526</v>
      </c>
      <c r="C6" s="395" t="s">
        <v>527</v>
      </c>
      <c r="D6" s="395" t="s">
        <v>528</v>
      </c>
      <c r="E6" s="395" t="s">
        <v>336</v>
      </c>
      <c r="F6" s="396" t="s">
        <v>466</v>
      </c>
    </row>
    <row r="7" spans="1:9" s="352" customFormat="1" ht="15" customHeight="1" x14ac:dyDescent="0.25">
      <c r="A7" s="390" t="s">
        <v>847</v>
      </c>
      <c r="B7" s="506">
        <f>425128/1000</f>
        <v>425.12799999999999</v>
      </c>
      <c r="C7" s="506">
        <v>0</v>
      </c>
      <c r="D7" s="506">
        <v>0</v>
      </c>
      <c r="E7" s="506">
        <f t="shared" ref="E7:E16" si="0">SUM(B7:D7)</f>
        <v>425.12799999999999</v>
      </c>
      <c r="F7" s="257" t="s">
        <v>326</v>
      </c>
    </row>
    <row r="8" spans="1:9" s="352" customFormat="1" ht="15" customHeight="1" x14ac:dyDescent="0.25">
      <c r="A8" s="391" t="s">
        <v>848</v>
      </c>
      <c r="B8" s="506">
        <v>0</v>
      </c>
      <c r="C8" s="506">
        <v>0</v>
      </c>
      <c r="D8" s="506">
        <v>0</v>
      </c>
      <c r="E8" s="506">
        <f t="shared" si="0"/>
        <v>0</v>
      </c>
      <c r="F8" s="257" t="s">
        <v>328</v>
      </c>
      <c r="G8" s="457"/>
      <c r="H8" s="457"/>
    </row>
    <row r="9" spans="1:9" s="352" customFormat="1" ht="15" customHeight="1" x14ac:dyDescent="0.25">
      <c r="A9" s="391" t="s">
        <v>849</v>
      </c>
      <c r="B9" s="506">
        <v>0</v>
      </c>
      <c r="C9" s="506">
        <v>0</v>
      </c>
      <c r="D9" s="506">
        <v>0</v>
      </c>
      <c r="E9" s="506">
        <f t="shared" si="0"/>
        <v>0</v>
      </c>
      <c r="F9" s="257" t="s">
        <v>530</v>
      </c>
      <c r="G9" s="457"/>
    </row>
    <row r="10" spans="1:9" s="352" customFormat="1" ht="15" customHeight="1" x14ac:dyDescent="0.25">
      <c r="A10" s="391" t="s">
        <v>529</v>
      </c>
      <c r="B10" s="506">
        <v>0</v>
      </c>
      <c r="C10" s="506">
        <v>0</v>
      </c>
      <c r="D10" s="506">
        <v>0</v>
      </c>
      <c r="E10" s="506">
        <f t="shared" si="0"/>
        <v>0</v>
      </c>
      <c r="F10" s="257" t="s">
        <v>531</v>
      </c>
    </row>
    <row r="11" spans="1:9" s="352" customFormat="1" ht="15" customHeight="1" x14ac:dyDescent="0.25">
      <c r="A11" s="411" t="s">
        <v>850</v>
      </c>
      <c r="B11" s="507">
        <f>SUBTOTAL(9,B7:B10)</f>
        <v>425.12799999999999</v>
      </c>
      <c r="C11" s="507">
        <f t="shared" ref="C11:D11" si="1">SUBTOTAL(9,C7:C10)</f>
        <v>0</v>
      </c>
      <c r="D11" s="507">
        <f t="shared" si="1"/>
        <v>0</v>
      </c>
      <c r="E11" s="507">
        <f t="shared" si="0"/>
        <v>425.12799999999999</v>
      </c>
      <c r="F11" s="199" t="s">
        <v>330</v>
      </c>
    </row>
    <row r="12" spans="1:9" s="352" customFormat="1" ht="15" customHeight="1" x14ac:dyDescent="0.25">
      <c r="A12" s="392" t="s">
        <v>851</v>
      </c>
      <c r="B12" s="365">
        <v>0</v>
      </c>
      <c r="C12" s="365">
        <v>0</v>
      </c>
      <c r="D12" s="506">
        <v>0</v>
      </c>
      <c r="E12" s="506">
        <f t="shared" si="0"/>
        <v>0</v>
      </c>
      <c r="F12" s="257" t="s">
        <v>467</v>
      </c>
    </row>
    <row r="13" spans="1:9" s="352" customFormat="1" ht="15" customHeight="1" x14ac:dyDescent="0.25">
      <c r="A13" s="555" t="s">
        <v>855</v>
      </c>
      <c r="B13" s="556">
        <v>0</v>
      </c>
      <c r="C13" s="556">
        <v>0</v>
      </c>
      <c r="D13" s="556">
        <v>0</v>
      </c>
      <c r="E13" s="556">
        <f t="shared" si="0"/>
        <v>0</v>
      </c>
      <c r="F13" s="255" t="s">
        <v>468</v>
      </c>
      <c r="G13" s="557"/>
      <c r="H13" s="557"/>
      <c r="I13" s="557"/>
    </row>
    <row r="14" spans="1:9" s="352" customFormat="1" ht="15" customHeight="1" x14ac:dyDescent="0.25">
      <c r="A14" s="392" t="s">
        <v>852</v>
      </c>
      <c r="B14" s="506">
        <f>-391034/1000</f>
        <v>-391.03399999999999</v>
      </c>
      <c r="C14" s="506">
        <v>0</v>
      </c>
      <c r="D14" s="506">
        <v>0</v>
      </c>
      <c r="E14" s="506">
        <f t="shared" si="0"/>
        <v>-391.03399999999999</v>
      </c>
      <c r="F14" s="257" t="s">
        <v>532</v>
      </c>
    </row>
    <row r="15" spans="1:9" s="352" customFormat="1" ht="15" customHeight="1" x14ac:dyDescent="0.25">
      <c r="A15" s="392" t="s">
        <v>853</v>
      </c>
      <c r="B15" s="506">
        <f>-33660/1000</f>
        <v>-33.659999999999997</v>
      </c>
      <c r="C15" s="506">
        <v>0</v>
      </c>
      <c r="D15" s="506">
        <v>0</v>
      </c>
      <c r="E15" s="506">
        <f t="shared" si="0"/>
        <v>-33.659999999999997</v>
      </c>
      <c r="F15" s="257" t="s">
        <v>533</v>
      </c>
    </row>
    <row r="16" spans="1:9" s="352" customFormat="1" ht="15" customHeight="1" x14ac:dyDescent="0.25">
      <c r="A16" s="392" t="s">
        <v>876</v>
      </c>
      <c r="B16" s="506">
        <v>0</v>
      </c>
      <c r="C16" s="506">
        <v>0</v>
      </c>
      <c r="D16" s="506">
        <v>0</v>
      </c>
      <c r="E16" s="506">
        <f t="shared" si="0"/>
        <v>0</v>
      </c>
      <c r="F16" s="257" t="s">
        <v>534</v>
      </c>
    </row>
    <row r="17" spans="1:6" s="352" customFormat="1" ht="15" customHeight="1" x14ac:dyDescent="0.25">
      <c r="A17" s="411" t="s">
        <v>854</v>
      </c>
      <c r="B17" s="507">
        <f>SUBTOTAL(9,B7:B16)</f>
        <v>0.4339999999999975</v>
      </c>
      <c r="C17" s="507">
        <f>SUBTOTAL(9,C7:C16)</f>
        <v>0</v>
      </c>
      <c r="D17" s="507">
        <f>SUBTOTAL(9,D7:D16)</f>
        <v>0</v>
      </c>
      <c r="E17" s="507">
        <f>SUM(B17:D17)</f>
        <v>0.4339999999999975</v>
      </c>
      <c r="F17" s="199" t="s">
        <v>485</v>
      </c>
    </row>
    <row r="18" spans="1:6" s="352" customFormat="1" ht="15" customHeight="1" x14ac:dyDescent="0.25">
      <c r="A18" s="386"/>
    </row>
  </sheetData>
  <pageMargins left="0.7" right="0.7" top="0.75" bottom="0.75" header="0.3" footer="0.3"/>
  <pageSetup paperSize="9"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22"/>
  <sheetViews>
    <sheetView zoomScale="90" zoomScaleNormal="90" workbookViewId="0">
      <selection activeCell="F26" sqref="F26"/>
    </sheetView>
  </sheetViews>
  <sheetFormatPr baseColWidth="10" defaultRowHeight="12.75" x14ac:dyDescent="0.2"/>
  <cols>
    <col min="1" max="1" width="51" customWidth="1"/>
    <col min="2" max="2" width="10.7109375" customWidth="1"/>
    <col min="3" max="3" width="14" customWidth="1"/>
    <col min="4" max="4" width="13.28515625" customWidth="1"/>
    <col min="5" max="5" width="15.42578125" customWidth="1"/>
    <col min="6" max="6" width="14.7109375" customWidth="1"/>
    <col min="7" max="7" width="13.28515625" customWidth="1"/>
    <col min="8" max="8" width="10.5703125" customWidth="1"/>
  </cols>
  <sheetData>
    <row r="1" spans="1:10" s="352" customFormat="1" ht="15" customHeight="1" x14ac:dyDescent="0.25"/>
    <row r="2" spans="1:10" s="352" customFormat="1" ht="15" customHeight="1" x14ac:dyDescent="0.25">
      <c r="A2" s="352" t="str">
        <f>Resultatregnskap!A2</f>
        <v>Virksomhetens navn: Bergen Arkitekthøgskole</v>
      </c>
    </row>
    <row r="3" spans="1:10" s="352" customFormat="1" ht="15" customHeight="1" x14ac:dyDescent="0.25"/>
    <row r="4" spans="1:10" s="352" customFormat="1" ht="15" customHeight="1" x14ac:dyDescent="0.25">
      <c r="A4" s="362" t="s">
        <v>535</v>
      </c>
      <c r="B4" s="362"/>
      <c r="C4" s="362"/>
      <c r="D4" s="201"/>
      <c r="E4" s="201"/>
      <c r="F4" s="201"/>
      <c r="G4" s="201"/>
      <c r="H4" s="201"/>
    </row>
    <row r="5" spans="1:10" s="352" customFormat="1" ht="15" customHeight="1" x14ac:dyDescent="0.25">
      <c r="A5" s="353" t="str">
        <f>Resultatregnskap!A6</f>
        <v>Beløp i 1000 kroner</v>
      </c>
      <c r="B5" s="353"/>
    </row>
    <row r="6" spans="1:10" s="352" customFormat="1" ht="45" x14ac:dyDescent="0.25">
      <c r="A6" s="394"/>
      <c r="B6" s="394" t="s">
        <v>82</v>
      </c>
      <c r="C6" s="395" t="s">
        <v>84</v>
      </c>
      <c r="D6" s="395" t="s">
        <v>89</v>
      </c>
      <c r="E6" s="395" t="s">
        <v>536</v>
      </c>
      <c r="F6" s="395" t="s">
        <v>808</v>
      </c>
      <c r="G6" s="394" t="s">
        <v>336</v>
      </c>
      <c r="H6" s="396" t="s">
        <v>594</v>
      </c>
    </row>
    <row r="7" spans="1:10" s="352" customFormat="1" ht="15" customHeight="1" x14ac:dyDescent="0.25">
      <c r="A7" s="257" t="s">
        <v>847</v>
      </c>
      <c r="B7" s="506">
        <v>0</v>
      </c>
      <c r="C7" s="506">
        <v>0</v>
      </c>
      <c r="D7" s="506">
        <v>0</v>
      </c>
      <c r="E7" s="506">
        <v>0</v>
      </c>
      <c r="F7" s="506">
        <f>3484378/1000</f>
        <v>3484.3780000000002</v>
      </c>
      <c r="G7" s="506">
        <f t="shared" ref="G7:G17" si="0">SUM(B7:F7)</f>
        <v>3484.3780000000002</v>
      </c>
      <c r="H7" s="257" t="s">
        <v>537</v>
      </c>
    </row>
    <row r="8" spans="1:10" s="352" customFormat="1" ht="15" customHeight="1" x14ac:dyDescent="0.25">
      <c r="A8" s="258" t="s">
        <v>848</v>
      </c>
      <c r="B8" s="506">
        <v>0</v>
      </c>
      <c r="C8" s="506">
        <v>0</v>
      </c>
      <c r="D8" s="506">
        <v>0</v>
      </c>
      <c r="E8" s="506">
        <v>0</v>
      </c>
      <c r="F8" s="506">
        <f>265879/1000</f>
        <v>265.87900000000002</v>
      </c>
      <c r="G8" s="506">
        <f t="shared" si="0"/>
        <v>265.87900000000002</v>
      </c>
      <c r="H8" s="257" t="s">
        <v>538</v>
      </c>
      <c r="J8" s="457"/>
    </row>
    <row r="9" spans="1:10" s="352" customFormat="1" ht="15" customHeight="1" x14ac:dyDescent="0.25">
      <c r="A9" s="258" t="s">
        <v>849</v>
      </c>
      <c r="B9" s="506">
        <v>0</v>
      </c>
      <c r="C9" s="506">
        <v>0</v>
      </c>
      <c r="D9" s="506">
        <v>0</v>
      </c>
      <c r="E9" s="506">
        <v>0</v>
      </c>
      <c r="F9" s="506">
        <v>0</v>
      </c>
      <c r="G9" s="506">
        <f t="shared" si="0"/>
        <v>0</v>
      </c>
      <c r="H9" s="257" t="s">
        <v>539</v>
      </c>
      <c r="I9" s="457"/>
    </row>
    <row r="10" spans="1:10" s="352" customFormat="1" ht="15" customHeight="1" x14ac:dyDescent="0.25">
      <c r="A10" s="258" t="s">
        <v>529</v>
      </c>
      <c r="B10" s="506">
        <v>0</v>
      </c>
      <c r="C10" s="506">
        <v>0</v>
      </c>
      <c r="D10" s="506">
        <v>0</v>
      </c>
      <c r="E10" s="506">
        <v>0</v>
      </c>
      <c r="F10" s="506">
        <v>0</v>
      </c>
      <c r="G10" s="506">
        <f t="shared" si="0"/>
        <v>0</v>
      </c>
      <c r="H10" s="257" t="s">
        <v>540</v>
      </c>
    </row>
    <row r="11" spans="1:10" s="352" customFormat="1" ht="15" customHeight="1" x14ac:dyDescent="0.25">
      <c r="A11" s="412" t="s">
        <v>850</v>
      </c>
      <c r="B11" s="507">
        <f>SUBTOTAL(9,B7:B10)</f>
        <v>0</v>
      </c>
      <c r="C11" s="507">
        <f t="shared" ref="C11:F11" si="1">SUBTOTAL(9,C7:C10)</f>
        <v>0</v>
      </c>
      <c r="D11" s="507">
        <f t="shared" si="1"/>
        <v>0</v>
      </c>
      <c r="E11" s="507">
        <f t="shared" si="1"/>
        <v>0</v>
      </c>
      <c r="F11" s="507">
        <f t="shared" si="1"/>
        <v>3750.2570000000001</v>
      </c>
      <c r="G11" s="507">
        <f t="shared" si="0"/>
        <v>3750.2570000000001</v>
      </c>
      <c r="H11" s="199" t="s">
        <v>541</v>
      </c>
    </row>
    <row r="12" spans="1:10" s="352" customFormat="1" ht="15" customHeight="1" x14ac:dyDescent="0.25">
      <c r="A12" s="259" t="s">
        <v>851</v>
      </c>
      <c r="B12" s="365">
        <v>0</v>
      </c>
      <c r="C12" s="365">
        <v>0</v>
      </c>
      <c r="D12" s="365">
        <v>0</v>
      </c>
      <c r="E12" s="506">
        <v>0</v>
      </c>
      <c r="F12" s="506">
        <v>0</v>
      </c>
      <c r="G12" s="506">
        <f t="shared" si="0"/>
        <v>0</v>
      </c>
      <c r="H12" s="257" t="s">
        <v>542</v>
      </c>
    </row>
    <row r="13" spans="1:10" s="352" customFormat="1" ht="15" customHeight="1" x14ac:dyDescent="0.25">
      <c r="A13" s="259" t="s">
        <v>855</v>
      </c>
      <c r="B13" s="506">
        <v>0</v>
      </c>
      <c r="C13" s="506">
        <v>0</v>
      </c>
      <c r="D13" s="506">
        <v>0</v>
      </c>
      <c r="E13" s="506">
        <v>0</v>
      </c>
      <c r="F13" s="506">
        <v>0</v>
      </c>
      <c r="G13" s="506">
        <f t="shared" si="0"/>
        <v>0</v>
      </c>
      <c r="H13" s="257" t="s">
        <v>543</v>
      </c>
    </row>
    <row r="14" spans="1:10" s="352" customFormat="1" ht="15" customHeight="1" x14ac:dyDescent="0.25">
      <c r="A14" s="259" t="s">
        <v>852</v>
      </c>
      <c r="B14" s="506">
        <v>0</v>
      </c>
      <c r="C14" s="506">
        <v>0</v>
      </c>
      <c r="D14" s="506">
        <v>0</v>
      </c>
      <c r="E14" s="506">
        <v>0</v>
      </c>
      <c r="F14" s="506">
        <f>-(3305816-228994)/1000</f>
        <v>-3076.8220000000001</v>
      </c>
      <c r="G14" s="506">
        <f t="shared" si="0"/>
        <v>-3076.8220000000001</v>
      </c>
      <c r="H14" s="257" t="s">
        <v>544</v>
      </c>
    </row>
    <row r="15" spans="1:10" s="352" customFormat="1" ht="15" customHeight="1" x14ac:dyDescent="0.25">
      <c r="A15" s="259" t="s">
        <v>853</v>
      </c>
      <c r="B15" s="506">
        <v>0</v>
      </c>
      <c r="C15" s="506">
        <v>0</v>
      </c>
      <c r="D15" s="506">
        <v>0</v>
      </c>
      <c r="E15" s="506">
        <v>0</v>
      </c>
      <c r="F15" s="506">
        <f>-228994/1000</f>
        <v>-228.994</v>
      </c>
      <c r="G15" s="506">
        <f t="shared" si="0"/>
        <v>-228.994</v>
      </c>
      <c r="H15" s="257" t="s">
        <v>545</v>
      </c>
    </row>
    <row r="16" spans="1:10" s="352" customFormat="1" ht="15" customHeight="1" x14ac:dyDescent="0.25">
      <c r="A16" s="259" t="s">
        <v>877</v>
      </c>
      <c r="B16" s="506">
        <v>0</v>
      </c>
      <c r="C16" s="506">
        <v>0</v>
      </c>
      <c r="D16" s="506">
        <v>0</v>
      </c>
      <c r="E16" s="506">
        <v>0</v>
      </c>
      <c r="F16" s="506">
        <v>0</v>
      </c>
      <c r="G16" s="506">
        <f t="shared" si="0"/>
        <v>0</v>
      </c>
      <c r="H16" s="257" t="s">
        <v>546</v>
      </c>
    </row>
    <row r="17" spans="1:8" s="352" customFormat="1" ht="15" customHeight="1" x14ac:dyDescent="0.25">
      <c r="A17" s="412" t="s">
        <v>854</v>
      </c>
      <c r="B17" s="507">
        <f>SUBTOTAL(9,B7:B16)</f>
        <v>0</v>
      </c>
      <c r="C17" s="507">
        <f t="shared" ref="C17:F17" si="2">SUBTOTAL(9,C7:C16)</f>
        <v>0</v>
      </c>
      <c r="D17" s="507">
        <f>SUBTOTAL(9,D7:D16)</f>
        <v>0</v>
      </c>
      <c r="E17" s="507">
        <f t="shared" si="2"/>
        <v>0</v>
      </c>
      <c r="F17" s="507">
        <f t="shared" si="2"/>
        <v>444.44099999999992</v>
      </c>
      <c r="G17" s="507">
        <f t="shared" si="0"/>
        <v>444.44099999999992</v>
      </c>
      <c r="H17" s="199" t="s">
        <v>547</v>
      </c>
    </row>
    <row r="18" spans="1:8" s="352" customFormat="1" ht="15" customHeight="1" x14ac:dyDescent="0.25"/>
    <row r="19" spans="1:8" s="352" customFormat="1" ht="15" customHeight="1" x14ac:dyDescent="0.25"/>
    <row r="20" spans="1:8" s="352" customFormat="1" ht="15" customHeight="1" x14ac:dyDescent="0.25"/>
    <row r="21" spans="1:8" s="352" customFormat="1" ht="15" customHeight="1" x14ac:dyDescent="0.25"/>
    <row r="22" spans="1:8" s="352" customFormat="1" ht="15" customHeight="1" x14ac:dyDescent="0.25"/>
  </sheetData>
  <pageMargins left="0.51181102362204722" right="0.31496062992125984" top="0.74803149606299213" bottom="0.74803149606299213" header="0.31496062992125984" footer="0.31496062992125984"/>
  <pageSetup paperSize="9" scale="98" orientation="landscape"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6"/>
  <sheetViews>
    <sheetView workbookViewId="0">
      <selection activeCell="B8" sqref="B8"/>
    </sheetView>
  </sheetViews>
  <sheetFormatPr baseColWidth="10" defaultColWidth="17.28515625" defaultRowHeight="15.75" customHeight="1" x14ac:dyDescent="0.25"/>
  <cols>
    <col min="1" max="1" width="43.28515625" style="345" customWidth="1"/>
    <col min="2" max="3" width="15.7109375" style="350" customWidth="1"/>
    <col min="4" max="4" width="13.7109375" style="78" customWidth="1"/>
    <col min="5" max="6" width="10.7109375" style="345" customWidth="1"/>
    <col min="7" max="16384" width="17.28515625" style="345"/>
  </cols>
  <sheetData>
    <row r="1" spans="1:9" ht="15" customHeight="1" x14ac:dyDescent="0.25">
      <c r="B1" s="348"/>
      <c r="C1" s="348"/>
      <c r="D1" s="77"/>
      <c r="E1" s="1"/>
      <c r="F1" s="1"/>
    </row>
    <row r="2" spans="1:9" ht="15" x14ac:dyDescent="0.25">
      <c r="A2" s="342" t="str">
        <f>Resultatregnskap!A2</f>
        <v>Virksomhetens navn: Bergen Arkitekthøgskole</v>
      </c>
      <c r="B2" s="140"/>
      <c r="C2" s="140"/>
      <c r="D2" s="77"/>
      <c r="E2" s="1"/>
      <c r="F2" s="1"/>
    </row>
    <row r="3" spans="1:9" ht="12" customHeight="1" x14ac:dyDescent="0.25">
      <c r="A3" s="1"/>
      <c r="B3" s="113"/>
      <c r="C3" s="348"/>
      <c r="D3" s="77"/>
      <c r="E3" s="1"/>
      <c r="F3" s="1"/>
    </row>
    <row r="4" spans="1:9" ht="15" customHeight="1" x14ac:dyDescent="0.25">
      <c r="A4" s="361" t="s">
        <v>548</v>
      </c>
      <c r="B4" s="114"/>
      <c r="C4" s="109"/>
      <c r="D4" s="109"/>
      <c r="E4" s="1"/>
      <c r="F4" s="1"/>
    </row>
    <row r="5" spans="1:9" s="42" customFormat="1" ht="15" customHeight="1" x14ac:dyDescent="0.25">
      <c r="A5" s="12" t="str">
        <f>Resultatregnskap!A6</f>
        <v>Beløp i 1000 kroner</v>
      </c>
      <c r="B5" s="76"/>
      <c r="C5" s="348"/>
      <c r="D5" s="195"/>
      <c r="E5" s="1"/>
      <c r="F5" s="1"/>
    </row>
    <row r="6" spans="1:9" ht="16.5" customHeight="1" x14ac:dyDescent="0.25">
      <c r="A6" s="170" t="s">
        <v>109</v>
      </c>
      <c r="B6" s="320">
        <f>Resultatregnskap!C8</f>
        <v>45657</v>
      </c>
      <c r="C6" s="321">
        <f>'Balanse - eiendeler'!D7</f>
        <v>45291</v>
      </c>
      <c r="D6" s="143" t="str">
        <f>Resultatregnskap!E8</f>
        <v>DBH-referanse</v>
      </c>
      <c r="E6" s="1"/>
      <c r="F6" s="1"/>
      <c r="G6" s="1"/>
      <c r="H6" s="1"/>
      <c r="I6" s="1"/>
    </row>
    <row r="7" spans="1:9" ht="15" customHeight="1" x14ac:dyDescent="0.25">
      <c r="A7" s="242" t="s">
        <v>325</v>
      </c>
      <c r="B7" s="172">
        <f>(224000+74073.49)/1000</f>
        <v>298.07348999999999</v>
      </c>
      <c r="C7" s="172">
        <f>224000/1000+(96592/1000)</f>
        <v>320.59199999999998</v>
      </c>
      <c r="D7" s="229" t="s">
        <v>549</v>
      </c>
      <c r="E7" s="1"/>
      <c r="F7" s="1"/>
      <c r="G7" s="1"/>
      <c r="H7" s="1"/>
    </row>
    <row r="8" spans="1:9" ht="15" customHeight="1" x14ac:dyDescent="0.25">
      <c r="A8" s="242" t="s">
        <v>327</v>
      </c>
      <c r="B8" s="173">
        <f>-224000/1000</f>
        <v>-224</v>
      </c>
      <c r="C8" s="585">
        <f>-224000/1000</f>
        <v>-224</v>
      </c>
      <c r="D8" s="230" t="s">
        <v>550</v>
      </c>
      <c r="E8" s="1"/>
      <c r="F8" s="1"/>
      <c r="G8" s="1"/>
      <c r="H8" s="1"/>
    </row>
    <row r="9" spans="1:9" ht="15" customHeight="1" x14ac:dyDescent="0.25">
      <c r="A9" s="243" t="s">
        <v>329</v>
      </c>
      <c r="B9" s="174">
        <f>SUM(B7:B8)</f>
        <v>74.073489999999993</v>
      </c>
      <c r="C9" s="175">
        <f>SUM(C7:C8)</f>
        <v>96.591999999999985</v>
      </c>
      <c r="D9" s="231" t="s">
        <v>551</v>
      </c>
      <c r="E9" s="1"/>
      <c r="F9" s="1"/>
      <c r="G9" s="1"/>
      <c r="H9" s="1"/>
    </row>
    <row r="10" spans="1:9" ht="15" customHeight="1" x14ac:dyDescent="0.25">
      <c r="A10" s="244"/>
      <c r="B10" s="220"/>
      <c r="C10" s="220"/>
      <c r="D10" s="77"/>
      <c r="E10" s="1"/>
      <c r="F10" s="1"/>
      <c r="G10" s="1"/>
      <c r="H10" s="1"/>
    </row>
    <row r="11" spans="1:9" ht="20.100000000000001" customHeight="1" x14ac:dyDescent="0.25">
      <c r="A11" s="170" t="s">
        <v>111</v>
      </c>
      <c r="B11" s="226">
        <f>B6</f>
        <v>45657</v>
      </c>
      <c r="C11" s="227">
        <f>C6</f>
        <v>45291</v>
      </c>
      <c r="D11" s="232" t="s">
        <v>466</v>
      </c>
      <c r="E11" s="1"/>
      <c r="F11" s="1"/>
      <c r="G11" s="1"/>
      <c r="H11" s="1"/>
    </row>
    <row r="12" spans="1:9" ht="15" customHeight="1" x14ac:dyDescent="0.25">
      <c r="A12" s="245" t="s">
        <v>111</v>
      </c>
      <c r="B12" s="172">
        <f>810316.9/1000</f>
        <v>810.31690000000003</v>
      </c>
      <c r="C12" s="586">
        <f>663112/1000</f>
        <v>663.11199999999997</v>
      </c>
      <c r="D12" s="233" t="s">
        <v>552</v>
      </c>
      <c r="E12" s="1"/>
      <c r="F12" s="1"/>
      <c r="G12" s="1"/>
      <c r="H12" s="1"/>
    </row>
    <row r="13" spans="1:9" ht="15" customHeight="1" x14ac:dyDescent="0.25">
      <c r="A13" s="246" t="s">
        <v>327</v>
      </c>
      <c r="B13" s="373">
        <v>0</v>
      </c>
      <c r="C13" s="373">
        <v>0</v>
      </c>
      <c r="D13" s="374" t="s">
        <v>553</v>
      </c>
      <c r="E13" s="1"/>
      <c r="F13" s="1"/>
      <c r="G13" s="1"/>
      <c r="H13" s="1"/>
    </row>
    <row r="14" spans="1:9" ht="15" customHeight="1" x14ac:dyDescent="0.25">
      <c r="A14" s="247" t="s">
        <v>469</v>
      </c>
      <c r="B14" s="218">
        <f>SUM(B12:B13)</f>
        <v>810.31690000000003</v>
      </c>
      <c r="C14" s="219">
        <f>SUM(C12:C13)</f>
        <v>663.11199999999997</v>
      </c>
      <c r="D14" s="234" t="s">
        <v>554</v>
      </c>
      <c r="E14" s="1"/>
      <c r="F14" s="1"/>
      <c r="G14" s="1"/>
      <c r="H14" s="1"/>
    </row>
    <row r="15" spans="1:9" ht="15" customHeight="1" x14ac:dyDescent="0.25">
      <c r="A15" s="1"/>
      <c r="B15" s="348"/>
      <c r="C15" s="348"/>
      <c r="E15" s="1"/>
      <c r="F15" s="1"/>
      <c r="G15" s="1"/>
      <c r="H15" s="1"/>
    </row>
    <row r="16" spans="1:9" ht="15" customHeight="1" x14ac:dyDescent="0.25">
      <c r="A16" s="354" t="s">
        <v>736</v>
      </c>
      <c r="B16" s="354"/>
      <c r="C16" s="354"/>
      <c r="D16" s="354"/>
      <c r="E16" s="1"/>
      <c r="F16" s="1"/>
      <c r="G16" s="1"/>
      <c r="H16" s="1"/>
    </row>
    <row r="17" spans="1:8" ht="15.75" customHeight="1" x14ac:dyDescent="0.25">
      <c r="A17" s="12" t="s">
        <v>589</v>
      </c>
      <c r="B17"/>
      <c r="C17"/>
      <c r="D17"/>
      <c r="E17" s="1"/>
      <c r="F17" s="1"/>
      <c r="G17" s="1"/>
      <c r="H17" s="1"/>
    </row>
    <row r="18" spans="1:8" ht="15.75" customHeight="1" x14ac:dyDescent="0.25">
      <c r="A18" s="185"/>
      <c r="B18" s="196">
        <f>B11</f>
        <v>45657</v>
      </c>
      <c r="C18" s="197">
        <f>C11</f>
        <v>45291</v>
      </c>
      <c r="D18" s="248" t="s">
        <v>466</v>
      </c>
      <c r="E18" s="1"/>
      <c r="F18" s="1"/>
      <c r="G18" s="1"/>
      <c r="H18" s="1"/>
    </row>
    <row r="19" spans="1:8" ht="15.75" customHeight="1" x14ac:dyDescent="0.25">
      <c r="A19" s="186" t="s">
        <v>737</v>
      </c>
      <c r="B19" s="509">
        <v>0</v>
      </c>
      <c r="C19" s="509">
        <v>0</v>
      </c>
      <c r="D19" s="233" t="s">
        <v>595</v>
      </c>
      <c r="E19" s="1"/>
      <c r="F19" s="1"/>
      <c r="G19" s="1"/>
      <c r="H19" s="1"/>
    </row>
    <row r="20" spans="1:8" ht="15.75" customHeight="1" x14ac:dyDescent="0.25">
      <c r="A20" s="186" t="s">
        <v>738</v>
      </c>
      <c r="B20" s="509">
        <v>0</v>
      </c>
      <c r="C20" s="509">
        <v>0</v>
      </c>
      <c r="D20" s="233" t="s">
        <v>735</v>
      </c>
      <c r="E20" s="1"/>
      <c r="F20" s="1"/>
      <c r="G20" s="1"/>
      <c r="H20" s="1"/>
    </row>
    <row r="21" spans="1:8" ht="15.75" customHeight="1" x14ac:dyDescent="0.25">
      <c r="A21" s="187" t="s">
        <v>689</v>
      </c>
      <c r="B21" s="509">
        <v>0</v>
      </c>
      <c r="C21" s="509">
        <v>0</v>
      </c>
      <c r="D21" s="233" t="s">
        <v>596</v>
      </c>
      <c r="E21" s="1"/>
      <c r="F21" s="1"/>
      <c r="G21" s="1"/>
      <c r="H21" s="1"/>
    </row>
    <row r="22" spans="1:8" ht="15.75" customHeight="1" x14ac:dyDescent="0.25">
      <c r="A22" s="187" t="s">
        <v>430</v>
      </c>
      <c r="B22" s="218">
        <f>SUM(B19:B21)</f>
        <v>0</v>
      </c>
      <c r="C22" s="219">
        <f>SUM(C19:C21)</f>
        <v>0</v>
      </c>
      <c r="D22" s="234" t="s">
        <v>597</v>
      </c>
      <c r="E22" s="1"/>
      <c r="F22" s="1"/>
      <c r="G22" s="1"/>
      <c r="H22" s="1"/>
    </row>
    <row r="23" spans="1:8" ht="15.75" customHeight="1" x14ac:dyDescent="0.25">
      <c r="A23"/>
      <c r="B23"/>
      <c r="C23"/>
      <c r="D23"/>
    </row>
    <row r="24" spans="1:8" ht="15.75" customHeight="1" x14ac:dyDescent="0.25">
      <c r="A24" s="623" t="s">
        <v>799</v>
      </c>
      <c r="B24" s="623"/>
      <c r="C24" s="623"/>
      <c r="D24" s="623"/>
    </row>
    <row r="26" spans="1:8" ht="15.75" customHeight="1" x14ac:dyDescent="0.25">
      <c r="A26" s="384"/>
    </row>
  </sheetData>
  <sheetProtection formatCells="0" formatColumns="0" formatRows="0" insertColumns="0" insertRows="0"/>
  <mergeCells count="1">
    <mergeCell ref="A24:D24"/>
  </mergeCells>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33"/>
  <sheetViews>
    <sheetView topLeftCell="A6" workbookViewId="0">
      <selection activeCell="A38" sqref="A38"/>
    </sheetView>
  </sheetViews>
  <sheetFormatPr baseColWidth="10" defaultRowHeight="12.75" x14ac:dyDescent="0.2"/>
  <cols>
    <col min="1" max="1" width="34.28515625" customWidth="1"/>
    <col min="2" max="4" width="15.7109375" customWidth="1"/>
    <col min="5" max="5" width="11.42578125" customWidth="1"/>
  </cols>
  <sheetData>
    <row r="2" spans="1:7" ht="15" x14ac:dyDescent="0.25">
      <c r="A2" s="351" t="str">
        <f>Resultatregnskap!A2</f>
        <v>Virksomhetens navn: Bergen Arkitekthøgskole</v>
      </c>
      <c r="B2" s="351"/>
      <c r="C2" s="351"/>
      <c r="D2" s="351"/>
      <c r="E2" s="352"/>
      <c r="F2" s="352"/>
      <c r="G2" s="352"/>
    </row>
    <row r="4" spans="1:7" x14ac:dyDescent="0.2">
      <c r="A4" s="357" t="s">
        <v>587</v>
      </c>
      <c r="B4" s="357"/>
      <c r="C4" s="357"/>
      <c r="D4" s="357"/>
    </row>
    <row r="5" spans="1:7" ht="15" x14ac:dyDescent="0.25">
      <c r="A5" s="353" t="s">
        <v>589</v>
      </c>
      <c r="B5" s="198"/>
      <c r="C5" s="198"/>
      <c r="D5" s="198"/>
    </row>
    <row r="6" spans="1:7" ht="15" x14ac:dyDescent="0.25">
      <c r="A6" s="199"/>
      <c r="B6" s="320">
        <f>Resultatregnskap!C8</f>
        <v>45657</v>
      </c>
      <c r="C6" s="321">
        <f>'Balanse - eiendeler'!D7</f>
        <v>45291</v>
      </c>
      <c r="D6" s="360" t="str">
        <f>'Balanse - eiendeler'!E7</f>
        <v>DBH-referanse</v>
      </c>
    </row>
    <row r="7" spans="1:7" ht="15" x14ac:dyDescent="0.25">
      <c r="A7" s="200" t="s">
        <v>512</v>
      </c>
      <c r="B7" s="508">
        <f>1211373.86/1000</f>
        <v>1211.3738600000001</v>
      </c>
      <c r="C7" s="587">
        <f>1199512/1000</f>
        <v>1199.5119999999999</v>
      </c>
      <c r="D7" s="233" t="s">
        <v>598</v>
      </c>
    </row>
    <row r="8" spans="1:7" ht="15" x14ac:dyDescent="0.25">
      <c r="A8" s="200" t="s">
        <v>513</v>
      </c>
      <c r="B8" s="508">
        <v>0</v>
      </c>
      <c r="C8" s="508">
        <v>0</v>
      </c>
      <c r="D8" s="233" t="s">
        <v>599</v>
      </c>
    </row>
    <row r="9" spans="1:7" ht="15" x14ac:dyDescent="0.25">
      <c r="A9" s="200" t="s">
        <v>514</v>
      </c>
      <c r="B9" s="508">
        <v>0</v>
      </c>
      <c r="C9" s="508">
        <v>0</v>
      </c>
      <c r="D9" s="233" t="s">
        <v>600</v>
      </c>
    </row>
    <row r="10" spans="1:7" ht="15" x14ac:dyDescent="0.25">
      <c r="A10" s="200" t="s">
        <v>515</v>
      </c>
      <c r="B10" s="508">
        <f>741645.54/1000</f>
        <v>741.64553999999998</v>
      </c>
      <c r="C10" s="587">
        <f>294596/1000</f>
        <v>294.596</v>
      </c>
      <c r="D10" s="233" t="s">
        <v>601</v>
      </c>
    </row>
    <row r="11" spans="1:7" ht="17.25" x14ac:dyDescent="0.25">
      <c r="A11" s="200" t="s">
        <v>691</v>
      </c>
      <c r="B11" s="508">
        <f>(1541438.18+564943.78+13553.73+6791+68200+3550+82740)/1000</f>
        <v>2281.2166899999997</v>
      </c>
      <c r="C11" s="508">
        <f>(253517+367173+13554+6791+52000+3550+349866)/1000</f>
        <v>1046.451</v>
      </c>
      <c r="D11" s="233" t="s">
        <v>602</v>
      </c>
    </row>
    <row r="12" spans="1:7" ht="15" x14ac:dyDescent="0.25">
      <c r="A12" s="200" t="s">
        <v>621</v>
      </c>
      <c r="B12" s="508">
        <v>0</v>
      </c>
      <c r="C12" s="508">
        <v>0</v>
      </c>
      <c r="D12" s="233" t="s">
        <v>603</v>
      </c>
    </row>
    <row r="13" spans="1:7" ht="15" x14ac:dyDescent="0.25">
      <c r="A13" s="409" t="s">
        <v>690</v>
      </c>
      <c r="B13" s="511">
        <f>SUBTOTAL(9,B7:B12)</f>
        <v>4234.2360900000003</v>
      </c>
      <c r="C13" s="510">
        <f>SUBTOTAL(9,C7:C12)</f>
        <v>2540.5590000000002</v>
      </c>
      <c r="D13" s="370" t="s">
        <v>604</v>
      </c>
    </row>
    <row r="14" spans="1:7" ht="15" x14ac:dyDescent="0.25">
      <c r="A14" s="352"/>
      <c r="B14" s="352"/>
      <c r="C14" s="352"/>
    </row>
    <row r="15" spans="1:7" ht="15" x14ac:dyDescent="0.25">
      <c r="A15" s="355"/>
      <c r="B15" s="355"/>
      <c r="C15" s="355"/>
      <c r="D15" s="355"/>
    </row>
    <row r="16" spans="1:7" ht="15" x14ac:dyDescent="0.25">
      <c r="A16" s="624" t="s">
        <v>784</v>
      </c>
      <c r="B16" s="624"/>
      <c r="C16" s="624"/>
      <c r="D16" s="624"/>
    </row>
    <row r="17" spans="1:3" x14ac:dyDescent="0.2">
      <c r="B17">
        <v>2024</v>
      </c>
      <c r="C17">
        <v>2023</v>
      </c>
    </row>
    <row r="18" spans="1:3" x14ac:dyDescent="0.2">
      <c r="A18" s="591" t="s">
        <v>174</v>
      </c>
      <c r="B18" s="593"/>
      <c r="C18" s="593"/>
    </row>
    <row r="19" spans="1:3" x14ac:dyDescent="0.2">
      <c r="A19" s="592" t="s">
        <v>906</v>
      </c>
      <c r="B19" s="593">
        <v>-1541438.18</v>
      </c>
      <c r="C19" s="593">
        <v>-253516.85</v>
      </c>
    </row>
    <row r="20" spans="1:3" x14ac:dyDescent="0.2">
      <c r="A20" s="592" t="s">
        <v>907</v>
      </c>
      <c r="B20" s="593">
        <v>-564943.78</v>
      </c>
      <c r="C20" s="593">
        <v>-367172.78</v>
      </c>
    </row>
    <row r="21" spans="1:3" x14ac:dyDescent="0.2">
      <c r="A21" s="592" t="s">
        <v>908</v>
      </c>
      <c r="B21" s="593">
        <v>-13553.73</v>
      </c>
      <c r="C21" s="593">
        <v>-13553.73</v>
      </c>
    </row>
    <row r="22" spans="1:3" x14ac:dyDescent="0.2">
      <c r="A22" s="592" t="s">
        <v>909</v>
      </c>
      <c r="B22" s="593">
        <v>-6791</v>
      </c>
      <c r="C22" s="593">
        <v>-6791</v>
      </c>
    </row>
    <row r="23" spans="1:3" x14ac:dyDescent="0.2">
      <c r="A23" s="592" t="s">
        <v>901</v>
      </c>
      <c r="B23" s="593">
        <v>-68200</v>
      </c>
      <c r="C23" s="593">
        <v>-52000</v>
      </c>
    </row>
    <row r="24" spans="1:3" x14ac:dyDescent="0.2">
      <c r="A24" s="592" t="s">
        <v>902</v>
      </c>
      <c r="B24" s="593">
        <v>-3550</v>
      </c>
      <c r="C24" s="593">
        <v>-3550</v>
      </c>
    </row>
    <row r="25" spans="1:3" x14ac:dyDescent="0.2">
      <c r="A25" s="592" t="s">
        <v>903</v>
      </c>
      <c r="B25" s="593">
        <v>-1211373.8600000001</v>
      </c>
      <c r="C25" s="593">
        <v>-1199511.79</v>
      </c>
    </row>
    <row r="26" spans="1:3" x14ac:dyDescent="0.2">
      <c r="A26" s="592" t="s">
        <v>904</v>
      </c>
      <c r="B26" s="593">
        <v>-741645.54</v>
      </c>
      <c r="C26" s="593">
        <v>-294595.61</v>
      </c>
    </row>
    <row r="27" spans="1:3" x14ac:dyDescent="0.2">
      <c r="A27" s="592" t="s">
        <v>905</v>
      </c>
      <c r="B27" s="593">
        <v>-82740</v>
      </c>
      <c r="C27" s="593">
        <v>-349865.56</v>
      </c>
    </row>
    <row r="28" spans="1:3" x14ac:dyDescent="0.2">
      <c r="A28" s="592"/>
      <c r="B28" s="594">
        <f>SUM(B19:B27)</f>
        <v>-4234236.09</v>
      </c>
      <c r="C28" s="594">
        <f>SUM(C19:C27)</f>
        <v>-2540557.3199999998</v>
      </c>
    </row>
    <row r="29" spans="1:3" x14ac:dyDescent="0.2">
      <c r="A29" s="592"/>
    </row>
    <row r="30" spans="1:3" x14ac:dyDescent="0.2">
      <c r="A30" s="592"/>
    </row>
    <row r="31" spans="1:3" x14ac:dyDescent="0.2">
      <c r="A31" s="592"/>
    </row>
    <row r="32" spans="1:3" x14ac:dyDescent="0.2">
      <c r="A32" s="592"/>
    </row>
    <row r="33" spans="1:1" x14ac:dyDescent="0.2">
      <c r="A33" s="592"/>
    </row>
  </sheetData>
  <sheetProtection selectLockedCells="1" selectUnlockedCells="1"/>
  <mergeCells count="1">
    <mergeCell ref="A16:D16"/>
  </mergeCells>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I17"/>
  <sheetViews>
    <sheetView workbookViewId="0">
      <selection activeCell="B16" sqref="B16"/>
    </sheetView>
  </sheetViews>
  <sheetFormatPr baseColWidth="10" defaultRowHeight="12.75" x14ac:dyDescent="0.2"/>
  <cols>
    <col min="1" max="1" width="27.42578125" customWidth="1"/>
    <col min="2" max="2" width="17.7109375" customWidth="1"/>
    <col min="3" max="3" width="13.7109375" customWidth="1"/>
    <col min="4" max="4" width="16.7109375" customWidth="1"/>
    <col min="5" max="5" width="13.7109375" customWidth="1"/>
    <col min="6" max="6" width="16.7109375" customWidth="1"/>
    <col min="7" max="8" width="13.7109375" customWidth="1"/>
    <col min="9" max="9" width="13.5703125" customWidth="1"/>
  </cols>
  <sheetData>
    <row r="2" spans="1:9" x14ac:dyDescent="0.2">
      <c r="A2" s="625" t="str">
        <f>Resultatregnskap!A2</f>
        <v>Virksomhetens navn: Bergen Arkitekthøgskole</v>
      </c>
      <c r="B2" s="625"/>
      <c r="C2" s="625"/>
      <c r="D2" s="625"/>
      <c r="E2" s="625"/>
      <c r="F2" s="625"/>
      <c r="G2" s="625"/>
      <c r="H2" s="625"/>
    </row>
    <row r="4" spans="1:9" x14ac:dyDescent="0.2">
      <c r="A4" s="354" t="s">
        <v>685</v>
      </c>
      <c r="B4" s="354"/>
      <c r="C4" s="354"/>
      <c r="D4" s="354"/>
      <c r="E4" s="354"/>
      <c r="F4" s="354"/>
      <c r="G4" s="354"/>
      <c r="H4" s="354"/>
      <c r="I4" s="354"/>
    </row>
    <row r="5" spans="1:9" x14ac:dyDescent="0.2">
      <c r="A5" s="435" t="s">
        <v>589</v>
      </c>
      <c r="B5" s="198"/>
      <c r="C5" s="198"/>
      <c r="D5" s="198"/>
      <c r="E5" s="198"/>
      <c r="F5" s="198"/>
      <c r="G5" s="198"/>
      <c r="H5" s="198"/>
    </row>
    <row r="7" spans="1:9" ht="12.75" customHeight="1" x14ac:dyDescent="0.2">
      <c r="A7" s="432"/>
      <c r="B7" s="630" t="s">
        <v>856</v>
      </c>
      <c r="C7" s="631"/>
      <c r="D7" s="630" t="s">
        <v>857</v>
      </c>
      <c r="E7" s="631"/>
      <c r="F7" s="634" t="s">
        <v>858</v>
      </c>
      <c r="G7" s="635"/>
      <c r="H7" s="636"/>
      <c r="I7" s="410"/>
    </row>
    <row r="8" spans="1:9" ht="12.75" customHeight="1" x14ac:dyDescent="0.2">
      <c r="A8" s="434"/>
      <c r="B8" s="632"/>
      <c r="C8" s="633"/>
      <c r="D8" s="632"/>
      <c r="E8" s="633"/>
      <c r="F8" s="637"/>
      <c r="G8" s="638"/>
      <c r="H8" s="639"/>
      <c r="I8" s="183"/>
    </row>
    <row r="9" spans="1:9" ht="12.75" customHeight="1" x14ac:dyDescent="0.2">
      <c r="A9" s="434"/>
      <c r="B9" s="626" t="s">
        <v>749</v>
      </c>
      <c r="C9" s="628" t="s">
        <v>739</v>
      </c>
      <c r="D9" s="626" t="s">
        <v>749</v>
      </c>
      <c r="E9" s="628" t="s">
        <v>739</v>
      </c>
      <c r="F9" s="626" t="s">
        <v>749</v>
      </c>
      <c r="G9" s="628" t="s">
        <v>739</v>
      </c>
      <c r="H9" s="640" t="s">
        <v>740</v>
      </c>
      <c r="I9" s="446" t="s">
        <v>466</v>
      </c>
    </row>
    <row r="10" spans="1:9" ht="12.75" customHeight="1" x14ac:dyDescent="0.2">
      <c r="A10" s="433"/>
      <c r="B10" s="627"/>
      <c r="C10" s="629"/>
      <c r="D10" s="627"/>
      <c r="E10" s="629"/>
      <c r="F10" s="627"/>
      <c r="G10" s="629"/>
      <c r="H10" s="641"/>
      <c r="I10" s="184"/>
    </row>
    <row r="11" spans="1:9" x14ac:dyDescent="0.2">
      <c r="B11" s="512"/>
      <c r="C11" s="513"/>
      <c r="D11" s="512"/>
      <c r="E11" s="513"/>
      <c r="F11" s="512"/>
      <c r="G11" s="513"/>
      <c r="H11" s="514"/>
      <c r="I11" s="183"/>
    </row>
    <row r="12" spans="1:9" x14ac:dyDescent="0.2">
      <c r="A12" s="356" t="s">
        <v>135</v>
      </c>
      <c r="B12" s="512">
        <v>50</v>
      </c>
      <c r="C12" s="513">
        <v>0</v>
      </c>
      <c r="D12" s="512">
        <v>0</v>
      </c>
      <c r="E12" s="513">
        <v>0</v>
      </c>
      <c r="F12" s="512">
        <f>B12+D12</f>
        <v>50</v>
      </c>
      <c r="G12" s="513">
        <f>C12+E12</f>
        <v>0</v>
      </c>
      <c r="H12" s="514">
        <f>SUBTOTAL(9,F12:G12)</f>
        <v>50</v>
      </c>
      <c r="I12" s="183" t="s">
        <v>741</v>
      </c>
    </row>
    <row r="13" spans="1:9" x14ac:dyDescent="0.2">
      <c r="A13" s="356" t="s">
        <v>137</v>
      </c>
      <c r="B13" s="512">
        <v>0</v>
      </c>
      <c r="C13" s="513">
        <v>0</v>
      </c>
      <c r="D13" s="512">
        <v>0</v>
      </c>
      <c r="E13" s="513">
        <v>0</v>
      </c>
      <c r="F13" s="512">
        <f t="shared" ref="F13:F16" si="0">B13+D13</f>
        <v>0</v>
      </c>
      <c r="G13" s="513">
        <f t="shared" ref="G13:G16" si="1">C13+E13</f>
        <v>0</v>
      </c>
      <c r="H13" s="514">
        <f t="shared" ref="H13:H16" si="2">SUBTOTAL(9,F13:G13)</f>
        <v>0</v>
      </c>
      <c r="I13" s="183" t="s">
        <v>742</v>
      </c>
    </row>
    <row r="14" spans="1:9" x14ac:dyDescent="0.2">
      <c r="A14" s="356" t="s">
        <v>139</v>
      </c>
      <c r="B14" s="512">
        <v>0</v>
      </c>
      <c r="C14" s="513">
        <v>0</v>
      </c>
      <c r="D14" s="512">
        <v>0</v>
      </c>
      <c r="E14" s="513">
        <v>0</v>
      </c>
      <c r="F14" s="512">
        <f t="shared" si="0"/>
        <v>0</v>
      </c>
      <c r="G14" s="513">
        <f t="shared" si="1"/>
        <v>0</v>
      </c>
      <c r="H14" s="514">
        <f t="shared" si="2"/>
        <v>0</v>
      </c>
      <c r="I14" s="183" t="s">
        <v>743</v>
      </c>
    </row>
    <row r="15" spans="1:9" x14ac:dyDescent="0.2">
      <c r="A15" s="198" t="s">
        <v>875</v>
      </c>
      <c r="B15" s="564">
        <v>0</v>
      </c>
      <c r="C15" s="565">
        <v>0</v>
      </c>
      <c r="D15" s="564">
        <v>0</v>
      </c>
      <c r="E15" s="565">
        <v>0</v>
      </c>
      <c r="F15" s="564">
        <f t="shared" si="0"/>
        <v>0</v>
      </c>
      <c r="G15" s="565">
        <f t="shared" si="1"/>
        <v>0</v>
      </c>
      <c r="H15" s="566">
        <f t="shared" si="2"/>
        <v>0</v>
      </c>
      <c r="I15" s="414" t="s">
        <v>744</v>
      </c>
    </row>
    <row r="16" spans="1:9" x14ac:dyDescent="0.2">
      <c r="A16" s="356" t="s">
        <v>686</v>
      </c>
      <c r="B16" s="512">
        <f>14956585.87/1000</f>
        <v>14956.585869999999</v>
      </c>
      <c r="C16" s="513">
        <v>0</v>
      </c>
      <c r="D16" s="512">
        <f>1854614/1000</f>
        <v>1854.614</v>
      </c>
      <c r="E16" s="513">
        <v>0</v>
      </c>
      <c r="F16" s="512">
        <f t="shared" si="0"/>
        <v>16811.19987</v>
      </c>
      <c r="G16" s="513">
        <f t="shared" si="1"/>
        <v>0</v>
      </c>
      <c r="H16" s="514">
        <f t="shared" si="2"/>
        <v>16811.19987</v>
      </c>
      <c r="I16" s="184" t="s">
        <v>745</v>
      </c>
    </row>
    <row r="17" spans="1:9" x14ac:dyDescent="0.2">
      <c r="A17" s="440" t="s">
        <v>336</v>
      </c>
      <c r="B17" s="515">
        <f>SUBTOTAL(9,B12:B16)</f>
        <v>15006.585869999999</v>
      </c>
      <c r="C17" s="516">
        <f t="shared" ref="C17:E17" si="3">SUBTOTAL(9,C12:C16)</f>
        <v>0</v>
      </c>
      <c r="D17" s="515">
        <f t="shared" si="3"/>
        <v>1854.614</v>
      </c>
      <c r="E17" s="516">
        <f t="shared" si="3"/>
        <v>0</v>
      </c>
      <c r="F17" s="515">
        <f>SUBTOTAL(9,F12:F16)</f>
        <v>16861.19987</v>
      </c>
      <c r="G17" s="516">
        <f>SUBTOTAL(9,G12:G16)</f>
        <v>0</v>
      </c>
      <c r="H17" s="517">
        <f>SUM(H12:H16)</f>
        <v>16861.19987</v>
      </c>
      <c r="I17" s="185" t="s">
        <v>746</v>
      </c>
    </row>
  </sheetData>
  <mergeCells count="11">
    <mergeCell ref="A2:H2"/>
    <mergeCell ref="B9:B10"/>
    <mergeCell ref="C9:C10"/>
    <mergeCell ref="D9:D10"/>
    <mergeCell ref="E9:E10"/>
    <mergeCell ref="B7:C8"/>
    <mergeCell ref="D7:E8"/>
    <mergeCell ref="F9:F10"/>
    <mergeCell ref="G9:G10"/>
    <mergeCell ref="F7:H8"/>
    <mergeCell ref="H9:H10"/>
  </mergeCells>
  <pageMargins left="0.7" right="0.7" top="0.75" bottom="0.75" header="0.3" footer="0.3"/>
  <pageSetup paperSize="9" scale="91" orientation="landscape"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15"/>
  <sheetViews>
    <sheetView workbookViewId="0">
      <selection activeCell="C6" sqref="C6"/>
    </sheetView>
  </sheetViews>
  <sheetFormatPr baseColWidth="10" defaultRowHeight="12.75" x14ac:dyDescent="0.2"/>
  <cols>
    <col min="1" max="1" width="35.42578125" customWidth="1"/>
    <col min="2" max="4" width="15.7109375" customWidth="1"/>
  </cols>
  <sheetData>
    <row r="2" spans="1:5" ht="30" x14ac:dyDescent="0.25">
      <c r="A2" s="342" t="str">
        <f>Resultatregnskap!A2</f>
        <v>Virksomhetens navn: Bergen Arkitekthøgskole</v>
      </c>
    </row>
    <row r="3" spans="1:5" ht="15" x14ac:dyDescent="0.25">
      <c r="A3" s="342"/>
    </row>
    <row r="4" spans="1:5" x14ac:dyDescent="0.2">
      <c r="A4" s="357" t="s">
        <v>586</v>
      </c>
      <c r="B4" s="357"/>
      <c r="C4" s="357"/>
      <c r="D4" s="357"/>
    </row>
    <row r="5" spans="1:5" x14ac:dyDescent="0.2">
      <c r="A5" s="203" t="s">
        <v>589</v>
      </c>
    </row>
    <row r="6" spans="1:5" ht="15" x14ac:dyDescent="0.25">
      <c r="A6" s="185"/>
      <c r="B6" s="320">
        <f>Resultatregnskap!C8</f>
        <v>45657</v>
      </c>
      <c r="C6" s="321">
        <f>'Balanse - eiendeler'!D7</f>
        <v>45291</v>
      </c>
      <c r="D6" s="360" t="str">
        <f>'Balanse - eiendeler'!E7</f>
        <v>DBH-referanse</v>
      </c>
    </row>
    <row r="7" spans="1:5" ht="15" x14ac:dyDescent="0.25">
      <c r="A7" s="208" t="s">
        <v>578</v>
      </c>
      <c r="B7" s="518">
        <v>0</v>
      </c>
      <c r="C7" s="518">
        <v>0</v>
      </c>
      <c r="D7" s="235" t="s">
        <v>583</v>
      </c>
    </row>
    <row r="8" spans="1:5" ht="15" x14ac:dyDescent="0.25">
      <c r="A8" s="208" t="s">
        <v>579</v>
      </c>
      <c r="B8" s="518">
        <v>0</v>
      </c>
      <c r="C8" s="518">
        <v>0</v>
      </c>
      <c r="D8" s="235" t="s">
        <v>583</v>
      </c>
    </row>
    <row r="9" spans="1:5" ht="15" x14ac:dyDescent="0.25">
      <c r="A9" s="208" t="s">
        <v>580</v>
      </c>
      <c r="B9" s="518">
        <v>0</v>
      </c>
      <c r="C9" s="518">
        <v>0</v>
      </c>
      <c r="D9" s="235" t="s">
        <v>583</v>
      </c>
    </row>
    <row r="10" spans="1:5" ht="15" x14ac:dyDescent="0.25">
      <c r="A10" s="208" t="s">
        <v>581</v>
      </c>
      <c r="B10" s="518">
        <v>0</v>
      </c>
      <c r="C10" s="518">
        <v>0</v>
      </c>
      <c r="D10" s="235" t="s">
        <v>585</v>
      </c>
    </row>
    <row r="11" spans="1:5" ht="15" x14ac:dyDescent="0.25">
      <c r="A11" s="209" t="s">
        <v>582</v>
      </c>
      <c r="B11" s="519">
        <f>SUBTOTAL(9,B7:B10)</f>
        <v>0</v>
      </c>
      <c r="C11" s="518">
        <f>SUBTOTAL(9,C7:C10)</f>
        <v>0</v>
      </c>
      <c r="D11" s="235" t="s">
        <v>584</v>
      </c>
    </row>
    <row r="13" spans="1:5" x14ac:dyDescent="0.2">
      <c r="A13" s="383" t="s">
        <v>619</v>
      </c>
      <c r="B13" s="383"/>
      <c r="C13" s="383"/>
      <c r="D13" s="383"/>
      <c r="E13" s="383"/>
    </row>
    <row r="14" spans="1:5" ht="15" x14ac:dyDescent="0.25">
      <c r="A14" s="345"/>
      <c r="B14" s="350"/>
      <c r="C14" s="350"/>
      <c r="D14" s="78"/>
    </row>
    <row r="15" spans="1:5" x14ac:dyDescent="0.2">
      <c r="A15" s="385"/>
    </row>
  </sheetData>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O51"/>
  <sheetViews>
    <sheetView workbookViewId="0">
      <selection activeCell="B41" sqref="B41"/>
    </sheetView>
  </sheetViews>
  <sheetFormatPr baseColWidth="10" defaultRowHeight="12.75" x14ac:dyDescent="0.2"/>
  <cols>
    <col min="1" max="1" width="42" customWidth="1"/>
    <col min="2" max="3" width="15.7109375" customWidth="1"/>
    <col min="4" max="4" width="15.5703125" customWidth="1"/>
    <col min="5" max="5" width="21.42578125" style="550" bestFit="1" customWidth="1"/>
  </cols>
  <sheetData>
    <row r="2" spans="1:8" x14ac:dyDescent="0.2">
      <c r="A2" s="356" t="str">
        <f>Resultatregnskap!A2</f>
        <v>Virksomhetens navn: Bergen Arkitekthøgskole</v>
      </c>
      <c r="B2" s="356"/>
      <c r="C2" s="445"/>
      <c r="D2" s="356"/>
      <c r="E2" s="549"/>
      <c r="F2" s="356"/>
      <c r="G2" s="356"/>
      <c r="H2" s="356"/>
    </row>
    <row r="4" spans="1:8" ht="14.25" x14ac:dyDescent="0.2">
      <c r="A4" s="357" t="s">
        <v>800</v>
      </c>
      <c r="B4" s="357"/>
      <c r="C4" s="357"/>
      <c r="D4" s="357"/>
      <c r="E4" s="357"/>
      <c r="F4" s="354"/>
      <c r="G4" s="356"/>
    </row>
    <row r="5" spans="1:8" x14ac:dyDescent="0.2">
      <c r="A5" s="203" t="s">
        <v>589</v>
      </c>
    </row>
    <row r="6" spans="1:8" x14ac:dyDescent="0.2">
      <c r="A6" s="203"/>
    </row>
    <row r="7" spans="1:8" ht="26.25" customHeight="1" x14ac:dyDescent="0.25">
      <c r="A7" s="447"/>
      <c r="B7" s="640" t="s">
        <v>747</v>
      </c>
      <c r="C7" s="640" t="s">
        <v>748</v>
      </c>
      <c r="D7" s="644" t="s">
        <v>843</v>
      </c>
      <c r="E7" s="650" t="s">
        <v>846</v>
      </c>
      <c r="F7" s="644" t="s">
        <v>466</v>
      </c>
    </row>
    <row r="8" spans="1:8" ht="18.95" customHeight="1" x14ac:dyDescent="0.25">
      <c r="A8" s="448"/>
      <c r="B8" s="643"/>
      <c r="C8" s="643"/>
      <c r="D8" s="645"/>
      <c r="E8" s="651"/>
      <c r="F8" s="646"/>
    </row>
    <row r="9" spans="1:8" ht="15" x14ac:dyDescent="0.25">
      <c r="A9" s="45" t="s">
        <v>28</v>
      </c>
      <c r="B9" s="182"/>
      <c r="C9" s="182"/>
      <c r="D9" s="183"/>
      <c r="E9" s="183"/>
      <c r="F9" s="410"/>
    </row>
    <row r="10" spans="1:8" ht="15" x14ac:dyDescent="0.25">
      <c r="A10" s="178" t="s">
        <v>29</v>
      </c>
      <c r="B10" s="520">
        <f>Resultatregnskap!C10</f>
        <v>21648</v>
      </c>
      <c r="C10" s="520">
        <v>0</v>
      </c>
      <c r="D10" s="202"/>
      <c r="E10" s="523">
        <f>SUM(B10:D10)</f>
        <v>21648</v>
      </c>
      <c r="F10" s="183" t="s">
        <v>694</v>
      </c>
    </row>
    <row r="11" spans="1:8" s="424" customFormat="1" ht="15" x14ac:dyDescent="0.25">
      <c r="A11" s="413" t="s">
        <v>687</v>
      </c>
      <c r="B11" s="520">
        <f>Resultatregnskap!C11</f>
        <v>326.48</v>
      </c>
      <c r="C11" s="521">
        <v>0</v>
      </c>
      <c r="D11" s="523">
        <v>0</v>
      </c>
      <c r="E11" s="523">
        <f>SUM(B11:D11)</f>
        <v>326.48</v>
      </c>
      <c r="F11" s="414" t="s">
        <v>695</v>
      </c>
    </row>
    <row r="12" spans="1:8" ht="15" x14ac:dyDescent="0.25">
      <c r="A12" s="178" t="s">
        <v>31</v>
      </c>
      <c r="B12" s="520">
        <f>Resultatregnskap!C12</f>
        <v>6954.91</v>
      </c>
      <c r="C12" s="520">
        <v>0</v>
      </c>
      <c r="D12" s="524">
        <v>0</v>
      </c>
      <c r="E12" s="523">
        <f t="shared" ref="E12:E13" si="0">SUM(B12:D12)</f>
        <v>6954.91</v>
      </c>
      <c r="F12" s="183" t="s">
        <v>696</v>
      </c>
    </row>
    <row r="13" spans="1:8" ht="15" x14ac:dyDescent="0.25">
      <c r="A13" s="50" t="s">
        <v>33</v>
      </c>
      <c r="B13" s="520">
        <f>Resultatregnskap!C13</f>
        <v>221.88225</v>
      </c>
      <c r="C13" s="520">
        <v>0</v>
      </c>
      <c r="D13" s="524">
        <v>0</v>
      </c>
      <c r="E13" s="523">
        <f t="shared" si="0"/>
        <v>221.88225</v>
      </c>
      <c r="F13" s="183" t="s">
        <v>697</v>
      </c>
    </row>
    <row r="14" spans="1:8" ht="15" x14ac:dyDescent="0.25">
      <c r="A14" s="54" t="s">
        <v>35</v>
      </c>
      <c r="B14" s="522">
        <f>SUM(B10:B13)</f>
        <v>29151.272249999998</v>
      </c>
      <c r="C14" s="509">
        <f>SUM(C10:C13)</f>
        <v>0</v>
      </c>
      <c r="D14" s="509">
        <f>SUM(D11:D13)</f>
        <v>0</v>
      </c>
      <c r="E14" s="509">
        <f>SUM(E10:E13)</f>
        <v>29151.272249999998</v>
      </c>
      <c r="F14" s="185" t="s">
        <v>698</v>
      </c>
    </row>
    <row r="15" spans="1:8" ht="15" x14ac:dyDescent="0.25">
      <c r="A15" s="371"/>
      <c r="B15" s="372"/>
      <c r="C15" s="372"/>
      <c r="D15" s="369"/>
      <c r="E15" s="369"/>
      <c r="F15" s="183"/>
    </row>
    <row r="16" spans="1:8" ht="15" x14ac:dyDescent="0.25">
      <c r="A16" s="179" t="s">
        <v>37</v>
      </c>
      <c r="B16" s="182"/>
      <c r="C16" s="182"/>
      <c r="D16" s="183"/>
      <c r="E16" s="183"/>
      <c r="F16" s="369"/>
    </row>
    <row r="17" spans="1:15" ht="15" x14ac:dyDescent="0.25">
      <c r="A17" s="49" t="s">
        <v>38</v>
      </c>
      <c r="B17" s="520">
        <f>Resultatregnskap!C17</f>
        <v>0</v>
      </c>
      <c r="C17" s="520">
        <v>0</v>
      </c>
      <c r="D17" s="524">
        <v>0</v>
      </c>
      <c r="E17" s="524">
        <f>SUM(B17:D17)</f>
        <v>0</v>
      </c>
      <c r="F17" s="183" t="s">
        <v>699</v>
      </c>
    </row>
    <row r="18" spans="1:15" ht="15" x14ac:dyDescent="0.25">
      <c r="A18" s="49" t="s">
        <v>344</v>
      </c>
      <c r="B18" s="520">
        <f>Resultatregnskap!C18</f>
        <v>18197.927809999997</v>
      </c>
      <c r="C18" s="520">
        <v>0</v>
      </c>
      <c r="D18" s="524">
        <v>0</v>
      </c>
      <c r="E18" s="524">
        <f t="shared" ref="E18:E21" si="1">SUM(B18:D18)</f>
        <v>18197.927809999997</v>
      </c>
      <c r="F18" s="183" t="s">
        <v>700</v>
      </c>
    </row>
    <row r="19" spans="1:15" ht="15" x14ac:dyDescent="0.25">
      <c r="A19" s="49" t="s">
        <v>41</v>
      </c>
      <c r="B19" s="520">
        <f>Resultatregnskap!C19</f>
        <v>262.65431000000001</v>
      </c>
      <c r="C19" s="520">
        <v>0</v>
      </c>
      <c r="D19" s="524">
        <v>0</v>
      </c>
      <c r="E19" s="524">
        <f t="shared" si="1"/>
        <v>262.65431000000001</v>
      </c>
      <c r="F19" s="183" t="s">
        <v>701</v>
      </c>
    </row>
    <row r="20" spans="1:15" ht="15" x14ac:dyDescent="0.25">
      <c r="A20" s="49" t="s">
        <v>43</v>
      </c>
      <c r="B20" s="520">
        <f>Resultatregnskap!C20</f>
        <v>0</v>
      </c>
      <c r="C20" s="520">
        <v>0</v>
      </c>
      <c r="D20" s="524">
        <v>0</v>
      </c>
      <c r="E20" s="524">
        <f t="shared" si="1"/>
        <v>0</v>
      </c>
      <c r="F20" s="183" t="s">
        <v>702</v>
      </c>
    </row>
    <row r="21" spans="1:15" ht="15" x14ac:dyDescent="0.25">
      <c r="A21" s="50" t="s">
        <v>45</v>
      </c>
      <c r="B21" s="520">
        <f>Resultatregnskap!C21</f>
        <v>9613.63688</v>
      </c>
      <c r="C21" s="520">
        <v>0</v>
      </c>
      <c r="D21" s="524">
        <v>0</v>
      </c>
      <c r="E21" s="524">
        <f t="shared" si="1"/>
        <v>9613.63688</v>
      </c>
      <c r="F21" s="183" t="s">
        <v>703</v>
      </c>
    </row>
    <row r="22" spans="1:15" ht="15" x14ac:dyDescent="0.25">
      <c r="A22" s="54" t="s">
        <v>47</v>
      </c>
      <c r="B22" s="522">
        <f>SUM(B17:B21)</f>
        <v>28074.218999999997</v>
      </c>
      <c r="C22" s="522">
        <f>SUM(C17:C21)</f>
        <v>0</v>
      </c>
      <c r="D22" s="509">
        <f>SUM(D17:D21)</f>
        <v>0</v>
      </c>
      <c r="E22" s="509">
        <f>SUM(E17:E21)</f>
        <v>28074.218999999997</v>
      </c>
      <c r="F22" s="185" t="s">
        <v>704</v>
      </c>
    </row>
    <row r="23" spans="1:15" ht="15" x14ac:dyDescent="0.25">
      <c r="A23" s="48"/>
      <c r="B23" s="182"/>
      <c r="C23" s="182"/>
      <c r="D23" s="183"/>
      <c r="E23" s="183"/>
      <c r="F23" s="183"/>
    </row>
    <row r="24" spans="1:15" ht="15" x14ac:dyDescent="0.25">
      <c r="A24" s="54" t="s">
        <v>49</v>
      </c>
      <c r="B24" s="525">
        <f>B14-B22</f>
        <v>1077.0532500000008</v>
      </c>
      <c r="C24" s="525">
        <f>C14-C22</f>
        <v>0</v>
      </c>
      <c r="D24" s="526">
        <f>D14-D22</f>
        <v>0</v>
      </c>
      <c r="E24" s="526">
        <f>SUM(B24:D24)</f>
        <v>1077.0532500000008</v>
      </c>
      <c r="F24" s="184" t="s">
        <v>705</v>
      </c>
    </row>
    <row r="25" spans="1:15" ht="15" x14ac:dyDescent="0.25">
      <c r="A25" s="48"/>
      <c r="B25" s="182"/>
      <c r="C25" s="182"/>
      <c r="D25" s="183"/>
      <c r="E25" s="183"/>
      <c r="F25" s="183"/>
    </row>
    <row r="26" spans="1:15" ht="15" x14ac:dyDescent="0.25">
      <c r="A26" s="45" t="s">
        <v>51</v>
      </c>
      <c r="B26" s="568"/>
      <c r="C26" s="568"/>
      <c r="D26" s="414"/>
      <c r="E26" s="414"/>
      <c r="F26" s="414"/>
      <c r="I26" s="567"/>
      <c r="J26" s="434"/>
      <c r="K26" s="434"/>
      <c r="L26" s="434"/>
      <c r="M26" s="558"/>
      <c r="N26" s="434"/>
      <c r="O26" s="434"/>
    </row>
    <row r="27" spans="1:15" s="559" customFormat="1" ht="15" x14ac:dyDescent="0.25">
      <c r="A27" s="49" t="s">
        <v>861</v>
      </c>
      <c r="B27" s="521">
        <f>Resultatregnskap!C27</f>
        <v>75.094999999999999</v>
      </c>
      <c r="C27" s="568">
        <v>0</v>
      </c>
      <c r="D27" s="414">
        <v>0</v>
      </c>
      <c r="E27" s="523">
        <f>SUM(B27:D27)</f>
        <v>75.094999999999999</v>
      </c>
      <c r="F27" s="414" t="s">
        <v>880</v>
      </c>
      <c r="I27" s="567"/>
      <c r="J27" s="434"/>
      <c r="K27" s="434"/>
      <c r="L27" s="434"/>
      <c r="M27" s="558"/>
      <c r="N27" s="434"/>
      <c r="O27" s="434"/>
    </row>
    <row r="28" spans="1:15" ht="15" x14ac:dyDescent="0.25">
      <c r="A28" s="49" t="s">
        <v>52</v>
      </c>
      <c r="B28" s="521">
        <f>Resultatregnskap!C28</f>
        <v>705.33199999999999</v>
      </c>
      <c r="C28" s="521">
        <v>0</v>
      </c>
      <c r="D28" s="523">
        <v>0</v>
      </c>
      <c r="E28" s="523">
        <f>SUM(B28:D28)</f>
        <v>705.33199999999999</v>
      </c>
      <c r="F28" s="414" t="s">
        <v>706</v>
      </c>
      <c r="I28" s="138"/>
      <c r="J28" s="434"/>
      <c r="K28" s="434"/>
      <c r="L28" s="434"/>
      <c r="M28" s="558"/>
      <c r="N28" s="434"/>
      <c r="O28" s="434"/>
    </row>
    <row r="29" spans="1:15" s="559" customFormat="1" ht="15" x14ac:dyDescent="0.25">
      <c r="A29" s="49" t="s">
        <v>879</v>
      </c>
      <c r="B29" s="521">
        <f>Resultatregnskap!C29</f>
        <v>0</v>
      </c>
      <c r="C29" s="521">
        <v>0</v>
      </c>
      <c r="D29" s="523">
        <v>0</v>
      </c>
      <c r="E29" s="523">
        <f>SUM(B29:D29)</f>
        <v>0</v>
      </c>
      <c r="F29" s="414" t="s">
        <v>881</v>
      </c>
      <c r="I29" s="138"/>
      <c r="J29" s="434"/>
      <c r="K29" s="434"/>
      <c r="L29" s="434"/>
      <c r="M29" s="558"/>
      <c r="N29" s="434"/>
      <c r="O29" s="434"/>
    </row>
    <row r="30" spans="1:15" ht="15" x14ac:dyDescent="0.25">
      <c r="A30" s="50" t="s">
        <v>54</v>
      </c>
      <c r="B30" s="521">
        <f>Resultatregnskap!C30</f>
        <v>2.8660000000000001</v>
      </c>
      <c r="C30" s="521">
        <v>0</v>
      </c>
      <c r="D30" s="523">
        <v>0</v>
      </c>
      <c r="E30" s="523">
        <f>SUM(B30:D30)</f>
        <v>2.8660000000000001</v>
      </c>
      <c r="F30" s="414" t="s">
        <v>707</v>
      </c>
      <c r="I30" s="138"/>
      <c r="J30" s="434"/>
      <c r="K30" s="434"/>
      <c r="L30" s="434"/>
      <c r="M30" s="558"/>
      <c r="N30" s="434"/>
      <c r="O30" s="434"/>
    </row>
    <row r="31" spans="1:15" ht="15" x14ac:dyDescent="0.25">
      <c r="A31" s="51" t="s">
        <v>56</v>
      </c>
      <c r="B31" s="569">
        <f>B27+B28-B29-B30</f>
        <v>777.56100000000004</v>
      </c>
      <c r="C31" s="569">
        <f t="shared" ref="C31:D31" si="2">C27+C28-C29-C30</f>
        <v>0</v>
      </c>
      <c r="D31" s="569">
        <f t="shared" si="2"/>
        <v>0</v>
      </c>
      <c r="E31" s="570">
        <f>SUM(B31:D31)</f>
        <v>777.56100000000004</v>
      </c>
      <c r="F31" s="571" t="s">
        <v>708</v>
      </c>
      <c r="I31" s="138"/>
      <c r="J31" s="434"/>
      <c r="K31" s="434"/>
      <c r="L31" s="434"/>
      <c r="M31" s="434"/>
      <c r="N31" s="434"/>
      <c r="O31" s="434"/>
    </row>
    <row r="32" spans="1:15" ht="15" x14ac:dyDescent="0.25">
      <c r="A32" s="180"/>
      <c r="B32" s="182"/>
      <c r="C32" s="182"/>
      <c r="D32" s="183"/>
      <c r="E32" s="183"/>
      <c r="F32" s="183"/>
      <c r="I32" s="138"/>
      <c r="J32" s="434"/>
      <c r="K32" s="434"/>
      <c r="L32" s="434"/>
      <c r="M32" s="434"/>
      <c r="N32" s="434"/>
      <c r="O32" s="434"/>
    </row>
    <row r="33" spans="1:15" ht="15" x14ac:dyDescent="0.25">
      <c r="A33" s="51" t="s">
        <v>58</v>
      </c>
      <c r="B33" s="522">
        <f>B24+B31</f>
        <v>1854.614250000001</v>
      </c>
      <c r="C33" s="522">
        <f>C24+C31</f>
        <v>0</v>
      </c>
      <c r="D33" s="509">
        <f>D24+D31</f>
        <v>0</v>
      </c>
      <c r="E33" s="509">
        <f>SUM(B33:D33)</f>
        <v>1854.614250000001</v>
      </c>
      <c r="F33" s="185" t="s">
        <v>709</v>
      </c>
      <c r="I33" s="434"/>
      <c r="J33" s="434"/>
      <c r="K33" s="434"/>
      <c r="L33" s="434"/>
      <c r="M33" s="434"/>
      <c r="N33" s="434"/>
      <c r="O33" s="434"/>
    </row>
    <row r="34" spans="1:15" ht="15" x14ac:dyDescent="0.25">
      <c r="A34" s="48"/>
      <c r="B34" s="182"/>
      <c r="C34" s="182"/>
      <c r="D34" s="183"/>
      <c r="E34" s="183"/>
      <c r="F34" s="183"/>
    </row>
    <row r="35" spans="1:15" ht="15" x14ac:dyDescent="0.25">
      <c r="A35" s="49" t="s">
        <v>60</v>
      </c>
      <c r="B35" s="520">
        <v>0</v>
      </c>
      <c r="C35" s="520">
        <v>0</v>
      </c>
      <c r="D35" s="524">
        <v>0</v>
      </c>
      <c r="E35" s="524">
        <f>SUM(B35:D35)</f>
        <v>0</v>
      </c>
      <c r="F35" s="183" t="s">
        <v>710</v>
      </c>
    </row>
    <row r="36" spans="1:15" ht="15" x14ac:dyDescent="0.25">
      <c r="A36" s="181"/>
      <c r="B36" s="182"/>
      <c r="C36" s="182"/>
      <c r="D36" s="183"/>
      <c r="E36" s="183"/>
      <c r="F36" s="183"/>
    </row>
    <row r="37" spans="1:15" ht="15" x14ac:dyDescent="0.25">
      <c r="A37" s="51" t="s">
        <v>62</v>
      </c>
      <c r="B37" s="522">
        <f>B33-B35</f>
        <v>1854.614250000001</v>
      </c>
      <c r="C37" s="522">
        <f>C33-C35</f>
        <v>0</v>
      </c>
      <c r="D37" s="509">
        <f>D33-D35</f>
        <v>0</v>
      </c>
      <c r="E37" s="509">
        <f>SUM(B37:D37)</f>
        <v>1854.614250000001</v>
      </c>
      <c r="F37" s="185" t="s">
        <v>711</v>
      </c>
    </row>
    <row r="38" spans="1:15" ht="15" x14ac:dyDescent="0.25">
      <c r="A38" s="48"/>
      <c r="B38" s="182"/>
      <c r="C38" s="182"/>
      <c r="D38" s="183"/>
      <c r="E38" s="183"/>
      <c r="F38" s="183"/>
    </row>
    <row r="39" spans="1:15" ht="15" x14ac:dyDescent="0.25">
      <c r="A39" s="45" t="s">
        <v>64</v>
      </c>
      <c r="B39" s="182"/>
      <c r="C39" s="182"/>
      <c r="D39" s="183"/>
      <c r="E39" s="183"/>
      <c r="F39" s="183"/>
    </row>
    <row r="40" spans="1:15" ht="15" x14ac:dyDescent="0.25">
      <c r="A40" s="49" t="s">
        <v>762</v>
      </c>
      <c r="B40" s="520">
        <f>B37</f>
        <v>1854.614250000001</v>
      </c>
      <c r="C40" s="520">
        <v>0</v>
      </c>
      <c r="D40" s="524">
        <v>0</v>
      </c>
      <c r="E40" s="524">
        <f>SUM(B40:D40)</f>
        <v>1854.614250000001</v>
      </c>
      <c r="F40" s="183" t="s">
        <v>712</v>
      </c>
    </row>
    <row r="41" spans="1:15" ht="15" x14ac:dyDescent="0.25">
      <c r="A41" s="49" t="s">
        <v>66</v>
      </c>
      <c r="B41" s="520">
        <v>0</v>
      </c>
      <c r="C41" s="520">
        <v>0</v>
      </c>
      <c r="D41" s="524">
        <v>0</v>
      </c>
      <c r="E41" s="524">
        <f>SUM(B41:D41)</f>
        <v>0</v>
      </c>
      <c r="F41" s="183" t="s">
        <v>713</v>
      </c>
    </row>
    <row r="42" spans="1:15" ht="15" x14ac:dyDescent="0.25">
      <c r="A42" s="50" t="s">
        <v>68</v>
      </c>
      <c r="B42" s="520">
        <v>0</v>
      </c>
      <c r="C42" s="520">
        <v>0</v>
      </c>
      <c r="D42" s="524">
        <v>0</v>
      </c>
      <c r="E42" s="524">
        <f>SUM(B42:D42)</f>
        <v>0</v>
      </c>
      <c r="F42" s="183" t="s">
        <v>714</v>
      </c>
    </row>
    <row r="43" spans="1:15" ht="15" x14ac:dyDescent="0.25">
      <c r="A43" s="54" t="s">
        <v>70</v>
      </c>
      <c r="B43" s="522">
        <f>SUM(B40:B42)</f>
        <v>1854.614250000001</v>
      </c>
      <c r="C43" s="522">
        <f>SUM(C40:C42)</f>
        <v>0</v>
      </c>
      <c r="D43" s="509">
        <f>SUM(D40:D42)</f>
        <v>0</v>
      </c>
      <c r="E43" s="509">
        <f>SUM(E40:E42)</f>
        <v>1854.614250000001</v>
      </c>
      <c r="F43" s="185" t="s">
        <v>715</v>
      </c>
    </row>
    <row r="45" spans="1:15" ht="48" customHeight="1" x14ac:dyDescent="0.25">
      <c r="A45" s="548" t="s">
        <v>844</v>
      </c>
      <c r="B45" s="647"/>
      <c r="C45" s="648"/>
      <c r="D45" s="648"/>
      <c r="E45" s="648"/>
      <c r="F45" s="649"/>
    </row>
    <row r="46" spans="1:15" s="531" customFormat="1" x14ac:dyDescent="0.2">
      <c r="E46" s="550"/>
    </row>
    <row r="47" spans="1:15" x14ac:dyDescent="0.2">
      <c r="A47" s="642" t="s">
        <v>859</v>
      </c>
      <c r="B47" s="642"/>
      <c r="C47" s="642"/>
      <c r="D47" s="642"/>
      <c r="E47" s="642"/>
      <c r="F47" s="642"/>
      <c r="G47" s="424"/>
      <c r="H47" s="424"/>
      <c r="I47" s="424"/>
      <c r="J47" s="424"/>
      <c r="K47" s="424"/>
      <c r="L47" s="424"/>
      <c r="M47" s="424"/>
      <c r="N47" s="424"/>
    </row>
    <row r="48" spans="1:15" x14ac:dyDescent="0.2">
      <c r="A48" s="424"/>
      <c r="B48" s="424"/>
      <c r="C48" s="424"/>
      <c r="D48" s="424"/>
      <c r="E48" s="424"/>
      <c r="F48" s="424"/>
      <c r="G48" s="642"/>
      <c r="H48" s="642"/>
      <c r="I48" s="642"/>
      <c r="J48" s="642"/>
      <c r="K48" s="642"/>
      <c r="L48" s="642"/>
      <c r="M48" s="424"/>
      <c r="N48" s="424"/>
    </row>
    <row r="49" spans="1:14" x14ac:dyDescent="0.2">
      <c r="A49" s="642" t="s">
        <v>752</v>
      </c>
      <c r="B49" s="642"/>
      <c r="C49" s="642"/>
      <c r="D49" s="642"/>
      <c r="E49" s="642"/>
      <c r="F49" s="642"/>
      <c r="G49" s="554"/>
      <c r="H49" s="424"/>
      <c r="I49" s="424"/>
      <c r="J49" s="424"/>
      <c r="K49" s="424"/>
      <c r="L49" s="424"/>
      <c r="M49" s="424"/>
      <c r="N49" s="424"/>
    </row>
    <row r="50" spans="1:14" x14ac:dyDescent="0.2">
      <c r="G50" s="424"/>
      <c r="H50" s="424"/>
      <c r="I50" s="424"/>
    </row>
    <row r="51" spans="1:14" x14ac:dyDescent="0.2">
      <c r="A51" t="s">
        <v>801</v>
      </c>
    </row>
  </sheetData>
  <mergeCells count="9">
    <mergeCell ref="G48:L48"/>
    <mergeCell ref="A49:F49"/>
    <mergeCell ref="B7:B8"/>
    <mergeCell ref="C7:C8"/>
    <mergeCell ref="D7:D8"/>
    <mergeCell ref="F7:F8"/>
    <mergeCell ref="A47:F47"/>
    <mergeCell ref="B45:F45"/>
    <mergeCell ref="E7:E8"/>
  </mergeCells>
  <pageMargins left="0.7" right="0.7" top="0.75" bottom="0.75" header="0.3" footer="0.3"/>
  <pageSetup paperSize="9" scale="46" fitToHeight="0"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I45"/>
  <sheetViews>
    <sheetView topLeftCell="A6" zoomScale="84" zoomScaleNormal="84" workbookViewId="0">
      <selection activeCell="F11" sqref="F11"/>
    </sheetView>
  </sheetViews>
  <sheetFormatPr baseColWidth="10" defaultColWidth="17.28515625" defaultRowHeight="15.75" customHeight="1" x14ac:dyDescent="0.25"/>
  <cols>
    <col min="1" max="1" width="69.140625" style="345" customWidth="1"/>
    <col min="2" max="3" width="14.7109375" style="350" customWidth="1"/>
    <col min="4" max="4" width="13.7109375" style="169" customWidth="1"/>
    <col min="5" max="5" width="11.42578125" style="345" customWidth="1"/>
    <col min="6" max="6" width="49.5703125" style="345" customWidth="1"/>
    <col min="7" max="16384" width="17.28515625" style="345"/>
  </cols>
  <sheetData>
    <row r="2" spans="1:9" ht="15.75" customHeight="1" x14ac:dyDescent="0.25">
      <c r="A2" s="358" t="str">
        <f>Resultatregnskap!A2</f>
        <v>Virksomhetens navn: Bergen Arkitekthøgskole</v>
      </c>
      <c r="B2" s="358"/>
      <c r="C2" s="358"/>
      <c r="D2" s="358"/>
    </row>
    <row r="4" spans="1:9" ht="14.25" customHeight="1" x14ac:dyDescent="0.25">
      <c r="A4" s="60" t="s">
        <v>557</v>
      </c>
      <c r="B4" s="115"/>
      <c r="C4" s="115"/>
      <c r="D4" s="115"/>
      <c r="E4" s="1"/>
      <c r="F4" s="1"/>
    </row>
    <row r="5" spans="1:9" ht="15" customHeight="1" x14ac:dyDescent="0.25">
      <c r="A5" s="1"/>
      <c r="B5" s="348"/>
      <c r="C5" s="348"/>
      <c r="D5" s="10"/>
      <c r="E5" s="1"/>
      <c r="F5" s="1"/>
    </row>
    <row r="6" spans="1:9" ht="15" customHeight="1" x14ac:dyDescent="0.25">
      <c r="A6" s="340" t="s">
        <v>339</v>
      </c>
      <c r="B6" s="75"/>
      <c r="C6" s="75"/>
      <c r="D6" s="10"/>
      <c r="E6" s="1"/>
      <c r="F6" s="1"/>
    </row>
    <row r="7" spans="1:9" ht="15" customHeight="1" x14ac:dyDescent="0.25">
      <c r="A7" s="340" t="s">
        <v>340</v>
      </c>
      <c r="B7" s="75"/>
      <c r="C7" s="75"/>
      <c r="D7" s="10"/>
      <c r="E7" s="1"/>
      <c r="F7" s="1"/>
    </row>
    <row r="8" spans="1:9" ht="15" customHeight="1" x14ac:dyDescent="0.25">
      <c r="A8" s="340" t="s">
        <v>341</v>
      </c>
      <c r="B8" s="75"/>
      <c r="C8" s="75"/>
      <c r="D8" s="10"/>
      <c r="E8" s="1"/>
      <c r="F8" s="1"/>
    </row>
    <row r="9" spans="1:9" ht="15" x14ac:dyDescent="0.25">
      <c r="A9" s="133"/>
      <c r="B9" s="339"/>
      <c r="C9" s="339"/>
      <c r="D9" s="210"/>
      <c r="E9" s="1"/>
      <c r="F9" s="1"/>
    </row>
    <row r="10" spans="1:9" ht="22.5" customHeight="1" x14ac:dyDescent="0.25">
      <c r="A10" s="131" t="s">
        <v>342</v>
      </c>
      <c r="B10" s="292">
        <f>Resultatregnskap!C8</f>
        <v>45657</v>
      </c>
      <c r="C10" s="236">
        <f>+Resultatregnskap!D8</f>
        <v>45291</v>
      </c>
      <c r="D10" s="234" t="s">
        <v>466</v>
      </c>
      <c r="E10" s="1"/>
      <c r="F10" s="1"/>
    </row>
    <row r="11" spans="1:9" ht="15" customHeight="1" x14ac:dyDescent="0.25">
      <c r="A11" s="38" t="s">
        <v>35</v>
      </c>
      <c r="B11" s="79">
        <f>Resultatregnskap!C14</f>
        <v>29151.272249999998</v>
      </c>
      <c r="C11" s="204">
        <f>Resultatregnskap!D14</f>
        <v>30041.33251</v>
      </c>
      <c r="D11" s="234" t="s">
        <v>559</v>
      </c>
      <c r="E11" s="1"/>
      <c r="F11" s="1"/>
      <c r="G11" s="1"/>
      <c r="H11" s="1"/>
      <c r="I11" s="1"/>
    </row>
    <row r="12" spans="1:9" ht="15" customHeight="1" x14ac:dyDescent="0.25">
      <c r="A12" s="207" t="s">
        <v>556</v>
      </c>
      <c r="B12" s="79">
        <f>'Note 1'!B8</f>
        <v>21648</v>
      </c>
      <c r="C12" s="79">
        <f>'Note 1'!C8</f>
        <v>23200</v>
      </c>
      <c r="D12" s="234" t="s">
        <v>560</v>
      </c>
      <c r="E12" s="1"/>
      <c r="F12" s="1"/>
      <c r="G12" s="1"/>
      <c r="H12" s="1"/>
      <c r="I12" s="1"/>
    </row>
    <row r="13" spans="1:9" ht="15" customHeight="1" x14ac:dyDescent="0.25">
      <c r="A13" s="574" t="s">
        <v>882</v>
      </c>
      <c r="B13" s="337">
        <f>'Note 1'!B75+'Note 1'!B76</f>
        <v>6895.723</v>
      </c>
      <c r="C13" s="337">
        <f>'Note 1'!C75+'Note 1'!C76</f>
        <v>6001.7520000000004</v>
      </c>
      <c r="D13" s="370" t="s">
        <v>561</v>
      </c>
      <c r="E13" s="1"/>
      <c r="F13" s="1"/>
      <c r="G13" s="40"/>
      <c r="H13" s="1"/>
      <c r="I13" s="1"/>
    </row>
    <row r="14" spans="1:9" ht="15" customHeight="1" x14ac:dyDescent="0.25">
      <c r="A14" s="207" t="s">
        <v>343</v>
      </c>
      <c r="B14" s="80">
        <f>'Note 1'!B59+'Note 1'!B73</f>
        <v>326.41099999999994</v>
      </c>
      <c r="C14" s="80">
        <f>'Note 1'!C59+'Note 1'!C73</f>
        <v>657.02199999999993</v>
      </c>
      <c r="D14" s="234" t="s">
        <v>562</v>
      </c>
      <c r="E14" s="1"/>
      <c r="F14" s="1"/>
      <c r="G14" s="1"/>
      <c r="H14" s="1"/>
      <c r="I14" s="1"/>
    </row>
    <row r="15" spans="1:9" ht="15" customHeight="1" x14ac:dyDescent="0.25">
      <c r="A15" s="207" t="s">
        <v>692</v>
      </c>
      <c r="B15" s="79">
        <f>B11-B12-B13-B14</f>
        <v>281.13824999999827</v>
      </c>
      <c r="C15" s="79">
        <f>C11-C12-C13-C14</f>
        <v>182.55850999999984</v>
      </c>
      <c r="D15" s="234" t="s">
        <v>693</v>
      </c>
      <c r="E15" s="1"/>
      <c r="F15" s="1"/>
      <c r="G15" s="1"/>
      <c r="H15" s="1"/>
      <c r="I15" s="1"/>
    </row>
    <row r="16" spans="1:9" ht="15" customHeight="1" x14ac:dyDescent="0.25">
      <c r="A16" s="38" t="s">
        <v>344</v>
      </c>
      <c r="B16" s="79">
        <f>Resultatregnskap!C18</f>
        <v>18197.927809999997</v>
      </c>
      <c r="C16" s="204">
        <f>Resultatregnskap!D18</f>
        <v>18194.97</v>
      </c>
      <c r="D16" s="234" t="s">
        <v>563</v>
      </c>
      <c r="E16" s="1"/>
      <c r="F16" s="1"/>
      <c r="G16" s="1"/>
      <c r="H16" s="1"/>
      <c r="I16" s="1"/>
    </row>
    <row r="17" spans="1:9" ht="15" customHeight="1" x14ac:dyDescent="0.25">
      <c r="A17" s="38" t="s">
        <v>845</v>
      </c>
      <c r="B17" s="79">
        <f>Resultatregnskap!C22-Resultatregnskap!C18</f>
        <v>9876.2911899999999</v>
      </c>
      <c r="C17" s="204">
        <f>Resultatregnskap!D22-Resultatregnskap!D18</f>
        <v>12204.011999999999</v>
      </c>
      <c r="D17" s="234" t="s">
        <v>564</v>
      </c>
      <c r="E17" s="1"/>
      <c r="F17" s="1"/>
      <c r="G17" s="1"/>
      <c r="H17" s="1"/>
      <c r="I17" s="1"/>
    </row>
    <row r="18" spans="1:9" ht="15" customHeight="1" x14ac:dyDescent="0.25">
      <c r="A18" s="38" t="s">
        <v>47</v>
      </c>
      <c r="B18" s="79">
        <f>Resultatregnskap!C22</f>
        <v>28074.218999999997</v>
      </c>
      <c r="C18" s="204">
        <f>Resultatregnskap!D22</f>
        <v>30398.982</v>
      </c>
      <c r="D18" s="234" t="s">
        <v>565</v>
      </c>
      <c r="E18" s="1"/>
      <c r="F18" s="1"/>
      <c r="G18" s="1"/>
      <c r="H18" s="1"/>
      <c r="I18" s="1"/>
    </row>
    <row r="19" spans="1:9" ht="15" customHeight="1" x14ac:dyDescent="0.25">
      <c r="A19" s="38" t="s">
        <v>49</v>
      </c>
      <c r="B19" s="79">
        <f>Resultatregnskap!C24</f>
        <v>1077.0532500000008</v>
      </c>
      <c r="C19" s="204">
        <f>Resultatregnskap!D24</f>
        <v>-357.64948999999979</v>
      </c>
      <c r="D19" s="234" t="s">
        <v>566</v>
      </c>
      <c r="E19" s="1"/>
      <c r="F19" s="1"/>
      <c r="G19" s="1"/>
      <c r="H19" s="1"/>
      <c r="I19" s="1"/>
    </row>
    <row r="20" spans="1:9" ht="15" customHeight="1" x14ac:dyDescent="0.25">
      <c r="A20" s="38" t="s">
        <v>62</v>
      </c>
      <c r="B20" s="79">
        <f>Resultatregnskap!C37</f>
        <v>1854.614250000001</v>
      </c>
      <c r="C20" s="204">
        <f>Resultatregnskap!D37</f>
        <v>82.07051000000024</v>
      </c>
      <c r="D20" s="234" t="s">
        <v>567</v>
      </c>
      <c r="E20" s="1"/>
      <c r="F20" s="1"/>
      <c r="G20" s="1"/>
      <c r="H20" s="1"/>
      <c r="I20" s="1"/>
    </row>
    <row r="21" spans="1:9" ht="15" customHeight="1" x14ac:dyDescent="0.25">
      <c r="A21" s="19"/>
      <c r="B21" s="81"/>
      <c r="C21" s="205"/>
      <c r="D21" s="234"/>
      <c r="E21" s="1"/>
      <c r="F21" s="1"/>
      <c r="G21" s="1"/>
      <c r="H21" s="1"/>
      <c r="I21" s="1"/>
    </row>
    <row r="22" spans="1:9" ht="15" customHeight="1" x14ac:dyDescent="0.25">
      <c r="A22" s="36" t="s">
        <v>345</v>
      </c>
      <c r="B22" s="81"/>
      <c r="C22" s="205"/>
      <c r="D22" s="234"/>
      <c r="E22" s="1"/>
      <c r="F22" s="1"/>
      <c r="G22" s="1"/>
      <c r="H22" s="1"/>
      <c r="I22" s="1"/>
    </row>
    <row r="23" spans="1:9" ht="15" customHeight="1" x14ac:dyDescent="0.25">
      <c r="A23" s="38" t="s">
        <v>346</v>
      </c>
      <c r="B23" s="79">
        <f>('Balanse - eiendeler'!C14+'Balanse - eiendeler'!C21)+'Balanse - eiendeler'!C32</f>
        <v>6105.1509999999998</v>
      </c>
      <c r="C23" s="204">
        <f>('Balanse - eiendeler'!D14+'Balanse - eiendeler'!D21)+'Balanse - eiendeler'!D32</f>
        <v>6216.0029999999997</v>
      </c>
      <c r="D23" s="234" t="s">
        <v>568</v>
      </c>
      <c r="E23" s="1"/>
      <c r="F23" s="1"/>
      <c r="G23" s="1"/>
      <c r="H23" s="1"/>
      <c r="I23" s="1"/>
    </row>
    <row r="24" spans="1:9" ht="15" customHeight="1" x14ac:dyDescent="0.25">
      <c r="A24" s="38" t="s">
        <v>347</v>
      </c>
      <c r="B24" s="79">
        <f>(('Balanse - eiendeler'!C38+'Balanse - eiendeler'!C44)+'Balanse - eiendeler'!C52)+'Balanse - eiendeler'!C57</f>
        <v>16356.27039</v>
      </c>
      <c r="C24" s="204">
        <f>(('Balanse - eiendeler'!D38+'Balanse - eiendeler'!D44)+'Balanse - eiendeler'!D52)+'Balanse - eiendeler'!D57</f>
        <v>13444.467000000001</v>
      </c>
      <c r="D24" s="234" t="s">
        <v>569</v>
      </c>
      <c r="E24" s="1"/>
      <c r="F24" s="1"/>
      <c r="G24" s="1"/>
      <c r="H24" s="1"/>
      <c r="I24" s="1"/>
    </row>
    <row r="25" spans="1:9" ht="15" customHeight="1" x14ac:dyDescent="0.25">
      <c r="A25" s="38" t="s">
        <v>348</v>
      </c>
      <c r="B25" s="79">
        <f>'Balanse - eiendeler'!C59</f>
        <v>22461.42139</v>
      </c>
      <c r="C25" s="204">
        <f>'Balanse - eiendeler'!D59</f>
        <v>19660.47</v>
      </c>
      <c r="D25" s="234" t="s">
        <v>570</v>
      </c>
      <c r="E25" s="1"/>
      <c r="F25" s="1"/>
      <c r="G25" s="1"/>
      <c r="H25" s="1"/>
      <c r="I25" s="1"/>
    </row>
    <row r="26" spans="1:9" ht="15" customHeight="1" x14ac:dyDescent="0.25">
      <c r="A26" s="38" t="s">
        <v>349</v>
      </c>
      <c r="B26" s="79">
        <f>'Balanse - gjeld og egenkapital'!C22</f>
        <v>16861.2</v>
      </c>
      <c r="C26" s="204">
        <f>'Balanse - gjeld og egenkapital'!D22</f>
        <v>15006.585999999999</v>
      </c>
      <c r="D26" s="234" t="s">
        <v>571</v>
      </c>
      <c r="E26" s="1"/>
      <c r="F26" s="1"/>
      <c r="G26" s="1"/>
      <c r="H26" s="1"/>
      <c r="I26" s="1"/>
    </row>
    <row r="27" spans="1:9" ht="15" customHeight="1" x14ac:dyDescent="0.25">
      <c r="A27" s="38" t="s">
        <v>558</v>
      </c>
      <c r="B27" s="79">
        <f>'Balanse - gjeld og egenkapital'!C39+'Balanse - gjeld og egenkapital'!C32</f>
        <v>0</v>
      </c>
      <c r="C27" s="204">
        <f>'Balanse - gjeld og egenkapital'!D39+'Balanse - gjeld og egenkapital'!D32</f>
        <v>0</v>
      </c>
      <c r="D27" s="234" t="s">
        <v>572</v>
      </c>
      <c r="E27" s="1"/>
      <c r="F27" s="1"/>
      <c r="G27" s="1"/>
      <c r="H27" s="1"/>
      <c r="I27" s="1"/>
    </row>
    <row r="28" spans="1:9" ht="15" customHeight="1" x14ac:dyDescent="0.25">
      <c r="A28" s="38" t="s">
        <v>350</v>
      </c>
      <c r="B28" s="79">
        <f>'Balanse - gjeld og egenkapital'!C48</f>
        <v>5600.22271</v>
      </c>
      <c r="C28" s="204">
        <f>'Balanse - gjeld og egenkapital'!D48</f>
        <v>4653.884</v>
      </c>
      <c r="D28" s="234" t="s">
        <v>573</v>
      </c>
      <c r="E28" s="1"/>
      <c r="F28" s="1"/>
      <c r="G28" s="1"/>
      <c r="H28" s="1"/>
      <c r="I28" s="1"/>
    </row>
    <row r="29" spans="1:9" ht="15" customHeight="1" x14ac:dyDescent="0.25">
      <c r="A29" s="38" t="s">
        <v>351</v>
      </c>
      <c r="B29" s="79">
        <f>'Balanse - gjeld og egenkapital'!C52</f>
        <v>22461.422710000003</v>
      </c>
      <c r="C29" s="204">
        <f>'Balanse - gjeld og egenkapital'!D52</f>
        <v>19660.47</v>
      </c>
      <c r="D29" s="234" t="s">
        <v>574</v>
      </c>
      <c r="E29" s="1"/>
      <c r="F29" s="1"/>
      <c r="G29" s="1"/>
      <c r="H29" s="1"/>
      <c r="I29" s="1"/>
    </row>
    <row r="30" spans="1:9" ht="15" customHeight="1" x14ac:dyDescent="0.25">
      <c r="A30" s="82"/>
      <c r="B30" s="116"/>
      <c r="C30" s="116"/>
      <c r="D30" s="237"/>
      <c r="E30" s="1"/>
      <c r="F30" s="1"/>
      <c r="G30" s="1"/>
      <c r="H30" s="1"/>
      <c r="I30" s="1"/>
    </row>
    <row r="31" spans="1:9" ht="15" customHeight="1" x14ac:dyDescent="0.25">
      <c r="A31" s="83"/>
      <c r="B31" s="117"/>
      <c r="C31" s="348"/>
      <c r="D31" s="238"/>
      <c r="E31" s="1"/>
      <c r="F31" s="1"/>
      <c r="G31" s="1"/>
      <c r="H31" s="1"/>
      <c r="I31" s="1"/>
    </row>
    <row r="32" spans="1:9" ht="15" customHeight="1" x14ac:dyDescent="0.25">
      <c r="A32" s="84" t="s">
        <v>352</v>
      </c>
      <c r="B32" s="106"/>
      <c r="C32" s="206"/>
      <c r="D32" s="234"/>
      <c r="E32" s="1"/>
      <c r="F32" s="456"/>
      <c r="G32" s="1"/>
      <c r="H32" s="1"/>
      <c r="I32" s="1"/>
    </row>
    <row r="33" spans="1:9" ht="15" customHeight="1" x14ac:dyDescent="0.25">
      <c r="A33" s="85" t="s">
        <v>353</v>
      </c>
      <c r="B33" s="407">
        <f>B16/B18</f>
        <v>0.64820780268188405</v>
      </c>
      <c r="C33" s="408">
        <f>C16/C18</f>
        <v>0.59853879317406089</v>
      </c>
      <c r="D33" s="234" t="s">
        <v>575</v>
      </c>
      <c r="E33" s="1"/>
      <c r="F33" s="1"/>
      <c r="G33" s="1"/>
      <c r="H33" s="1"/>
      <c r="I33" s="1"/>
    </row>
    <row r="34" spans="1:9" ht="15" customHeight="1" x14ac:dyDescent="0.25">
      <c r="A34" s="85" t="s">
        <v>354</v>
      </c>
      <c r="B34" s="407">
        <f>B19/B11</f>
        <v>3.6947040964910235E-2</v>
      </c>
      <c r="C34" s="408">
        <f>C19/C11</f>
        <v>-1.190524720835693E-2</v>
      </c>
      <c r="D34" s="234" t="s">
        <v>576</v>
      </c>
      <c r="E34" s="1"/>
      <c r="F34" s="1"/>
      <c r="G34" s="1"/>
      <c r="H34" s="1"/>
      <c r="I34" s="1"/>
    </row>
    <row r="35" spans="1:9" ht="15" customHeight="1" x14ac:dyDescent="0.25">
      <c r="A35" s="85" t="s">
        <v>355</v>
      </c>
      <c r="B35" s="407">
        <f>B24/B28</f>
        <v>2.920646416577958</v>
      </c>
      <c r="C35" s="408">
        <f>C24/C28</f>
        <v>2.8888702425758788</v>
      </c>
      <c r="D35" s="234" t="s">
        <v>576</v>
      </c>
      <c r="E35" s="1"/>
      <c r="F35" s="1"/>
      <c r="G35" s="1"/>
      <c r="H35" s="1"/>
      <c r="I35" s="1"/>
    </row>
    <row r="36" spans="1:9" ht="15" customHeight="1" x14ac:dyDescent="0.25">
      <c r="A36" s="85" t="s">
        <v>356</v>
      </c>
      <c r="B36" s="91">
        <f>B24-B28</f>
        <v>10756.04768</v>
      </c>
      <c r="C36" s="122">
        <f>C24-C28</f>
        <v>8790.5830000000005</v>
      </c>
      <c r="D36" s="234" t="s">
        <v>576</v>
      </c>
      <c r="E36" s="1"/>
      <c r="F36" s="1"/>
      <c r="G36" s="1"/>
      <c r="H36" s="1"/>
      <c r="I36" s="1"/>
    </row>
    <row r="37" spans="1:9" ht="15" customHeight="1" x14ac:dyDescent="0.25">
      <c r="A37" s="85" t="s">
        <v>357</v>
      </c>
      <c r="B37" s="407">
        <f>B26/B29</f>
        <v>0.75067373147709215</v>
      </c>
      <c r="C37" s="408">
        <f>C26/C29</f>
        <v>0.76328724593053976</v>
      </c>
      <c r="D37" s="234" t="s">
        <v>576</v>
      </c>
      <c r="E37" s="1"/>
      <c r="F37" s="1"/>
      <c r="G37" s="1"/>
      <c r="H37" s="1"/>
      <c r="I37" s="1"/>
    </row>
    <row r="38" spans="1:9" ht="15" customHeight="1" x14ac:dyDescent="0.25">
      <c r="A38" s="85" t="s">
        <v>358</v>
      </c>
      <c r="B38" s="407">
        <f>B28/B26</f>
        <v>0.33213666346404763</v>
      </c>
      <c r="C38" s="408">
        <f>C28/C26</f>
        <v>0.31012276876299516</v>
      </c>
      <c r="D38" s="234" t="s">
        <v>576</v>
      </c>
      <c r="E38" s="1"/>
      <c r="F38" s="1"/>
      <c r="G38" s="1"/>
      <c r="H38" s="1"/>
      <c r="I38" s="1"/>
    </row>
    <row r="39" spans="1:9" ht="15" customHeight="1" x14ac:dyDescent="0.25">
      <c r="A39" s="85" t="s">
        <v>359</v>
      </c>
      <c r="B39" s="407">
        <f>B12/B11</f>
        <v>0.74260909830444888</v>
      </c>
      <c r="C39" s="408">
        <f>C12/C11</f>
        <v>0.7722693389941111</v>
      </c>
      <c r="D39" s="234" t="s">
        <v>576</v>
      </c>
      <c r="E39" s="1"/>
      <c r="F39" s="1"/>
      <c r="G39" s="1"/>
      <c r="H39" s="1"/>
      <c r="I39" s="1"/>
    </row>
    <row r="40" spans="1:9" ht="15" customHeight="1" x14ac:dyDescent="0.25">
      <c r="A40" s="85" t="s">
        <v>360</v>
      </c>
      <c r="B40" s="407">
        <f>B13/B11</f>
        <v>0.23654964149978053</v>
      </c>
      <c r="C40" s="408">
        <f>C13/C11</f>
        <v>0.19978314870028382</v>
      </c>
      <c r="D40" s="234" t="s">
        <v>576</v>
      </c>
      <c r="E40" s="1"/>
      <c r="F40" s="1"/>
      <c r="G40" s="1"/>
      <c r="H40" s="1"/>
      <c r="I40" s="1"/>
    </row>
    <row r="41" spans="1:9" ht="15" customHeight="1" x14ac:dyDescent="0.25">
      <c r="A41" s="85" t="s">
        <v>361</v>
      </c>
      <c r="B41" s="407">
        <f>'Note 25'!B14/'Note 25'!B11</f>
        <v>1.1197144234416732E-2</v>
      </c>
      <c r="C41" s="408">
        <f>'Note 25'!C14/'Note 25'!C11</f>
        <v>2.1870601105370206E-2</v>
      </c>
      <c r="D41" s="234" t="s">
        <v>576</v>
      </c>
      <c r="E41" s="1"/>
      <c r="F41" s="1"/>
      <c r="G41" s="1"/>
      <c r="H41" s="1"/>
      <c r="I41" s="1"/>
    </row>
    <row r="42" spans="1:9" ht="15" customHeight="1" x14ac:dyDescent="0.25">
      <c r="A42" s="74"/>
      <c r="B42" s="116"/>
      <c r="C42" s="116"/>
      <c r="D42" s="10"/>
      <c r="E42" s="1"/>
      <c r="F42" s="1"/>
    </row>
    <row r="43" spans="1:9" ht="15" customHeight="1" x14ac:dyDescent="0.25">
      <c r="A43" s="1"/>
      <c r="B43" s="348"/>
      <c r="C43" s="348"/>
      <c r="D43" s="10"/>
      <c r="E43" s="1"/>
      <c r="F43" s="1"/>
    </row>
    <row r="45" spans="1:9" ht="15.75" customHeight="1" x14ac:dyDescent="0.25">
      <c r="A45" s="560"/>
    </row>
  </sheetData>
  <pageMargins left="0.31496062992125984" right="0.11811023622047245" top="0.74803149606299213" bottom="0.74803149606299213" header="0.31496062992125984" footer="0.31496062992125984"/>
  <pageSetup paperSize="9" scale="89" fitToHeight="0"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24"/>
  <sheetViews>
    <sheetView workbookViewId="0">
      <selection activeCell="C10" sqref="C10"/>
    </sheetView>
  </sheetViews>
  <sheetFormatPr baseColWidth="10" defaultColWidth="11.5703125" defaultRowHeight="12.75" x14ac:dyDescent="0.2"/>
  <cols>
    <col min="1" max="1" width="17" style="458" customWidth="1"/>
    <col min="2" max="3" width="15.5703125" style="458" customWidth="1"/>
    <col min="4" max="4" width="16" style="458" customWidth="1"/>
    <col min="5" max="5" width="21" style="458" customWidth="1"/>
    <col min="6" max="6" width="18.140625" style="458" customWidth="1"/>
    <col min="7" max="7" width="19.28515625" style="458" customWidth="1"/>
    <col min="8" max="8" width="18.140625" style="458" customWidth="1"/>
    <col min="9" max="9" width="12.28515625" style="458" customWidth="1"/>
    <col min="10" max="10" width="9.85546875" style="458" customWidth="1"/>
    <col min="11" max="16384" width="11.5703125" style="458"/>
  </cols>
  <sheetData>
    <row r="1" spans="1:14" x14ac:dyDescent="0.2">
      <c r="A1" s="460"/>
      <c r="B1" s="461"/>
      <c r="C1" s="461"/>
      <c r="D1" s="462"/>
      <c r="E1" s="461"/>
      <c r="F1" s="461"/>
      <c r="G1" s="461"/>
      <c r="H1" s="461"/>
      <c r="I1" s="461"/>
      <c r="J1" s="461"/>
    </row>
    <row r="2" spans="1:14" x14ac:dyDescent="0.2">
      <c r="A2" s="460" t="s">
        <v>822</v>
      </c>
      <c r="B2" s="461"/>
      <c r="C2" s="461"/>
      <c r="D2" s="462"/>
      <c r="E2" s="461"/>
      <c r="F2" s="461"/>
      <c r="G2" s="461"/>
      <c r="H2" s="461"/>
      <c r="I2" s="461"/>
      <c r="J2" s="461"/>
    </row>
    <row r="3" spans="1:14" x14ac:dyDescent="0.2">
      <c r="A3" s="461"/>
      <c r="B3" s="461"/>
      <c r="C3" s="461"/>
      <c r="D3" s="463"/>
      <c r="E3" s="461"/>
      <c r="F3" s="461"/>
      <c r="G3" s="461"/>
      <c r="H3" s="461"/>
      <c r="I3" s="461"/>
      <c r="J3" s="461"/>
    </row>
    <row r="4" spans="1:14" ht="15.75" x14ac:dyDescent="0.25">
      <c r="A4" s="464" t="s">
        <v>577</v>
      </c>
      <c r="B4" s="464"/>
      <c r="C4" s="464"/>
      <c r="D4" s="464"/>
      <c r="E4" s="464"/>
      <c r="F4" s="465"/>
      <c r="G4" s="465"/>
      <c r="H4" s="465"/>
      <c r="I4" s="466"/>
      <c r="J4" s="467"/>
    </row>
    <row r="5" spans="1:14" ht="15.75" x14ac:dyDescent="0.25">
      <c r="A5" s="468" t="s">
        <v>589</v>
      </c>
      <c r="B5" s="469"/>
      <c r="C5" s="469"/>
      <c r="D5" s="469"/>
      <c r="E5" s="469"/>
      <c r="F5" s="470"/>
      <c r="G5" s="470"/>
      <c r="H5" s="470"/>
      <c r="I5" s="471"/>
      <c r="J5" s="472"/>
    </row>
    <row r="6" spans="1:14" ht="15.75" x14ac:dyDescent="0.25">
      <c r="A6" s="473"/>
      <c r="B6" s="469"/>
      <c r="C6" s="469"/>
      <c r="D6" s="469"/>
      <c r="E6" s="469"/>
      <c r="F6" s="470"/>
      <c r="G6" s="470"/>
      <c r="H6" s="470"/>
      <c r="I6" s="471"/>
      <c r="J6" s="472"/>
    </row>
    <row r="7" spans="1:14" s="476" customFormat="1" ht="40.5" customHeight="1" x14ac:dyDescent="0.2">
      <c r="A7" s="474" t="s">
        <v>332</v>
      </c>
      <c r="B7" s="474" t="s">
        <v>331</v>
      </c>
      <c r="C7" s="474" t="s">
        <v>809</v>
      </c>
      <c r="D7" s="474" t="s">
        <v>810</v>
      </c>
      <c r="E7" s="474" t="s">
        <v>811</v>
      </c>
      <c r="F7" s="474" t="s">
        <v>812</v>
      </c>
      <c r="G7" s="474" t="s">
        <v>334</v>
      </c>
      <c r="H7" s="474" t="s">
        <v>336</v>
      </c>
      <c r="I7" s="474" t="s">
        <v>813</v>
      </c>
      <c r="J7" s="475" t="s">
        <v>814</v>
      </c>
    </row>
    <row r="8" spans="1:14" x14ac:dyDescent="0.2">
      <c r="A8" s="477"/>
      <c r="B8" s="477" t="s">
        <v>815</v>
      </c>
      <c r="C8" s="527">
        <v>0</v>
      </c>
      <c r="D8" s="527">
        <v>0</v>
      </c>
      <c r="E8" s="527">
        <v>0</v>
      </c>
      <c r="F8" s="527">
        <v>0</v>
      </c>
      <c r="G8" s="528">
        <v>0</v>
      </c>
      <c r="H8" s="528">
        <f>SUBTOTAL(9,D8:G8)</f>
        <v>0</v>
      </c>
      <c r="I8" s="477" t="s">
        <v>816</v>
      </c>
      <c r="J8" s="478" t="s">
        <v>335</v>
      </c>
    </row>
    <row r="9" spans="1:14" x14ac:dyDescent="0.2">
      <c r="A9" s="477"/>
      <c r="B9" s="477" t="s">
        <v>817</v>
      </c>
      <c r="C9" s="527">
        <v>0</v>
      </c>
      <c r="D9" s="527">
        <v>0</v>
      </c>
      <c r="E9" s="527">
        <v>0</v>
      </c>
      <c r="F9" s="527">
        <v>0</v>
      </c>
      <c r="G9" s="528">
        <v>0</v>
      </c>
      <c r="H9" s="528">
        <f t="shared" ref="H9:H11" si="0">SUBTOTAL(9,D9:G9)</f>
        <v>0</v>
      </c>
      <c r="I9" s="477" t="s">
        <v>816</v>
      </c>
      <c r="J9" s="478" t="s">
        <v>335</v>
      </c>
      <c r="N9" s="385"/>
    </row>
    <row r="10" spans="1:14" x14ac:dyDescent="0.2">
      <c r="A10" s="477"/>
      <c r="B10" s="477" t="s">
        <v>818</v>
      </c>
      <c r="C10" s="527">
        <v>0</v>
      </c>
      <c r="D10" s="527">
        <v>0</v>
      </c>
      <c r="E10" s="527">
        <v>0</v>
      </c>
      <c r="F10" s="527">
        <v>0</v>
      </c>
      <c r="G10" s="528">
        <v>0</v>
      </c>
      <c r="H10" s="528">
        <f t="shared" si="0"/>
        <v>0</v>
      </c>
      <c r="I10" s="477" t="s">
        <v>816</v>
      </c>
      <c r="J10" s="478" t="s">
        <v>335</v>
      </c>
    </row>
    <row r="11" spans="1:14" x14ac:dyDescent="0.2">
      <c r="A11" s="477"/>
      <c r="B11" s="477" t="s">
        <v>819</v>
      </c>
      <c r="C11" s="527">
        <v>0</v>
      </c>
      <c r="D11" s="527">
        <v>0</v>
      </c>
      <c r="E11" s="527">
        <v>0</v>
      </c>
      <c r="F11" s="527">
        <v>0</v>
      </c>
      <c r="G11" s="528">
        <v>0</v>
      </c>
      <c r="H11" s="528">
        <f t="shared" si="0"/>
        <v>0</v>
      </c>
      <c r="I11" s="477" t="s">
        <v>816</v>
      </c>
      <c r="J11" s="478" t="s">
        <v>335</v>
      </c>
      <c r="L11" s="479"/>
    </row>
    <row r="12" spans="1:14" x14ac:dyDescent="0.2">
      <c r="A12" s="480" t="s">
        <v>430</v>
      </c>
      <c r="B12" s="480" t="s">
        <v>430</v>
      </c>
      <c r="C12" s="529">
        <f t="shared" ref="C12:H12" si="1">SUM(C8:C11)</f>
        <v>0</v>
      </c>
      <c r="D12" s="529">
        <f t="shared" si="1"/>
        <v>0</v>
      </c>
      <c r="E12" s="529">
        <f t="shared" si="1"/>
        <v>0</v>
      </c>
      <c r="F12" s="529">
        <f t="shared" si="1"/>
        <v>0</v>
      </c>
      <c r="G12" s="529">
        <f t="shared" si="1"/>
        <v>0</v>
      </c>
      <c r="H12" s="529">
        <f t="shared" si="1"/>
        <v>0</v>
      </c>
      <c r="I12" s="480"/>
      <c r="J12" s="477" t="s">
        <v>337</v>
      </c>
    </row>
    <row r="13" spans="1:14" ht="15" x14ac:dyDescent="0.2">
      <c r="A13" s="481"/>
      <c r="B13" s="482"/>
      <c r="C13" s="482"/>
      <c r="D13" s="482"/>
      <c r="E13" s="482"/>
      <c r="F13" s="482"/>
      <c r="G13" s="470"/>
      <c r="H13" s="470"/>
      <c r="I13" s="483"/>
      <c r="J13" s="484"/>
    </row>
    <row r="14" spans="1:14" ht="15" x14ac:dyDescent="0.2">
      <c r="A14" s="485" t="s">
        <v>338</v>
      </c>
      <c r="B14" s="482"/>
      <c r="C14" s="482"/>
      <c r="D14" s="482"/>
      <c r="E14" s="482"/>
      <c r="F14" s="482"/>
      <c r="G14" s="470"/>
      <c r="H14" s="470"/>
      <c r="I14" s="483"/>
      <c r="J14" s="484"/>
    </row>
    <row r="15" spans="1:14" x14ac:dyDescent="0.2">
      <c r="A15" s="652" t="s">
        <v>820</v>
      </c>
      <c r="B15" s="652"/>
      <c r="C15" s="652"/>
      <c r="D15" s="652"/>
      <c r="E15" s="652"/>
      <c r="F15" s="652"/>
      <c r="G15" s="652"/>
      <c r="H15" s="652"/>
      <c r="I15" s="652"/>
      <c r="J15" s="652"/>
    </row>
    <row r="16" spans="1:14" x14ac:dyDescent="0.2">
      <c r="A16" s="652"/>
      <c r="B16" s="652"/>
      <c r="C16" s="652"/>
      <c r="D16" s="652"/>
      <c r="E16" s="652"/>
      <c r="F16" s="652"/>
      <c r="G16" s="652"/>
      <c r="H16" s="652"/>
      <c r="I16" s="652"/>
      <c r="J16" s="652"/>
    </row>
    <row r="17" spans="1:10" x14ac:dyDescent="0.2">
      <c r="A17" s="652"/>
      <c r="B17" s="652"/>
      <c r="C17" s="652"/>
      <c r="D17" s="652"/>
      <c r="E17" s="652"/>
      <c r="F17" s="652"/>
      <c r="G17" s="652"/>
      <c r="H17" s="652"/>
      <c r="I17" s="652"/>
      <c r="J17" s="652"/>
    </row>
    <row r="18" spans="1:10" ht="38.85" customHeight="1" x14ac:dyDescent="0.2">
      <c r="A18" s="652"/>
      <c r="B18" s="652"/>
      <c r="C18" s="652"/>
      <c r="D18" s="652"/>
      <c r="E18" s="652"/>
      <c r="F18" s="652"/>
      <c r="G18" s="652"/>
      <c r="H18" s="652"/>
      <c r="I18" s="652"/>
      <c r="J18" s="652"/>
    </row>
    <row r="19" spans="1:10" x14ac:dyDescent="0.2">
      <c r="A19" s="486"/>
      <c r="B19" s="486"/>
      <c r="C19" s="486"/>
      <c r="D19" s="486"/>
      <c r="E19" s="486"/>
      <c r="F19" s="486"/>
      <c r="G19" s="486"/>
      <c r="H19" s="486"/>
      <c r="I19" s="486"/>
      <c r="J19" s="486"/>
    </row>
    <row r="20" spans="1:10" x14ac:dyDescent="0.2">
      <c r="A20" s="486"/>
      <c r="B20" s="486"/>
      <c r="C20" s="486"/>
      <c r="D20" s="486"/>
      <c r="E20" s="486"/>
      <c r="F20" s="486"/>
      <c r="G20" s="486"/>
      <c r="H20" s="486"/>
      <c r="I20" s="486"/>
      <c r="J20" s="486"/>
    </row>
    <row r="21" spans="1:10" x14ac:dyDescent="0.2">
      <c r="A21" s="486"/>
      <c r="B21" s="486"/>
      <c r="C21" s="486"/>
      <c r="D21" s="486"/>
      <c r="E21" s="486"/>
      <c r="F21" s="486"/>
      <c r="G21" s="486"/>
      <c r="H21" s="486"/>
      <c r="I21" s="486"/>
      <c r="J21" s="486"/>
    </row>
    <row r="22" spans="1:10" x14ac:dyDescent="0.2">
      <c r="A22" s="486"/>
      <c r="B22" s="486"/>
      <c r="C22" s="486"/>
      <c r="D22" s="486"/>
      <c r="E22" s="486"/>
      <c r="F22" s="486"/>
      <c r="G22" s="486"/>
      <c r="H22" s="486"/>
      <c r="I22" s="486"/>
      <c r="J22" s="486"/>
    </row>
    <row r="23" spans="1:10" x14ac:dyDescent="0.2">
      <c r="A23" s="486"/>
      <c r="B23" s="486"/>
      <c r="C23" s="486"/>
      <c r="D23" s="486"/>
      <c r="E23" s="486"/>
      <c r="F23" s="486"/>
      <c r="G23" s="486"/>
      <c r="H23" s="486"/>
      <c r="I23" s="486"/>
      <c r="J23" s="486"/>
    </row>
    <row r="24" spans="1:10" x14ac:dyDescent="0.2">
      <c r="A24" s="486"/>
      <c r="B24" s="486"/>
      <c r="C24" s="486"/>
      <c r="D24" s="486"/>
      <c r="E24" s="486"/>
      <c r="F24" s="486"/>
      <c r="G24" s="486"/>
      <c r="H24" s="486"/>
      <c r="I24" s="486"/>
      <c r="J24" s="486"/>
    </row>
  </sheetData>
  <mergeCells count="1">
    <mergeCell ref="A15:J18"/>
  </mergeCells>
  <pageMargins left="0.70866141732283472" right="0.51181102362204722" top="0.74803149606299213" bottom="0.74803149606299213" header="0.31496062992125984" footer="0.31496062992125984"/>
  <pageSetup paperSize="9" scale="83"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45"/>
  <sheetViews>
    <sheetView workbookViewId="0">
      <selection activeCell="C12" sqref="C12"/>
    </sheetView>
  </sheetViews>
  <sheetFormatPr baseColWidth="10" defaultColWidth="17.28515625" defaultRowHeight="15.75" customHeight="1" x14ac:dyDescent="0.25"/>
  <cols>
    <col min="1" max="1" width="41.5703125" style="345" customWidth="1"/>
    <col min="2" max="2" width="8.7109375" style="345" customWidth="1"/>
    <col min="3" max="3" width="13.5703125" style="350" customWidth="1"/>
    <col min="4" max="4" width="13.42578125" style="350" customWidth="1"/>
    <col min="5" max="5" width="15.42578125" style="78" customWidth="1"/>
    <col min="6" max="6" width="11.42578125" style="345" customWidth="1"/>
    <col min="7" max="7" width="60.5703125" style="345" customWidth="1"/>
    <col min="8" max="16384" width="17.28515625" style="345"/>
  </cols>
  <sheetData>
    <row r="1" spans="1:11" ht="12.75" customHeight="1" x14ac:dyDescent="0.25">
      <c r="A1" s="2"/>
      <c r="B1" s="1"/>
      <c r="C1" s="348"/>
      <c r="D1" s="348"/>
      <c r="E1" s="77"/>
      <c r="F1" s="1"/>
    </row>
    <row r="2" spans="1:11" ht="15.75" customHeight="1" x14ac:dyDescent="0.25">
      <c r="A2" s="346" t="s">
        <v>885</v>
      </c>
      <c r="B2" s="346"/>
      <c r="C2" s="346"/>
      <c r="D2" s="346"/>
      <c r="E2" s="346"/>
      <c r="F2" s="1"/>
      <c r="G2" s="554"/>
      <c r="H2" s="42"/>
      <c r="I2" s="42"/>
      <c r="J2" s="42"/>
      <c r="K2" s="42"/>
    </row>
    <row r="3" spans="1:11" ht="15" customHeight="1" x14ac:dyDescent="0.25">
      <c r="A3" s="1" t="s">
        <v>886</v>
      </c>
      <c r="B3" s="1"/>
      <c r="C3" s="348"/>
      <c r="D3" s="348"/>
      <c r="E3" s="77"/>
      <c r="F3" s="1"/>
    </row>
    <row r="4" spans="1:11" ht="15" customHeight="1" x14ac:dyDescent="0.25">
      <c r="A4" s="1"/>
      <c r="B4" s="1"/>
      <c r="C4" s="348"/>
      <c r="D4" s="348"/>
      <c r="E4" s="77"/>
      <c r="F4" s="1"/>
    </row>
    <row r="5" spans="1:11" ht="15" customHeight="1" x14ac:dyDescent="0.25">
      <c r="A5" s="142" t="s">
        <v>26</v>
      </c>
      <c r="B5" s="18"/>
      <c r="C5" s="86"/>
      <c r="D5" s="86"/>
      <c r="E5" s="146"/>
      <c r="F5" s="40"/>
    </row>
    <row r="6" spans="1:11" ht="15" customHeight="1" x14ac:dyDescent="0.25">
      <c r="A6" s="66" t="s">
        <v>589</v>
      </c>
      <c r="B6" s="141"/>
      <c r="C6" s="139"/>
      <c r="D6" s="139"/>
      <c r="E6" s="188"/>
      <c r="F6" s="40"/>
    </row>
    <row r="7" spans="1:11" ht="15.75" customHeight="1" x14ac:dyDescent="0.25">
      <c r="A7" s="1"/>
      <c r="B7" s="1"/>
      <c r="C7" s="348"/>
      <c r="D7" s="348"/>
      <c r="E7" s="77"/>
      <c r="F7" s="1"/>
    </row>
    <row r="8" spans="1:11" ht="22.15" customHeight="1" x14ac:dyDescent="0.25">
      <c r="A8" s="19"/>
      <c r="B8" s="44" t="s">
        <v>27</v>
      </c>
      <c r="C8" s="213">
        <v>45657</v>
      </c>
      <c r="D8" s="333">
        <v>45291</v>
      </c>
      <c r="E8" s="212" t="s">
        <v>466</v>
      </c>
      <c r="F8" s="1"/>
    </row>
    <row r="9" spans="1:11" ht="15" customHeight="1" x14ac:dyDescent="0.25">
      <c r="A9" s="21" t="s">
        <v>28</v>
      </c>
      <c r="B9" s="22"/>
      <c r="C9" s="87"/>
      <c r="D9" s="88"/>
      <c r="E9" s="147"/>
      <c r="F9" s="1"/>
    </row>
    <row r="10" spans="1:11" ht="15" customHeight="1" x14ac:dyDescent="0.25">
      <c r="A10" s="23" t="s">
        <v>29</v>
      </c>
      <c r="B10" s="24" t="s">
        <v>805</v>
      </c>
      <c r="C10" s="87">
        <v>21648</v>
      </c>
      <c r="D10" s="575">
        <f>(22715000+485000)/1000</f>
        <v>23200</v>
      </c>
      <c r="E10" s="148" t="s">
        <v>30</v>
      </c>
      <c r="F10" s="1"/>
      <c r="G10" s="1"/>
      <c r="H10" s="1"/>
      <c r="I10" s="1"/>
      <c r="J10" s="1"/>
    </row>
    <row r="11" spans="1:11" ht="15" customHeight="1" x14ac:dyDescent="0.25">
      <c r="A11" s="425" t="s">
        <v>687</v>
      </c>
      <c r="B11" s="426" t="s">
        <v>805</v>
      </c>
      <c r="C11" s="427">
        <f>(175902+159851-9273)/1000</f>
        <v>326.48</v>
      </c>
      <c r="D11" s="576">
        <f>(657022.58)/1000</f>
        <v>657.02257999999995</v>
      </c>
      <c r="E11" s="428" t="s">
        <v>688</v>
      </c>
      <c r="F11" s="1"/>
    </row>
    <row r="12" spans="1:11" ht="15" customHeight="1" x14ac:dyDescent="0.25">
      <c r="A12" s="23" t="s">
        <v>31</v>
      </c>
      <c r="B12" s="24" t="s">
        <v>805</v>
      </c>
      <c r="C12" s="87">
        <f>(6895723+40783+18404)/1000</f>
        <v>6954.91</v>
      </c>
      <c r="D12" s="575">
        <f>(65783.68+6001752)/1000</f>
        <v>6067.53568</v>
      </c>
      <c r="E12" s="148" t="s">
        <v>32</v>
      </c>
      <c r="F12" s="1"/>
      <c r="G12" s="1"/>
      <c r="H12" s="1"/>
      <c r="I12" s="1"/>
      <c r="J12" s="1"/>
    </row>
    <row r="13" spans="1:11" ht="15" customHeight="1" x14ac:dyDescent="0.25">
      <c r="A13" s="25" t="s">
        <v>33</v>
      </c>
      <c r="B13" s="26" t="s">
        <v>805</v>
      </c>
      <c r="C13" s="87">
        <f>(212609.25+9273)/1000</f>
        <v>221.88225</v>
      </c>
      <c r="D13" s="575">
        <f>(90774.25+26000)/1000</f>
        <v>116.77424999999999</v>
      </c>
      <c r="E13" s="148" t="s">
        <v>34</v>
      </c>
      <c r="F13" s="1"/>
      <c r="G13" s="1"/>
      <c r="H13" s="1"/>
      <c r="I13" s="1"/>
      <c r="J13" s="1"/>
    </row>
    <row r="14" spans="1:11" ht="15" customHeight="1" x14ac:dyDescent="0.25">
      <c r="A14" s="381" t="s">
        <v>35</v>
      </c>
      <c r="B14" s="380"/>
      <c r="C14" s="308">
        <f>SUM(C10:C13)</f>
        <v>29151.272249999998</v>
      </c>
      <c r="D14" s="337">
        <f>SUM(D10:D13)</f>
        <v>30041.33251</v>
      </c>
      <c r="E14" s="382" t="s">
        <v>36</v>
      </c>
      <c r="F14" s="1"/>
      <c r="G14" s="1"/>
      <c r="H14" s="1"/>
      <c r="I14" s="1"/>
      <c r="J14" s="1"/>
    </row>
    <row r="15" spans="1:11" ht="15" customHeight="1" x14ac:dyDescent="0.25">
      <c r="A15" s="33"/>
      <c r="B15" s="22"/>
      <c r="C15" s="92"/>
      <c r="D15" s="93"/>
      <c r="E15" s="150"/>
      <c r="F15" s="1"/>
      <c r="G15" s="1"/>
      <c r="H15" s="1"/>
      <c r="I15" s="1"/>
      <c r="J15" s="1"/>
    </row>
    <row r="16" spans="1:11" ht="15" customHeight="1" x14ac:dyDescent="0.25">
      <c r="A16" s="34" t="s">
        <v>37</v>
      </c>
      <c r="B16" s="22"/>
      <c r="C16" s="89"/>
      <c r="D16" s="88"/>
      <c r="E16" s="150"/>
      <c r="F16" s="1"/>
      <c r="G16" s="1"/>
      <c r="H16" s="1"/>
      <c r="I16" s="1"/>
      <c r="J16" s="1"/>
    </row>
    <row r="17" spans="1:10" ht="15" customHeight="1" x14ac:dyDescent="0.25">
      <c r="A17" s="35" t="s">
        <v>757</v>
      </c>
      <c r="B17" s="22"/>
      <c r="C17" s="87">
        <v>0</v>
      </c>
      <c r="D17" s="575">
        <v>0</v>
      </c>
      <c r="E17" s="148" t="s">
        <v>39</v>
      </c>
      <c r="F17" s="1"/>
      <c r="G17" s="1"/>
      <c r="H17" s="1"/>
      <c r="I17" s="1"/>
      <c r="J17" s="1"/>
    </row>
    <row r="18" spans="1:10" ht="15" customHeight="1" x14ac:dyDescent="0.25">
      <c r="A18" s="35" t="s">
        <v>344</v>
      </c>
      <c r="B18" s="24">
        <v>2</v>
      </c>
      <c r="C18" s="87">
        <f>18197927.81/1000</f>
        <v>18197.927809999997</v>
      </c>
      <c r="D18" s="575">
        <f>18194970/1000</f>
        <v>18194.97</v>
      </c>
      <c r="E18" s="148" t="s">
        <v>40</v>
      </c>
      <c r="F18" s="1"/>
      <c r="G18" s="1"/>
      <c r="H18" s="1"/>
      <c r="I18" s="1"/>
      <c r="J18" s="1"/>
    </row>
    <row r="19" spans="1:10" ht="15" customHeight="1" x14ac:dyDescent="0.25">
      <c r="A19" s="35" t="s">
        <v>41</v>
      </c>
      <c r="B19" s="22">
        <v>7.8</v>
      </c>
      <c r="C19" s="87">
        <f>262654.31/1000</f>
        <v>262.65431000000001</v>
      </c>
      <c r="D19" s="575">
        <f>368494/1000</f>
        <v>368.49400000000003</v>
      </c>
      <c r="E19" s="148" t="s">
        <v>42</v>
      </c>
      <c r="F19" s="1"/>
      <c r="G19" s="1"/>
      <c r="H19" s="1"/>
      <c r="I19" s="1"/>
      <c r="J19" s="1"/>
    </row>
    <row r="20" spans="1:10" ht="15" customHeight="1" x14ac:dyDescent="0.25">
      <c r="A20" s="35" t="s">
        <v>43</v>
      </c>
      <c r="B20" s="22">
        <v>7.8</v>
      </c>
      <c r="C20" s="87">
        <v>0</v>
      </c>
      <c r="D20" s="575">
        <v>0</v>
      </c>
      <c r="E20" s="148" t="s">
        <v>44</v>
      </c>
      <c r="F20" s="1"/>
      <c r="G20" s="1"/>
      <c r="H20" s="1"/>
      <c r="I20" s="1"/>
      <c r="J20" s="1"/>
    </row>
    <row r="21" spans="1:10" ht="15" customHeight="1" x14ac:dyDescent="0.25">
      <c r="A21" s="25" t="s">
        <v>45</v>
      </c>
      <c r="B21" s="26">
        <v>3</v>
      </c>
      <c r="C21" s="87">
        <f>9613636.88/1000</f>
        <v>9613.63688</v>
      </c>
      <c r="D21" s="575">
        <f>11835518/1000</f>
        <v>11835.518</v>
      </c>
      <c r="E21" s="148" t="s">
        <v>46</v>
      </c>
      <c r="F21" s="1"/>
      <c r="G21" s="1"/>
      <c r="H21" s="1"/>
      <c r="I21" s="1"/>
      <c r="J21" s="1"/>
    </row>
    <row r="22" spans="1:10" ht="15" customHeight="1" x14ac:dyDescent="0.25">
      <c r="A22" s="29" t="s">
        <v>47</v>
      </c>
      <c r="B22" s="30"/>
      <c r="C22" s="90">
        <f>SUM(C17:C21)</f>
        <v>28074.218999999997</v>
      </c>
      <c r="D22" s="91">
        <f>SUM(D17:D21)</f>
        <v>30398.982</v>
      </c>
      <c r="E22" s="151" t="s">
        <v>48</v>
      </c>
      <c r="F22" s="1"/>
      <c r="G22" s="1"/>
      <c r="H22" s="1"/>
      <c r="I22" s="1"/>
      <c r="J22" s="1"/>
    </row>
    <row r="23" spans="1:10" ht="15" customHeight="1" x14ac:dyDescent="0.25">
      <c r="A23" s="33"/>
      <c r="B23" s="22"/>
      <c r="C23" s="92"/>
      <c r="D23" s="93"/>
      <c r="E23" s="150"/>
      <c r="F23" s="1"/>
      <c r="G23" s="1"/>
      <c r="H23" s="1"/>
      <c r="I23" s="1"/>
      <c r="J23" s="1"/>
    </row>
    <row r="24" spans="1:10" ht="15" customHeight="1" x14ac:dyDescent="0.25">
      <c r="A24" s="29" t="s">
        <v>49</v>
      </c>
      <c r="B24" s="30"/>
      <c r="C24" s="94">
        <f>C14-C22</f>
        <v>1077.0532500000008</v>
      </c>
      <c r="D24" s="95">
        <f>D14-D22</f>
        <v>-357.64948999999979</v>
      </c>
      <c r="E24" s="152" t="s">
        <v>50</v>
      </c>
      <c r="F24" s="1"/>
      <c r="G24" s="1"/>
      <c r="H24" s="1"/>
      <c r="I24" s="1"/>
      <c r="J24" s="1"/>
    </row>
    <row r="25" spans="1:10" ht="15" customHeight="1" x14ac:dyDescent="0.25">
      <c r="A25" s="33"/>
      <c r="B25" s="22"/>
      <c r="C25" s="89"/>
      <c r="D25" s="88"/>
      <c r="E25" s="150"/>
      <c r="F25" s="1"/>
      <c r="G25" s="1"/>
      <c r="H25" s="1"/>
      <c r="I25" s="1"/>
      <c r="J25" s="1"/>
    </row>
    <row r="26" spans="1:10" ht="15" customHeight="1" x14ac:dyDescent="0.25">
      <c r="A26" s="21" t="s">
        <v>51</v>
      </c>
      <c r="B26" s="22"/>
      <c r="C26" s="89"/>
      <c r="D26" s="88"/>
      <c r="E26" s="150"/>
      <c r="F26" s="1"/>
      <c r="G26" s="1"/>
      <c r="H26" s="1"/>
      <c r="I26" s="1"/>
      <c r="J26" s="1"/>
    </row>
    <row r="27" spans="1:10" ht="15" customHeight="1" x14ac:dyDescent="0.25">
      <c r="A27" s="35" t="s">
        <v>861</v>
      </c>
      <c r="B27" s="24">
        <v>4</v>
      </c>
      <c r="C27" s="87">
        <f>75095/1000</f>
        <v>75.094999999999999</v>
      </c>
      <c r="D27" s="87">
        <f>53689/1000</f>
        <v>53.689</v>
      </c>
      <c r="E27" s="148" t="s">
        <v>867</v>
      </c>
      <c r="F27" s="1"/>
      <c r="G27" s="1"/>
      <c r="H27" s="1"/>
      <c r="I27" s="1"/>
      <c r="J27" s="1"/>
    </row>
    <row r="28" spans="1:10" ht="15" customHeight="1" x14ac:dyDescent="0.25">
      <c r="A28" s="35" t="s">
        <v>865</v>
      </c>
      <c r="B28" s="24">
        <v>4</v>
      </c>
      <c r="C28" s="87">
        <f>(704200+312+40+780)/1000</f>
        <v>705.33199999999999</v>
      </c>
      <c r="D28" s="87">
        <f>(392468+780)/1000</f>
        <v>393.24799999999999</v>
      </c>
      <c r="E28" s="148" t="s">
        <v>53</v>
      </c>
      <c r="F28" s="1"/>
      <c r="G28" s="1"/>
      <c r="H28" s="1"/>
      <c r="I28" s="1"/>
      <c r="J28" s="1"/>
    </row>
    <row r="29" spans="1:10" ht="15" customHeight="1" x14ac:dyDescent="0.25">
      <c r="A29" s="138" t="s">
        <v>862</v>
      </c>
      <c r="B29" s="561">
        <v>4</v>
      </c>
      <c r="C29" s="562">
        <v>0</v>
      </c>
      <c r="D29" s="87">
        <v>0</v>
      </c>
      <c r="E29" s="148" t="s">
        <v>868</v>
      </c>
      <c r="F29" s="1"/>
      <c r="G29" s="1"/>
      <c r="H29" s="1"/>
      <c r="I29" s="1"/>
      <c r="J29" s="1"/>
    </row>
    <row r="30" spans="1:10" ht="15" customHeight="1" x14ac:dyDescent="0.25">
      <c r="A30" s="138" t="s">
        <v>866</v>
      </c>
      <c r="B30" s="561">
        <v>4</v>
      </c>
      <c r="C30" s="563">
        <f>2866/1000</f>
        <v>2.8660000000000001</v>
      </c>
      <c r="D30" s="87">
        <f>7217/1000</f>
        <v>7.2169999999999996</v>
      </c>
      <c r="E30" s="148" t="s">
        <v>55</v>
      </c>
      <c r="F30" s="1"/>
      <c r="G30" s="1"/>
      <c r="H30" s="1"/>
      <c r="I30" s="1"/>
      <c r="J30" s="1"/>
    </row>
    <row r="31" spans="1:10" ht="15" customHeight="1" x14ac:dyDescent="0.25">
      <c r="A31" s="327" t="s">
        <v>56</v>
      </c>
      <c r="B31" s="323"/>
      <c r="C31" s="90">
        <f>C27+C28-C29-C30</f>
        <v>777.56100000000004</v>
      </c>
      <c r="D31" s="91">
        <f>D27+D28-D29-D30</f>
        <v>439.72</v>
      </c>
      <c r="E31" s="149" t="s">
        <v>57</v>
      </c>
      <c r="F31" s="1"/>
      <c r="G31" s="1"/>
      <c r="H31" s="1"/>
      <c r="I31" s="1"/>
      <c r="J31" s="1"/>
    </row>
    <row r="32" spans="1:10" ht="15" customHeight="1" x14ac:dyDescent="0.25">
      <c r="A32" s="19"/>
      <c r="B32" s="37"/>
      <c r="C32" s="96"/>
      <c r="D32" s="96"/>
      <c r="E32" s="150"/>
      <c r="F32" s="1"/>
      <c r="G32" s="1"/>
      <c r="H32" s="1"/>
      <c r="I32" s="1"/>
      <c r="J32" s="1"/>
    </row>
    <row r="33" spans="1:10" ht="15" customHeight="1" x14ac:dyDescent="0.25">
      <c r="A33" s="36" t="s">
        <v>58</v>
      </c>
      <c r="B33" s="37"/>
      <c r="C33" s="90">
        <f>C24+C31</f>
        <v>1854.614250000001</v>
      </c>
      <c r="D33" s="91">
        <f>D24+D31</f>
        <v>82.07051000000024</v>
      </c>
      <c r="E33" s="149" t="s">
        <v>59</v>
      </c>
      <c r="F33" s="1"/>
      <c r="G33" s="1"/>
      <c r="H33" s="1"/>
      <c r="I33" s="1"/>
      <c r="J33" s="1"/>
    </row>
    <row r="34" spans="1:10" ht="15" customHeight="1" x14ac:dyDescent="0.25">
      <c r="A34" s="33"/>
      <c r="B34" s="22"/>
      <c r="C34" s="92"/>
      <c r="D34" s="93"/>
      <c r="E34" s="150"/>
      <c r="F34" s="1"/>
      <c r="G34" s="1"/>
      <c r="H34" s="1"/>
      <c r="I34" s="1"/>
      <c r="J34" s="1"/>
    </row>
    <row r="35" spans="1:10" ht="15" customHeight="1" x14ac:dyDescent="0.25">
      <c r="A35" s="35" t="s">
        <v>758</v>
      </c>
      <c r="B35" s="22"/>
      <c r="C35" s="87">
        <v>0</v>
      </c>
      <c r="D35" s="87">
        <v>0</v>
      </c>
      <c r="E35" s="148" t="s">
        <v>61</v>
      </c>
      <c r="F35" s="1"/>
      <c r="G35" s="1"/>
      <c r="H35" s="1"/>
      <c r="I35" s="1"/>
      <c r="J35" s="1"/>
    </row>
    <row r="36" spans="1:10" ht="15" customHeight="1" x14ac:dyDescent="0.25">
      <c r="A36" s="39"/>
      <c r="B36" s="30"/>
      <c r="C36" s="97"/>
      <c r="D36" s="98"/>
      <c r="E36" s="150"/>
      <c r="F36" s="1"/>
      <c r="G36" s="1"/>
      <c r="H36" s="1"/>
      <c r="I36" s="1"/>
      <c r="J36" s="1"/>
    </row>
    <row r="37" spans="1:10" ht="15" customHeight="1" x14ac:dyDescent="0.25">
      <c r="A37" s="36" t="s">
        <v>62</v>
      </c>
      <c r="B37" s="37"/>
      <c r="C37" s="90">
        <f>C33-C35</f>
        <v>1854.614250000001</v>
      </c>
      <c r="D37" s="91">
        <f>D33-D35</f>
        <v>82.07051000000024</v>
      </c>
      <c r="E37" s="149" t="s">
        <v>63</v>
      </c>
      <c r="F37" s="1"/>
      <c r="G37" s="1"/>
      <c r="H37" s="1"/>
      <c r="I37" s="1"/>
      <c r="J37" s="1"/>
    </row>
    <row r="38" spans="1:10" ht="15" customHeight="1" x14ac:dyDescent="0.25">
      <c r="A38" s="33"/>
      <c r="B38" s="22"/>
      <c r="C38" s="92"/>
      <c r="D38" s="93"/>
      <c r="E38" s="150"/>
      <c r="F38" s="1"/>
      <c r="G38" s="1"/>
      <c r="H38" s="1"/>
      <c r="I38" s="1"/>
      <c r="J38" s="1"/>
    </row>
    <row r="39" spans="1:10" ht="15" customHeight="1" x14ac:dyDescent="0.25">
      <c r="A39" s="21" t="s">
        <v>64</v>
      </c>
      <c r="B39" s="22"/>
      <c r="C39" s="89"/>
      <c r="D39" s="88"/>
      <c r="E39" s="150"/>
      <c r="F39" s="1"/>
      <c r="G39" s="1"/>
      <c r="H39" s="1"/>
      <c r="I39" s="1"/>
      <c r="J39" s="1"/>
    </row>
    <row r="40" spans="1:10" ht="15" customHeight="1" x14ac:dyDescent="0.25">
      <c r="A40" s="35" t="s">
        <v>762</v>
      </c>
      <c r="B40" s="332">
        <v>12</v>
      </c>
      <c r="C40" s="89">
        <f>C37</f>
        <v>1854.614250000001</v>
      </c>
      <c r="D40" s="89">
        <f>D37</f>
        <v>82.07051000000024</v>
      </c>
      <c r="E40" s="148" t="s">
        <v>65</v>
      </c>
      <c r="F40" s="1"/>
      <c r="G40" s="1"/>
      <c r="H40" s="1"/>
      <c r="I40" s="1"/>
      <c r="J40" s="1"/>
    </row>
    <row r="41" spans="1:10" ht="15" customHeight="1" x14ac:dyDescent="0.25">
      <c r="A41" s="35" t="s">
        <v>759</v>
      </c>
      <c r="B41" s="24"/>
      <c r="C41" s="89">
        <v>0</v>
      </c>
      <c r="D41" s="88">
        <v>0</v>
      </c>
      <c r="E41" s="148" t="s">
        <v>67</v>
      </c>
      <c r="F41" s="1"/>
      <c r="G41" s="1"/>
      <c r="H41" s="1"/>
      <c r="I41" s="1"/>
      <c r="J41" s="1"/>
    </row>
    <row r="42" spans="1:10" ht="15" customHeight="1" x14ac:dyDescent="0.25">
      <c r="A42" s="25" t="s">
        <v>760</v>
      </c>
      <c r="B42" s="26"/>
      <c r="C42" s="89">
        <v>0</v>
      </c>
      <c r="D42" s="350">
        <v>0</v>
      </c>
      <c r="E42" s="148" t="s">
        <v>69</v>
      </c>
      <c r="F42" s="1"/>
      <c r="G42" s="1"/>
      <c r="H42" s="1"/>
      <c r="I42" s="1"/>
      <c r="J42" s="1"/>
    </row>
    <row r="43" spans="1:10" ht="15" customHeight="1" x14ac:dyDescent="0.25">
      <c r="A43" s="29" t="s">
        <v>70</v>
      </c>
      <c r="B43" s="30"/>
      <c r="C43" s="90">
        <f>SUM(C40:C42)</f>
        <v>1854.614250000001</v>
      </c>
      <c r="D43" s="91">
        <f>SUM(D40:D42)</f>
        <v>82.07051000000024</v>
      </c>
      <c r="E43" s="153" t="s">
        <v>71</v>
      </c>
      <c r="F43" s="1"/>
      <c r="G43" s="1"/>
      <c r="H43" s="1"/>
      <c r="I43" s="1"/>
      <c r="J43" s="1"/>
    </row>
    <row r="44" spans="1:10" ht="15" customHeight="1" x14ac:dyDescent="0.25">
      <c r="A44" s="1"/>
      <c r="B44" s="1"/>
      <c r="C44" s="348"/>
      <c r="D44" s="348"/>
      <c r="E44" s="77"/>
      <c r="F44" s="1"/>
    </row>
    <row r="45" spans="1:10" ht="15" customHeight="1" x14ac:dyDescent="0.25">
      <c r="A45" s="598" t="s">
        <v>761</v>
      </c>
      <c r="B45" s="598"/>
      <c r="C45" s="345"/>
      <c r="D45" s="345"/>
      <c r="E45" s="77"/>
      <c r="F45" s="1"/>
    </row>
  </sheetData>
  <sheetProtection formatCells="0" formatColumns="0" formatRows="0" insertColumns="0" insertRows="0"/>
  <mergeCells count="1">
    <mergeCell ref="A45:B45"/>
  </mergeCells>
  <pageMargins left="0.70866141732283472" right="0.70866141732283472" top="0.74803149606299213" bottom="0.74803149606299213" header="0.31496062992125984" footer="0.31496062992125984"/>
  <pageSetup paperSize="9" scale="96" fitToHeight="0"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48"/>
  <sheetViews>
    <sheetView workbookViewId="0">
      <selection activeCell="A60" sqref="A60:XFD60"/>
    </sheetView>
  </sheetViews>
  <sheetFormatPr baseColWidth="10" defaultRowHeight="12.75" x14ac:dyDescent="0.2"/>
  <cols>
    <col min="1" max="1" width="62.7109375" customWidth="1"/>
    <col min="2" max="3" width="15.7109375" customWidth="1"/>
    <col min="4" max="4" width="13.7109375" style="159" customWidth="1"/>
  </cols>
  <sheetData>
    <row r="2" spans="1:5" ht="15" x14ac:dyDescent="0.25">
      <c r="A2" s="347" t="str">
        <f>Resultatregnskap!A2</f>
        <v>Virksomhetens navn: Bergen Arkitekthøgskole</v>
      </c>
    </row>
    <row r="4" spans="1:5" ht="14.25" x14ac:dyDescent="0.2">
      <c r="A4" s="359" t="s">
        <v>431</v>
      </c>
      <c r="B4" s="359"/>
      <c r="C4" s="359"/>
      <c r="D4" s="359"/>
    </row>
    <row r="5" spans="1:5" ht="15" x14ac:dyDescent="0.25">
      <c r="A5" s="250" t="s">
        <v>432</v>
      </c>
    </row>
    <row r="6" spans="1:5" ht="18.600000000000001" customHeight="1" x14ac:dyDescent="0.25">
      <c r="A6" s="294" t="s">
        <v>433</v>
      </c>
      <c r="B6" s="296">
        <f>Resultatregnskap!C8</f>
        <v>45657</v>
      </c>
      <c r="C6" s="297">
        <f>Resultatregnskap!D8</f>
        <v>45291</v>
      </c>
      <c r="D6" s="297" t="str">
        <f>Resultatregnskap!E8</f>
        <v>DBH-referanse</v>
      </c>
    </row>
    <row r="7" spans="1:5" ht="15" customHeight="1" x14ac:dyDescent="0.25">
      <c r="A7" s="255"/>
      <c r="B7" s="298"/>
      <c r="C7" s="298"/>
      <c r="D7" s="251"/>
    </row>
    <row r="8" spans="1:5" ht="15" customHeight="1" x14ac:dyDescent="0.25">
      <c r="A8" s="255" t="s">
        <v>333</v>
      </c>
      <c r="B8" s="299">
        <f>'Note 1'!B43</f>
        <v>0</v>
      </c>
      <c r="C8" s="299">
        <f>'Note 1'!C43</f>
        <v>0</v>
      </c>
      <c r="D8" s="251" t="s">
        <v>444</v>
      </c>
    </row>
    <row r="9" spans="1:5" ht="15" customHeight="1" x14ac:dyDescent="0.25">
      <c r="A9" s="255" t="s">
        <v>268</v>
      </c>
      <c r="B9" s="299">
        <f>'Note 1'!B48</f>
        <v>0</v>
      </c>
      <c r="C9" s="299">
        <f>'Note 1'!C48</f>
        <v>512.322</v>
      </c>
      <c r="D9" s="251" t="s">
        <v>445</v>
      </c>
    </row>
    <row r="10" spans="1:5" ht="15" x14ac:dyDescent="0.25">
      <c r="A10" s="295" t="s">
        <v>453</v>
      </c>
      <c r="B10" s="300">
        <f>SUBTOTAL(9,B8:B9)</f>
        <v>0</v>
      </c>
      <c r="C10" s="300">
        <f t="shared" ref="C10" si="0">SUBTOTAL(9,C8:C9)</f>
        <v>512.322</v>
      </c>
      <c r="D10" s="252" t="s">
        <v>443</v>
      </c>
    </row>
    <row r="11" spans="1:5" ht="15" customHeight="1" x14ac:dyDescent="0.25">
      <c r="A11" s="253"/>
      <c r="B11" s="301"/>
      <c r="C11" s="301"/>
      <c r="D11" s="254"/>
    </row>
    <row r="12" spans="1:5" ht="15" x14ac:dyDescent="0.25">
      <c r="A12" s="255" t="s">
        <v>434</v>
      </c>
      <c r="B12" s="301">
        <f>'Note 1'!B22</f>
        <v>0</v>
      </c>
      <c r="C12" s="301">
        <f>'Note 1'!C22</f>
        <v>0</v>
      </c>
      <c r="D12" s="251" t="s">
        <v>446</v>
      </c>
    </row>
    <row r="13" spans="1:5" ht="15" x14ac:dyDescent="0.25">
      <c r="A13" s="364" t="s">
        <v>435</v>
      </c>
      <c r="B13" s="365">
        <f>'Note 1'!B38</f>
        <v>0</v>
      </c>
      <c r="C13" s="365">
        <f>'Note 1'!C38</f>
        <v>0</v>
      </c>
      <c r="D13" s="366" t="s">
        <v>447</v>
      </c>
      <c r="E13" s="367"/>
    </row>
    <row r="14" spans="1:5" ht="15" x14ac:dyDescent="0.25">
      <c r="A14" s="295" t="s">
        <v>436</v>
      </c>
      <c r="B14" s="300">
        <f>SUBTOTAL(9,B12:B13)</f>
        <v>0</v>
      </c>
      <c r="C14" s="300">
        <f t="shared" ref="C14" si="1">SUBTOTAL(9,C12:C13)</f>
        <v>0</v>
      </c>
      <c r="D14" s="252" t="s">
        <v>448</v>
      </c>
    </row>
    <row r="15" spans="1:5" ht="15" x14ac:dyDescent="0.25">
      <c r="A15" s="253"/>
      <c r="B15" s="301"/>
      <c r="C15" s="301"/>
      <c r="D15" s="254"/>
    </row>
    <row r="16" spans="1:5" ht="15" x14ac:dyDescent="0.25">
      <c r="A16" s="255" t="s">
        <v>437</v>
      </c>
      <c r="B16" s="301"/>
      <c r="C16" s="301"/>
      <c r="D16" s="254"/>
    </row>
    <row r="17" spans="1:4" ht="15" x14ac:dyDescent="0.25">
      <c r="A17" s="256" t="s">
        <v>438</v>
      </c>
      <c r="B17" s="301">
        <f>'Note 1'!B56</f>
        <v>326.41099999999994</v>
      </c>
      <c r="C17" s="301">
        <f>'Note 1'!C56</f>
        <v>144.69999999999999</v>
      </c>
      <c r="D17" s="254" t="s">
        <v>449</v>
      </c>
    </row>
    <row r="18" spans="1:4" ht="15" x14ac:dyDescent="0.25">
      <c r="A18" s="256" t="s">
        <v>439</v>
      </c>
      <c r="B18" s="301">
        <f>'Note 1'!B17</f>
        <v>0</v>
      </c>
      <c r="C18" s="301">
        <f>'Note 1'!C17</f>
        <v>0</v>
      </c>
      <c r="D18" s="254" t="s">
        <v>450</v>
      </c>
    </row>
    <row r="19" spans="1:4" ht="15" x14ac:dyDescent="0.25">
      <c r="A19" s="256" t="s">
        <v>440</v>
      </c>
      <c r="B19" s="301">
        <f>'Note 1'!B73</f>
        <v>0</v>
      </c>
      <c r="C19" s="301">
        <f>'Note 1'!C73</f>
        <v>0</v>
      </c>
      <c r="D19" s="254" t="s">
        <v>451</v>
      </c>
    </row>
    <row r="20" spans="1:4" ht="15" x14ac:dyDescent="0.25">
      <c r="A20" s="295" t="s">
        <v>441</v>
      </c>
      <c r="B20" s="300">
        <f>SUBTOTAL(9,B17:B19)</f>
        <v>326.41099999999994</v>
      </c>
      <c r="C20" s="300">
        <f t="shared" ref="C20" si="2">SUBTOTAL(9,C17:C19)</f>
        <v>144.69999999999999</v>
      </c>
      <c r="D20" s="252" t="s">
        <v>452</v>
      </c>
    </row>
    <row r="21" spans="1:4" x14ac:dyDescent="0.2">
      <c r="A21" s="132"/>
    </row>
    <row r="22" spans="1:4" ht="15" customHeight="1" x14ac:dyDescent="0.2">
      <c r="A22" s="653" t="s">
        <v>605</v>
      </c>
      <c r="B22" s="653"/>
      <c r="C22" s="653"/>
      <c r="D22" s="653"/>
    </row>
    <row r="23" spans="1:4" ht="12.75" customHeight="1" x14ac:dyDescent="0.2">
      <c r="A23" s="653"/>
      <c r="B23" s="653"/>
      <c r="C23" s="653"/>
      <c r="D23" s="653"/>
    </row>
    <row r="27" spans="1:4" x14ac:dyDescent="0.2">
      <c r="D27"/>
    </row>
    <row r="28" spans="1:4" x14ac:dyDescent="0.2">
      <c r="D28"/>
    </row>
    <row r="29" spans="1:4" x14ac:dyDescent="0.2">
      <c r="D29"/>
    </row>
    <row r="30" spans="1:4" x14ac:dyDescent="0.2">
      <c r="D30"/>
    </row>
    <row r="31" spans="1:4" x14ac:dyDescent="0.2">
      <c r="D31"/>
    </row>
    <row r="32" spans="1:4" x14ac:dyDescent="0.2">
      <c r="D32"/>
    </row>
    <row r="33" spans="4:4" x14ac:dyDescent="0.2">
      <c r="D33"/>
    </row>
    <row r="34" spans="4:4" x14ac:dyDescent="0.2">
      <c r="D34"/>
    </row>
    <row r="35" spans="4:4" x14ac:dyDescent="0.2">
      <c r="D35"/>
    </row>
    <row r="36" spans="4:4" x14ac:dyDescent="0.2">
      <c r="D36"/>
    </row>
    <row r="37" spans="4:4" x14ac:dyDescent="0.2">
      <c r="D37"/>
    </row>
    <row r="38" spans="4:4" x14ac:dyDescent="0.2">
      <c r="D38"/>
    </row>
    <row r="39" spans="4:4" x14ac:dyDescent="0.2">
      <c r="D39"/>
    </row>
    <row r="40" spans="4:4" x14ac:dyDescent="0.2">
      <c r="D40"/>
    </row>
    <row r="41" spans="4:4" x14ac:dyDescent="0.2">
      <c r="D41"/>
    </row>
    <row r="42" spans="4:4" x14ac:dyDescent="0.2">
      <c r="D42"/>
    </row>
    <row r="43" spans="4:4" x14ac:dyDescent="0.2">
      <c r="D43"/>
    </row>
    <row r="44" spans="4:4" x14ac:dyDescent="0.2">
      <c r="D44"/>
    </row>
    <row r="45" spans="4:4" x14ac:dyDescent="0.2">
      <c r="D45"/>
    </row>
    <row r="46" spans="4:4" x14ac:dyDescent="0.2">
      <c r="D46"/>
    </row>
    <row r="47" spans="4:4" x14ac:dyDescent="0.2">
      <c r="D47"/>
    </row>
    <row r="48" spans="4:4" x14ac:dyDescent="0.2">
      <c r="D48"/>
    </row>
  </sheetData>
  <mergeCells count="1">
    <mergeCell ref="A22:D23"/>
  </mergeCells>
  <pageMargins left="0.7" right="0.7" top="0.75" bottom="0.75" header="0.3" footer="0.3"/>
  <pageSetup paperSize="9"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J61"/>
  <sheetViews>
    <sheetView topLeftCell="A28" workbookViewId="0">
      <selection activeCell="C56" sqref="C56"/>
    </sheetView>
  </sheetViews>
  <sheetFormatPr baseColWidth="10" defaultColWidth="17.28515625" defaultRowHeight="15.75" customHeight="1" x14ac:dyDescent="0.25"/>
  <cols>
    <col min="1" max="1" width="51.42578125" style="345" bestFit="1" customWidth="1"/>
    <col min="2" max="2" width="8.7109375" style="169" customWidth="1"/>
    <col min="3" max="4" width="11.42578125" style="350" customWidth="1"/>
    <col min="5" max="5" width="13.7109375" style="78" bestFit="1" customWidth="1"/>
    <col min="6" max="6" width="14.42578125" style="345" customWidth="1"/>
    <col min="7" max="16384" width="17.28515625" style="345"/>
  </cols>
  <sheetData>
    <row r="2" spans="1:10" ht="15" customHeight="1" x14ac:dyDescent="0.25">
      <c r="A2" s="341" t="str">
        <f>Resultatregnskap!A2</f>
        <v>Virksomhetens navn: Bergen Arkitekthøgskole</v>
      </c>
      <c r="B2" s="168"/>
      <c r="C2" s="99"/>
      <c r="D2" s="99"/>
      <c r="E2" s="137"/>
      <c r="F2" s="1"/>
    </row>
    <row r="3" spans="1:10" s="42" customFormat="1" ht="15" customHeight="1" x14ac:dyDescent="0.25">
      <c r="A3" s="346"/>
      <c r="B3" s="168"/>
      <c r="C3" s="99"/>
      <c r="D3" s="99"/>
      <c r="E3" s="137"/>
      <c r="F3" s="1"/>
    </row>
    <row r="4" spans="1:10" ht="15" customHeight="1" x14ac:dyDescent="0.25">
      <c r="A4" s="17" t="s">
        <v>72</v>
      </c>
      <c r="B4" s="18"/>
      <c r="C4" s="86"/>
      <c r="D4" s="86"/>
      <c r="E4" s="86"/>
      <c r="F4" s="1"/>
    </row>
    <row r="5" spans="1:10" s="42" customFormat="1" ht="15" customHeight="1" x14ac:dyDescent="0.25">
      <c r="A5" s="15" t="str">
        <f>Resultatregnskap!A6</f>
        <v>Beløp i 1000 kroner</v>
      </c>
      <c r="B5" s="189"/>
      <c r="C5" s="139"/>
      <c r="D5" s="139"/>
      <c r="E5" s="139"/>
      <c r="F5" s="1"/>
    </row>
    <row r="6" spans="1:10" ht="15" customHeight="1" x14ac:dyDescent="0.25">
      <c r="A6" s="43"/>
      <c r="B6" s="7"/>
      <c r="C6" s="101"/>
      <c r="D6" s="102"/>
      <c r="E6" s="137"/>
      <c r="F6" s="1"/>
    </row>
    <row r="7" spans="1:10" ht="18" customHeight="1" x14ac:dyDescent="0.25">
      <c r="A7" s="36" t="s">
        <v>73</v>
      </c>
      <c r="B7" s="44" t="s">
        <v>27</v>
      </c>
      <c r="C7" s="454">
        <f>Resultatregnskap!C8</f>
        <v>45657</v>
      </c>
      <c r="D7" s="334">
        <v>45291</v>
      </c>
      <c r="E7" s="143" t="str">
        <f>Resultatregnskap!E8</f>
        <v>DBH-referanse</v>
      </c>
      <c r="F7" s="1"/>
      <c r="G7" s="553"/>
    </row>
    <row r="8" spans="1:10" ht="15" customHeight="1" x14ac:dyDescent="0.25">
      <c r="A8" s="45" t="s">
        <v>74</v>
      </c>
      <c r="B8" s="22"/>
      <c r="C8" s="92"/>
      <c r="D8" s="116"/>
      <c r="E8" s="144"/>
      <c r="F8" s="1"/>
      <c r="G8" s="1"/>
      <c r="H8" s="1"/>
      <c r="I8" s="1"/>
      <c r="J8" s="1"/>
    </row>
    <row r="9" spans="1:10" ht="15" customHeight="1" x14ac:dyDescent="0.25">
      <c r="A9" s="48"/>
      <c r="B9" s="22"/>
      <c r="C9" s="89"/>
      <c r="D9" s="75"/>
      <c r="E9" s="144"/>
      <c r="F9" s="1"/>
      <c r="G9" s="1"/>
      <c r="H9" s="1"/>
      <c r="I9" s="1"/>
      <c r="J9" s="1"/>
    </row>
    <row r="10" spans="1:10" ht="15" customHeight="1" x14ac:dyDescent="0.25">
      <c r="A10" s="45" t="s">
        <v>75</v>
      </c>
      <c r="B10" s="22"/>
      <c r="C10" s="89"/>
      <c r="D10" s="75"/>
      <c r="E10" s="144"/>
      <c r="F10" s="1"/>
      <c r="G10" s="1"/>
      <c r="H10" s="1"/>
      <c r="I10" s="1"/>
      <c r="J10" s="1"/>
    </row>
    <row r="11" spans="1:10" ht="15" customHeight="1" x14ac:dyDescent="0.25">
      <c r="A11" s="49" t="s">
        <v>872</v>
      </c>
      <c r="B11" s="22">
        <v>7</v>
      </c>
      <c r="C11" s="89">
        <f>434/1000</f>
        <v>0.434</v>
      </c>
      <c r="D11" s="577">
        <f>34094/1000</f>
        <v>34.094000000000001</v>
      </c>
      <c r="E11" s="145" t="s">
        <v>76</v>
      </c>
      <c r="F11" s="1"/>
      <c r="G11" s="1"/>
      <c r="H11" s="1"/>
      <c r="I11" s="1"/>
      <c r="J11" s="1"/>
    </row>
    <row r="12" spans="1:10" ht="15" customHeight="1" x14ac:dyDescent="0.25">
      <c r="A12" s="49" t="s">
        <v>763</v>
      </c>
      <c r="B12" s="22"/>
      <c r="C12" s="89">
        <v>0</v>
      </c>
      <c r="D12" s="577">
        <v>0</v>
      </c>
      <c r="E12" s="145" t="s">
        <v>77</v>
      </c>
      <c r="F12" s="1"/>
      <c r="G12" s="1"/>
      <c r="H12" s="1"/>
      <c r="I12" s="1"/>
      <c r="J12" s="1"/>
    </row>
    <row r="13" spans="1:10" ht="15" customHeight="1" x14ac:dyDescent="0.25">
      <c r="A13" s="368" t="s">
        <v>764</v>
      </c>
      <c r="B13" s="30"/>
      <c r="C13" s="305">
        <v>0</v>
      </c>
      <c r="D13" s="577">
        <v>0</v>
      </c>
      <c r="E13" s="375" t="s">
        <v>78</v>
      </c>
      <c r="F13" s="1"/>
      <c r="G13" s="1"/>
      <c r="H13" s="1"/>
      <c r="I13" s="1"/>
      <c r="J13" s="1"/>
    </row>
    <row r="14" spans="1:10" ht="15" customHeight="1" x14ac:dyDescent="0.25">
      <c r="A14" s="51" t="s">
        <v>79</v>
      </c>
      <c r="B14" s="37"/>
      <c r="C14" s="90">
        <f>SUBTOTAL(9,C11:C13)</f>
        <v>0.434</v>
      </c>
      <c r="D14" s="122">
        <f>SUBTOTAL(9,D11:D13)</f>
        <v>34.094000000000001</v>
      </c>
      <c r="E14" s="143" t="s">
        <v>80</v>
      </c>
      <c r="F14" s="1"/>
      <c r="G14" s="1"/>
      <c r="H14" s="1"/>
      <c r="I14" s="1"/>
      <c r="J14" s="1"/>
    </row>
    <row r="15" spans="1:10" ht="15" customHeight="1" x14ac:dyDescent="0.25">
      <c r="A15" s="48"/>
      <c r="B15" s="22"/>
      <c r="C15" s="92"/>
      <c r="D15" s="116"/>
      <c r="E15" s="144"/>
      <c r="F15" s="1"/>
      <c r="G15" s="1"/>
      <c r="H15" s="1"/>
      <c r="I15" s="1"/>
      <c r="J15" s="1"/>
    </row>
    <row r="16" spans="1:10" ht="15" customHeight="1" x14ac:dyDescent="0.25">
      <c r="A16" s="45" t="s">
        <v>81</v>
      </c>
      <c r="B16" s="22"/>
      <c r="C16" s="89"/>
      <c r="D16" s="75"/>
      <c r="E16" s="144"/>
      <c r="F16" s="1"/>
      <c r="G16" s="1"/>
      <c r="H16" s="1"/>
      <c r="I16" s="1"/>
      <c r="J16" s="1"/>
    </row>
    <row r="17" spans="1:10" ht="15" customHeight="1" x14ac:dyDescent="0.25">
      <c r="A17" s="49" t="s">
        <v>82</v>
      </c>
      <c r="B17" s="22">
        <v>8</v>
      </c>
      <c r="C17" s="89">
        <v>0</v>
      </c>
      <c r="D17" s="577">
        <v>0</v>
      </c>
      <c r="E17" s="145" t="s">
        <v>83</v>
      </c>
      <c r="F17" s="1"/>
      <c r="G17" s="1"/>
      <c r="H17" s="1"/>
      <c r="I17" s="1"/>
      <c r="J17" s="1"/>
    </row>
    <row r="18" spans="1:10" ht="15" customHeight="1" x14ac:dyDescent="0.25">
      <c r="A18" s="49" t="s">
        <v>84</v>
      </c>
      <c r="B18" s="22">
        <v>8</v>
      </c>
      <c r="C18" s="89">
        <v>0</v>
      </c>
      <c r="D18" s="577">
        <v>0</v>
      </c>
      <c r="E18" s="145" t="s">
        <v>85</v>
      </c>
      <c r="F18" s="1"/>
      <c r="G18" s="1"/>
      <c r="H18" s="1"/>
      <c r="I18" s="1"/>
      <c r="J18" s="1"/>
    </row>
    <row r="19" spans="1:10" ht="15" customHeight="1" x14ac:dyDescent="0.25">
      <c r="A19" s="49" t="s">
        <v>86</v>
      </c>
      <c r="B19" s="22">
        <v>8</v>
      </c>
      <c r="C19" s="89">
        <f>444441/1000</f>
        <v>444.44099999999997</v>
      </c>
      <c r="D19" s="577">
        <f>407557/1000</f>
        <v>407.55700000000002</v>
      </c>
      <c r="E19" s="145" t="s">
        <v>87</v>
      </c>
      <c r="F19" s="1"/>
      <c r="G19" s="1"/>
      <c r="H19" s="1"/>
      <c r="I19" s="1"/>
      <c r="J19" s="1"/>
    </row>
    <row r="20" spans="1:10" ht="15" customHeight="1" x14ac:dyDescent="0.25">
      <c r="A20" s="49" t="s">
        <v>765</v>
      </c>
      <c r="B20" s="22">
        <v>8</v>
      </c>
      <c r="C20" s="89">
        <v>0</v>
      </c>
      <c r="D20" s="577">
        <v>0</v>
      </c>
      <c r="E20" s="145" t="s">
        <v>88</v>
      </c>
      <c r="F20" s="1"/>
      <c r="G20" s="1"/>
      <c r="H20" s="1"/>
      <c r="I20" s="1"/>
      <c r="J20" s="1"/>
    </row>
    <row r="21" spans="1:10" ht="15" customHeight="1" x14ac:dyDescent="0.25">
      <c r="A21" s="51" t="s">
        <v>90</v>
      </c>
      <c r="B21" s="37"/>
      <c r="C21" s="90">
        <f>SUBTOTAL(9,C17:C20)</f>
        <v>444.44099999999997</v>
      </c>
      <c r="D21" s="122">
        <f>SUBTOTAL(9,D17:D20)</f>
        <v>407.55700000000002</v>
      </c>
      <c r="E21" s="143" t="s">
        <v>91</v>
      </c>
      <c r="F21" s="1"/>
      <c r="G21" s="1"/>
      <c r="H21" s="1"/>
      <c r="I21" s="1"/>
      <c r="J21" s="1"/>
    </row>
    <row r="22" spans="1:10" ht="15" customHeight="1" x14ac:dyDescent="0.25">
      <c r="A22" s="48"/>
      <c r="B22" s="22"/>
      <c r="C22" s="92"/>
      <c r="D22" s="116"/>
      <c r="E22" s="144"/>
      <c r="F22" s="1"/>
      <c r="G22" s="1"/>
      <c r="H22" s="1"/>
      <c r="I22" s="1"/>
      <c r="J22" s="1"/>
    </row>
    <row r="23" spans="1:10" ht="15" customHeight="1" x14ac:dyDescent="0.25">
      <c r="A23" s="45" t="s">
        <v>92</v>
      </c>
      <c r="B23" s="22"/>
      <c r="C23" s="89"/>
      <c r="D23" s="75"/>
      <c r="E23" s="144"/>
      <c r="F23" s="1"/>
      <c r="G23" s="1"/>
      <c r="H23" s="1"/>
      <c r="I23" s="1"/>
      <c r="J23" s="1"/>
    </row>
    <row r="24" spans="1:10" ht="15" customHeight="1" x14ac:dyDescent="0.25">
      <c r="A24" s="49" t="s">
        <v>792</v>
      </c>
      <c r="B24" s="22"/>
      <c r="C24" s="89">
        <f>4500000/1000</f>
        <v>4500</v>
      </c>
      <c r="D24" s="577">
        <f>4500000/1000</f>
        <v>4500</v>
      </c>
      <c r="E24" s="145" t="s">
        <v>93</v>
      </c>
      <c r="F24" s="1"/>
      <c r="G24" s="1"/>
      <c r="H24" s="1"/>
      <c r="I24" s="1"/>
      <c r="J24" s="1"/>
    </row>
    <row r="25" spans="1:10" ht="15" customHeight="1" x14ac:dyDescent="0.25">
      <c r="A25" s="49" t="s">
        <v>793</v>
      </c>
      <c r="B25" s="22"/>
      <c r="C25" s="89">
        <v>0</v>
      </c>
      <c r="D25" s="577">
        <v>0</v>
      </c>
      <c r="E25" s="145" t="s">
        <v>94</v>
      </c>
      <c r="F25" s="1"/>
      <c r="G25" s="1"/>
      <c r="H25" s="1"/>
      <c r="I25" s="1"/>
      <c r="J25" s="1"/>
    </row>
    <row r="26" spans="1:10" ht="15" customHeight="1" x14ac:dyDescent="0.25">
      <c r="A26" s="49" t="s">
        <v>95</v>
      </c>
      <c r="B26" s="22">
        <v>6</v>
      </c>
      <c r="C26" s="89">
        <f>1153276/1000</f>
        <v>1153.2760000000001</v>
      </c>
      <c r="D26" s="577">
        <f>1267352/1000</f>
        <v>1267.3520000000001</v>
      </c>
      <c r="E26" s="145" t="s">
        <v>96</v>
      </c>
      <c r="F26" s="1"/>
      <c r="G26" s="1"/>
      <c r="H26" s="1"/>
      <c r="I26" s="1"/>
      <c r="J26" s="1"/>
    </row>
    <row r="27" spans="1:10" ht="15" customHeight="1" x14ac:dyDescent="0.25">
      <c r="A27" s="49" t="s">
        <v>794</v>
      </c>
      <c r="B27" s="22"/>
      <c r="C27" s="89">
        <v>0</v>
      </c>
      <c r="D27" s="577">
        <v>0</v>
      </c>
      <c r="E27" s="145" t="s">
        <v>97</v>
      </c>
      <c r="F27" s="1"/>
      <c r="G27" s="1"/>
      <c r="H27" s="1"/>
      <c r="I27" s="1"/>
      <c r="J27" s="1"/>
    </row>
    <row r="28" spans="1:10" ht="15" customHeight="1" x14ac:dyDescent="0.25">
      <c r="A28" s="49" t="s">
        <v>796</v>
      </c>
      <c r="B28" s="22">
        <v>6</v>
      </c>
      <c r="C28" s="89">
        <v>0</v>
      </c>
      <c r="D28" s="577">
        <v>0</v>
      </c>
      <c r="E28" s="145" t="s">
        <v>98</v>
      </c>
      <c r="F28" s="1"/>
      <c r="G28" s="1"/>
      <c r="H28" s="1"/>
      <c r="I28" s="1"/>
      <c r="J28" s="1"/>
    </row>
    <row r="29" spans="1:10" ht="15" customHeight="1" x14ac:dyDescent="0.25">
      <c r="A29" s="49" t="s">
        <v>795</v>
      </c>
      <c r="B29" s="22"/>
      <c r="C29" s="89">
        <v>0</v>
      </c>
      <c r="D29" s="577">
        <v>0</v>
      </c>
      <c r="E29" s="145" t="s">
        <v>99</v>
      </c>
      <c r="F29" s="1"/>
      <c r="G29" s="1"/>
      <c r="H29" s="1"/>
      <c r="I29" s="1"/>
      <c r="J29" s="1"/>
    </row>
    <row r="30" spans="1:10" ht="15" customHeight="1" x14ac:dyDescent="0.25">
      <c r="A30" s="49" t="s">
        <v>797</v>
      </c>
      <c r="B30" s="22"/>
      <c r="C30" s="89">
        <v>0</v>
      </c>
      <c r="D30" s="577">
        <v>0</v>
      </c>
      <c r="E30" s="145" t="s">
        <v>100</v>
      </c>
      <c r="F30" s="1"/>
      <c r="G30" s="1"/>
      <c r="H30" s="1"/>
      <c r="I30" s="1"/>
      <c r="J30" s="1"/>
    </row>
    <row r="31" spans="1:10" ht="15" customHeight="1" x14ac:dyDescent="0.25">
      <c r="A31" s="50" t="s">
        <v>798</v>
      </c>
      <c r="B31" s="30"/>
      <c r="C31" s="89">
        <f>7000/1000</f>
        <v>7</v>
      </c>
      <c r="D31" s="577">
        <f>7000/1000</f>
        <v>7</v>
      </c>
      <c r="E31" s="145" t="s">
        <v>766</v>
      </c>
      <c r="F31" s="1"/>
      <c r="G31" s="1"/>
      <c r="H31" s="1"/>
      <c r="I31" s="1"/>
      <c r="J31" s="1"/>
    </row>
    <row r="32" spans="1:10" ht="15" customHeight="1" x14ac:dyDescent="0.25">
      <c r="A32" s="51" t="s">
        <v>101</v>
      </c>
      <c r="B32" s="37"/>
      <c r="C32" s="90">
        <f>SUBTOTAL(9,C24:C31)</f>
        <v>5660.2759999999998</v>
      </c>
      <c r="D32" s="122">
        <f>SUBTOTAL(9,D24:D31)</f>
        <v>5774.3519999999999</v>
      </c>
      <c r="E32" s="143" t="s">
        <v>102</v>
      </c>
      <c r="F32" s="1"/>
      <c r="G32" s="1"/>
      <c r="H32" s="1"/>
      <c r="I32" s="1"/>
      <c r="J32" s="1"/>
    </row>
    <row r="33" spans="1:10" ht="15" customHeight="1" x14ac:dyDescent="0.25">
      <c r="A33" s="48"/>
      <c r="B33" s="22"/>
      <c r="C33" s="92"/>
      <c r="D33" s="116"/>
      <c r="E33" s="144"/>
      <c r="F33" s="1"/>
      <c r="G33" s="1"/>
      <c r="H33" s="1"/>
      <c r="I33" s="1"/>
      <c r="J33" s="1"/>
    </row>
    <row r="34" spans="1:10" ht="15" customHeight="1" x14ac:dyDescent="0.25">
      <c r="A34" s="45" t="s">
        <v>103</v>
      </c>
      <c r="B34" s="22"/>
      <c r="C34" s="89"/>
      <c r="D34" s="75"/>
      <c r="E34" s="144"/>
      <c r="F34" s="1"/>
      <c r="G34" s="1"/>
      <c r="H34" s="1"/>
      <c r="I34" s="1"/>
      <c r="J34" s="1"/>
    </row>
    <row r="35" spans="1:10" ht="15" customHeight="1" x14ac:dyDescent="0.25">
      <c r="A35" s="48"/>
      <c r="B35" s="22"/>
      <c r="C35" s="89"/>
      <c r="D35" s="75"/>
      <c r="E35" s="144"/>
      <c r="F35" s="1"/>
      <c r="G35" s="1"/>
      <c r="H35" s="1"/>
      <c r="I35" s="1"/>
      <c r="J35" s="1"/>
    </row>
    <row r="36" spans="1:10" ht="15" customHeight="1" x14ac:dyDescent="0.25">
      <c r="A36" s="45" t="s">
        <v>104</v>
      </c>
      <c r="B36" s="22"/>
      <c r="C36" s="89"/>
      <c r="D36" s="75"/>
      <c r="E36" s="144"/>
      <c r="F36" s="1"/>
      <c r="G36" s="1"/>
      <c r="H36" s="1"/>
      <c r="I36" s="1"/>
      <c r="J36" s="1"/>
    </row>
    <row r="37" spans="1:10" ht="15" customHeight="1" x14ac:dyDescent="0.25">
      <c r="A37" s="49" t="s">
        <v>767</v>
      </c>
      <c r="B37" s="22"/>
      <c r="C37" s="89">
        <v>0</v>
      </c>
      <c r="D37" s="121">
        <v>0</v>
      </c>
      <c r="E37" s="145" t="s">
        <v>105</v>
      </c>
      <c r="F37" s="1"/>
      <c r="G37" s="1"/>
      <c r="H37" s="1"/>
      <c r="I37" s="1"/>
      <c r="J37" s="1"/>
    </row>
    <row r="38" spans="1:10" ht="15" customHeight="1" x14ac:dyDescent="0.25">
      <c r="A38" s="51" t="s">
        <v>106</v>
      </c>
      <c r="B38" s="37"/>
      <c r="C38" s="90">
        <f>SUBTOTAL(9,C37)</f>
        <v>0</v>
      </c>
      <c r="D38" s="122">
        <f>SUBTOTAL(9,D37)</f>
        <v>0</v>
      </c>
      <c r="E38" s="143" t="s">
        <v>107</v>
      </c>
      <c r="F38" s="1"/>
      <c r="G38" s="1"/>
      <c r="H38" s="1"/>
      <c r="I38" s="1"/>
      <c r="J38" s="1"/>
    </row>
    <row r="39" spans="1:10" ht="15" customHeight="1" x14ac:dyDescent="0.25">
      <c r="A39" s="52"/>
      <c r="B39" s="22"/>
      <c r="C39" s="103"/>
      <c r="D39" s="116"/>
      <c r="E39" s="144"/>
      <c r="F39" s="1"/>
      <c r="G39" s="1"/>
      <c r="H39" s="1"/>
      <c r="I39" s="1"/>
      <c r="J39" s="1"/>
    </row>
    <row r="40" spans="1:10" ht="15" customHeight="1" x14ac:dyDescent="0.25">
      <c r="A40" s="45" t="s">
        <v>108</v>
      </c>
      <c r="B40" s="22"/>
      <c r="C40" s="89"/>
      <c r="D40" s="75"/>
      <c r="E40" s="144"/>
      <c r="F40" s="1"/>
      <c r="G40" s="1"/>
      <c r="H40" s="1"/>
      <c r="I40" s="1"/>
      <c r="J40" s="1"/>
    </row>
    <row r="41" spans="1:10" ht="15" customHeight="1" x14ac:dyDescent="0.25">
      <c r="A41" s="49" t="s">
        <v>109</v>
      </c>
      <c r="B41" s="24">
        <v>9</v>
      </c>
      <c r="C41" s="89">
        <f>74073/1000</f>
        <v>74.072999999999993</v>
      </c>
      <c r="D41" s="577">
        <f>96592/1000</f>
        <v>96.591999999999999</v>
      </c>
      <c r="E41" s="145" t="s">
        <v>110</v>
      </c>
      <c r="F41" s="1"/>
      <c r="G41" s="1"/>
      <c r="H41" s="1"/>
      <c r="I41" s="1"/>
      <c r="J41" s="1"/>
    </row>
    <row r="42" spans="1:10" ht="15" customHeight="1" x14ac:dyDescent="0.25">
      <c r="A42" s="49" t="s">
        <v>111</v>
      </c>
      <c r="B42" s="24" t="s">
        <v>591</v>
      </c>
      <c r="C42" s="89">
        <f>810317/1000</f>
        <v>810.31700000000001</v>
      </c>
      <c r="D42" s="577">
        <f>663112/1000</f>
        <v>663.11199999999997</v>
      </c>
      <c r="E42" s="145" t="s">
        <v>112</v>
      </c>
      <c r="F42" s="1"/>
      <c r="G42" s="1"/>
      <c r="H42" s="1"/>
      <c r="I42" s="1"/>
      <c r="J42" s="1"/>
    </row>
    <row r="43" spans="1:10" ht="15" customHeight="1" x14ac:dyDescent="0.25">
      <c r="A43" s="326" t="s">
        <v>768</v>
      </c>
      <c r="B43" s="24"/>
      <c r="C43" s="89">
        <v>0</v>
      </c>
      <c r="D43" s="577">
        <v>0</v>
      </c>
      <c r="E43" s="145" t="s">
        <v>113</v>
      </c>
      <c r="F43" s="1"/>
      <c r="G43" s="1"/>
      <c r="H43" s="1"/>
      <c r="I43" s="1"/>
      <c r="J43" s="1"/>
    </row>
    <row r="44" spans="1:10" ht="15" customHeight="1" x14ac:dyDescent="0.25">
      <c r="A44" s="51" t="s">
        <v>114</v>
      </c>
      <c r="B44" s="37"/>
      <c r="C44" s="90">
        <f>SUBTOTAL(9,C41:C43)</f>
        <v>884.39</v>
      </c>
      <c r="D44" s="122">
        <f>SUBTOTAL(9,D41:D43)</f>
        <v>759.70399999999995</v>
      </c>
      <c r="E44" s="143" t="s">
        <v>115</v>
      </c>
      <c r="F44" s="1"/>
      <c r="G44" s="1"/>
      <c r="H44" s="1"/>
      <c r="I44" s="1"/>
      <c r="J44" s="1"/>
    </row>
    <row r="45" spans="1:10" ht="15" customHeight="1" x14ac:dyDescent="0.25">
      <c r="A45" s="48"/>
      <c r="B45" s="22"/>
      <c r="C45" s="92"/>
      <c r="D45" s="116"/>
      <c r="E45" s="144"/>
      <c r="F45" s="1"/>
      <c r="G45" s="1"/>
      <c r="H45" s="1"/>
      <c r="I45" s="1"/>
      <c r="J45" s="1"/>
    </row>
    <row r="46" spans="1:10" ht="15" customHeight="1" x14ac:dyDescent="0.25">
      <c r="A46" s="45" t="s">
        <v>116</v>
      </c>
      <c r="B46" s="22"/>
      <c r="C46" s="89"/>
      <c r="D46" s="75"/>
      <c r="E46" s="144"/>
      <c r="F46" s="1"/>
      <c r="G46" s="1"/>
      <c r="H46" s="1"/>
      <c r="I46" s="1"/>
      <c r="J46" s="1"/>
    </row>
    <row r="47" spans="1:10" ht="15" customHeight="1" x14ac:dyDescent="0.25">
      <c r="A47" s="49" t="s">
        <v>769</v>
      </c>
      <c r="B47" s="22"/>
      <c r="C47" s="89">
        <v>0</v>
      </c>
      <c r="D47" s="121">
        <v>0</v>
      </c>
      <c r="E47" s="145" t="s">
        <v>117</v>
      </c>
      <c r="F47" s="1"/>
      <c r="G47" s="1"/>
      <c r="H47" s="1"/>
      <c r="I47" s="1"/>
      <c r="J47" s="1"/>
    </row>
    <row r="48" spans="1:10" ht="15" customHeight="1" x14ac:dyDescent="0.25">
      <c r="A48" s="49" t="s">
        <v>772</v>
      </c>
      <c r="B48" s="22"/>
      <c r="C48" s="89">
        <v>0</v>
      </c>
      <c r="D48" s="121">
        <v>0</v>
      </c>
      <c r="E48" s="145" t="s">
        <v>118</v>
      </c>
      <c r="F48" s="1"/>
      <c r="G48" s="1"/>
      <c r="H48" s="1"/>
      <c r="I48" s="1"/>
      <c r="J48" s="1"/>
    </row>
    <row r="49" spans="1:10" ht="15" customHeight="1" x14ac:dyDescent="0.25">
      <c r="A49" s="49" t="s">
        <v>773</v>
      </c>
      <c r="B49" s="22"/>
      <c r="C49" s="89">
        <v>0</v>
      </c>
      <c r="D49" s="121">
        <v>0</v>
      </c>
      <c r="E49" s="145" t="s">
        <v>774</v>
      </c>
      <c r="F49" s="1"/>
      <c r="G49" s="1"/>
      <c r="H49" s="1"/>
      <c r="I49" s="1"/>
      <c r="J49" s="1"/>
    </row>
    <row r="50" spans="1:10" ht="15" customHeight="1" x14ac:dyDescent="0.25">
      <c r="A50" s="49" t="s">
        <v>873</v>
      </c>
      <c r="B50" s="22"/>
      <c r="C50" s="89">
        <v>0</v>
      </c>
      <c r="D50" s="121">
        <v>0</v>
      </c>
      <c r="E50" s="145" t="s">
        <v>874</v>
      </c>
      <c r="F50" s="1"/>
      <c r="G50" s="1"/>
      <c r="H50" s="1"/>
      <c r="I50" s="1"/>
      <c r="J50" s="1"/>
    </row>
    <row r="51" spans="1:10" ht="15" customHeight="1" x14ac:dyDescent="0.25">
      <c r="A51" s="50" t="s">
        <v>770</v>
      </c>
      <c r="B51" s="30"/>
      <c r="C51" s="89">
        <v>0</v>
      </c>
      <c r="D51" s="121">
        <v>0</v>
      </c>
      <c r="E51" s="145" t="s">
        <v>119</v>
      </c>
      <c r="F51" s="1"/>
      <c r="G51" s="1"/>
      <c r="H51" s="1"/>
      <c r="I51" s="1"/>
      <c r="J51" s="1"/>
    </row>
    <row r="52" spans="1:10" ht="15" customHeight="1" x14ac:dyDescent="0.25">
      <c r="A52" s="51" t="s">
        <v>120</v>
      </c>
      <c r="B52" s="37"/>
      <c r="C52" s="90">
        <f>SUBTOTAL(9,C47:C51)</f>
        <v>0</v>
      </c>
      <c r="D52" s="122">
        <f>SUBTOTAL(9,D47:D51)</f>
        <v>0</v>
      </c>
      <c r="E52" s="143" t="s">
        <v>121</v>
      </c>
      <c r="F52" s="1"/>
      <c r="G52" s="1"/>
      <c r="H52" s="1"/>
      <c r="I52" s="1"/>
      <c r="J52" s="1"/>
    </row>
    <row r="53" spans="1:10" ht="15" customHeight="1" x14ac:dyDescent="0.25">
      <c r="A53" s="48"/>
      <c r="B53" s="22"/>
      <c r="C53" s="92"/>
      <c r="D53" s="116"/>
      <c r="E53" s="144"/>
      <c r="F53" s="1"/>
      <c r="G53" s="1"/>
      <c r="H53" s="1"/>
      <c r="I53" s="1"/>
      <c r="J53" s="1"/>
    </row>
    <row r="54" spans="1:10" ht="15" customHeight="1" x14ac:dyDescent="0.25">
      <c r="A54" s="45" t="s">
        <v>122</v>
      </c>
      <c r="B54" s="22"/>
      <c r="C54" s="104"/>
      <c r="D54" s="75"/>
      <c r="E54" s="144"/>
      <c r="F54" s="1"/>
      <c r="G54" s="1"/>
      <c r="H54" s="1"/>
      <c r="I54" s="1"/>
      <c r="J54" s="1"/>
    </row>
    <row r="55" spans="1:10" ht="15" customHeight="1" x14ac:dyDescent="0.25">
      <c r="A55" s="49" t="s">
        <v>123</v>
      </c>
      <c r="B55" s="22"/>
      <c r="C55" s="89">
        <f>(15471880.39/1000)-C56</f>
        <v>15410.64177</v>
      </c>
      <c r="D55" s="577">
        <f>12684763/1000-D56</f>
        <v>12631.244000000001</v>
      </c>
      <c r="E55" s="145" t="s">
        <v>124</v>
      </c>
      <c r="F55" s="1"/>
      <c r="G55" s="1"/>
      <c r="H55" s="1"/>
      <c r="I55" s="1"/>
      <c r="J55" s="1"/>
    </row>
    <row r="56" spans="1:10" ht="15" customHeight="1" x14ac:dyDescent="0.25">
      <c r="A56" s="50" t="s">
        <v>125</v>
      </c>
      <c r="B56" s="30"/>
      <c r="C56" s="89">
        <f>(60600+638.62)/1000</f>
        <v>61.238620000000004</v>
      </c>
      <c r="D56" s="577">
        <f>53519/1000</f>
        <v>53.518999999999998</v>
      </c>
      <c r="E56" s="145" t="s">
        <v>126</v>
      </c>
      <c r="F56" s="1"/>
      <c r="G56" s="1"/>
      <c r="H56" s="1"/>
      <c r="I56" s="1"/>
      <c r="J56" s="1"/>
    </row>
    <row r="57" spans="1:10" ht="15" customHeight="1" x14ac:dyDescent="0.25">
      <c r="A57" s="51" t="s">
        <v>127</v>
      </c>
      <c r="B57" s="37"/>
      <c r="C57" s="90">
        <f>SUBTOTAL(9,C55:C56)</f>
        <v>15471.88039</v>
      </c>
      <c r="D57" s="122">
        <f>SUBTOTAL(9,D55:D56)</f>
        <v>12684.763000000001</v>
      </c>
      <c r="E57" s="143" t="s">
        <v>128</v>
      </c>
      <c r="F57" s="1"/>
      <c r="G57" s="1"/>
      <c r="H57" s="1"/>
      <c r="I57" s="1"/>
      <c r="J57" s="1"/>
    </row>
    <row r="58" spans="1:10" ht="15" customHeight="1" x14ac:dyDescent="0.25">
      <c r="A58" s="48"/>
      <c r="B58" s="22"/>
      <c r="C58" s="92"/>
      <c r="D58" s="116"/>
      <c r="E58" s="144"/>
      <c r="F58" s="1"/>
      <c r="G58" s="1"/>
      <c r="H58" s="1"/>
      <c r="I58" s="1"/>
      <c r="J58" s="1"/>
    </row>
    <row r="59" spans="1:10" ht="15" customHeight="1" x14ac:dyDescent="0.25">
      <c r="A59" s="322" t="s">
        <v>129</v>
      </c>
      <c r="B59" s="323"/>
      <c r="C59" s="324">
        <f>SUBTOTAL(9,C11:C57)</f>
        <v>22461.42139</v>
      </c>
      <c r="D59" s="325">
        <f>SUBTOTAL(9,D11:D57)</f>
        <v>19660.47</v>
      </c>
      <c r="E59" s="143" t="s">
        <v>130</v>
      </c>
      <c r="F59" s="1"/>
      <c r="G59" s="1"/>
      <c r="H59" s="1"/>
      <c r="I59" s="1"/>
      <c r="J59" s="1"/>
    </row>
    <row r="60" spans="1:10" ht="15" customHeight="1" x14ac:dyDescent="0.25">
      <c r="A60" s="1"/>
      <c r="B60" s="10"/>
      <c r="C60" s="348"/>
      <c r="D60" s="348"/>
      <c r="E60" s="137"/>
      <c r="F60" s="1"/>
    </row>
    <row r="61" spans="1:10" ht="15" customHeight="1" x14ac:dyDescent="0.25">
      <c r="A61" s="451" t="s">
        <v>771</v>
      </c>
      <c r="B61" s="345"/>
      <c r="C61" s="345"/>
      <c r="D61" s="345"/>
      <c r="E61" s="137"/>
      <c r="F61" s="1"/>
    </row>
  </sheetData>
  <pageMargins left="0.70866141732283472" right="0.51181102362204722" top="0.74803149606299213" bottom="0.74803149606299213" header="0.31496062992125984" footer="0.31496062992125984"/>
  <pageSetup paperSize="9" scale="82" orientation="portrait" r:id="rId1"/>
  <ignoredErrors>
    <ignoredError sqref="C45:D46 C15:D16 C22:D23 C33:D36 D14 D21" unlockedFormula="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I55"/>
  <sheetViews>
    <sheetView topLeftCell="A21" zoomScaleNormal="100" workbookViewId="0">
      <selection activeCell="C45" sqref="C45"/>
    </sheetView>
  </sheetViews>
  <sheetFormatPr baseColWidth="10" defaultColWidth="17.28515625" defaultRowHeight="15.75" customHeight="1" x14ac:dyDescent="0.25"/>
  <cols>
    <col min="1" max="1" width="37.5703125" style="345" customWidth="1"/>
    <col min="2" max="2" width="8" style="345" customWidth="1"/>
    <col min="3" max="3" width="12.5703125" style="345" customWidth="1"/>
    <col min="4" max="4" width="11.7109375" style="345" customWidth="1"/>
    <col min="5" max="5" width="13.7109375" style="55" bestFit="1" customWidth="1"/>
    <col min="6" max="6" width="11.42578125" style="345" customWidth="1"/>
    <col min="7" max="7" width="13" style="345" customWidth="1"/>
    <col min="8" max="9" width="11.42578125" style="345" customWidth="1"/>
    <col min="10" max="16384" width="17.28515625" style="345"/>
  </cols>
  <sheetData>
    <row r="2" spans="1:9" ht="15" customHeight="1" x14ac:dyDescent="0.25">
      <c r="A2" s="341" t="str">
        <f>Resultatregnskap!A2</f>
        <v>Virksomhetens navn: Bergen Arkitekthøgskole</v>
      </c>
      <c r="B2" s="41"/>
      <c r="C2" s="41"/>
      <c r="D2" s="41"/>
      <c r="E2" s="40"/>
      <c r="F2" s="1"/>
      <c r="G2" s="1"/>
      <c r="H2" s="1"/>
      <c r="I2" s="1"/>
    </row>
    <row r="4" spans="1:9" ht="15" customHeight="1" x14ac:dyDescent="0.25">
      <c r="A4" s="17" t="s">
        <v>131</v>
      </c>
      <c r="B4" s="18"/>
      <c r="C4" s="18"/>
      <c r="D4" s="18"/>
      <c r="E4" s="18"/>
      <c r="F4" s="1"/>
      <c r="G4" s="6"/>
      <c r="H4" s="1"/>
      <c r="I4" s="1"/>
    </row>
    <row r="5" spans="1:9" s="42" customFormat="1" ht="15" customHeight="1" x14ac:dyDescent="0.25">
      <c r="A5" s="15" t="str">
        <f>Resultatregnskap!A6</f>
        <v>Beløp i 1000 kroner</v>
      </c>
      <c r="B5" s="141"/>
      <c r="C5" s="141"/>
      <c r="D5" s="141"/>
      <c r="E5" s="141"/>
      <c r="F5" s="1"/>
      <c r="G5" s="6"/>
      <c r="H5" s="1"/>
      <c r="I5" s="1"/>
    </row>
    <row r="6" spans="1:9" ht="15" customHeight="1" x14ac:dyDescent="0.25">
      <c r="A6" s="190"/>
      <c r="B6" s="56"/>
      <c r="C6" s="56"/>
      <c r="D6" s="56"/>
      <c r="E6" s="40"/>
      <c r="F6" s="1"/>
      <c r="G6" s="1"/>
      <c r="H6" s="1"/>
      <c r="I6" s="1"/>
    </row>
    <row r="7" spans="1:9" ht="22.15" customHeight="1" x14ac:dyDescent="0.25">
      <c r="A7" s="57" t="s">
        <v>132</v>
      </c>
      <c r="B7" s="58" t="s">
        <v>27</v>
      </c>
      <c r="C7" s="166">
        <f>Resultatregnskap!C8</f>
        <v>45657</v>
      </c>
      <c r="D7" s="214">
        <f>'Balanse - eiendeler'!D7</f>
        <v>45291</v>
      </c>
      <c r="E7" s="125" t="str">
        <f>Resultatregnskap!E8</f>
        <v>DBH-referanse</v>
      </c>
      <c r="F7" s="1"/>
      <c r="G7" s="1"/>
      <c r="H7" s="1"/>
      <c r="I7" s="1"/>
    </row>
    <row r="8" spans="1:9" ht="15" customHeight="1" x14ac:dyDescent="0.25">
      <c r="A8" s="33"/>
      <c r="B8" s="33"/>
      <c r="C8" s="46"/>
      <c r="D8" s="47"/>
      <c r="E8" s="123"/>
      <c r="F8" s="1"/>
      <c r="G8" s="6"/>
      <c r="H8" s="1"/>
      <c r="I8" s="1"/>
    </row>
    <row r="9" spans="1:9" ht="15" customHeight="1" x14ac:dyDescent="0.25">
      <c r="A9" s="21" t="s">
        <v>133</v>
      </c>
      <c r="B9" s="33"/>
      <c r="C9" s="27"/>
      <c r="D9" s="28"/>
      <c r="E9" s="123"/>
      <c r="F9" s="1"/>
      <c r="G9" s="1"/>
      <c r="H9" s="1"/>
      <c r="I9" s="1"/>
    </row>
    <row r="10" spans="1:9" ht="15" customHeight="1" x14ac:dyDescent="0.25">
      <c r="A10" s="33"/>
      <c r="B10" s="33"/>
      <c r="C10" s="27"/>
      <c r="D10" s="28"/>
      <c r="E10" s="123"/>
      <c r="F10" s="1"/>
      <c r="G10" s="11"/>
      <c r="H10" s="1"/>
      <c r="I10" s="1"/>
    </row>
    <row r="11" spans="1:9" ht="15" customHeight="1" x14ac:dyDescent="0.25">
      <c r="A11" s="21" t="s">
        <v>134</v>
      </c>
      <c r="B11" s="33"/>
      <c r="C11" s="27"/>
      <c r="D11" s="28"/>
      <c r="E11" s="123"/>
      <c r="F11" s="1"/>
      <c r="G11" s="11"/>
      <c r="H11" s="1"/>
      <c r="I11" s="1"/>
    </row>
    <row r="12" spans="1:9" ht="15" customHeight="1" x14ac:dyDescent="0.25">
      <c r="A12" s="35" t="s">
        <v>135</v>
      </c>
      <c r="B12" s="416">
        <v>12</v>
      </c>
      <c r="C12" s="27">
        <f>50000/1000</f>
        <v>50</v>
      </c>
      <c r="D12" s="578">
        <f>50000/1000</f>
        <v>50</v>
      </c>
      <c r="E12" s="124" t="s">
        <v>136</v>
      </c>
      <c r="F12" s="1"/>
      <c r="G12" s="1"/>
      <c r="H12" s="1"/>
      <c r="I12" s="1"/>
    </row>
    <row r="13" spans="1:9" ht="15" customHeight="1" x14ac:dyDescent="0.25">
      <c r="A13" s="376" t="s">
        <v>775</v>
      </c>
      <c r="B13" s="417">
        <v>12</v>
      </c>
      <c r="C13" s="379">
        <v>0</v>
      </c>
      <c r="D13" s="578">
        <v>0</v>
      </c>
      <c r="E13" s="124" t="s">
        <v>138</v>
      </c>
      <c r="F13" s="1"/>
      <c r="G13" s="1"/>
      <c r="H13" s="1"/>
      <c r="I13" s="1"/>
    </row>
    <row r="14" spans="1:9" ht="15" customHeight="1" x14ac:dyDescent="0.25">
      <c r="A14" s="25" t="s">
        <v>139</v>
      </c>
      <c r="B14" s="418">
        <v>12</v>
      </c>
      <c r="C14" s="27">
        <v>0</v>
      </c>
      <c r="D14" s="578">
        <v>0</v>
      </c>
      <c r="E14" s="124" t="s">
        <v>140</v>
      </c>
      <c r="F14" s="1"/>
      <c r="G14" s="1"/>
      <c r="H14" s="1"/>
      <c r="I14" s="1"/>
    </row>
    <row r="15" spans="1:9" ht="15" customHeight="1" x14ac:dyDescent="0.25">
      <c r="A15" s="36" t="s">
        <v>141</v>
      </c>
      <c r="B15" s="19"/>
      <c r="C15" s="31">
        <f>SUBTOTAL(9,C12:C14)</f>
        <v>50</v>
      </c>
      <c r="D15" s="32">
        <f>SUBTOTAL(9,D12:D14)</f>
        <v>50</v>
      </c>
      <c r="E15" s="125" t="s">
        <v>142</v>
      </c>
      <c r="F15" s="1"/>
      <c r="G15" s="1"/>
      <c r="H15" s="1"/>
      <c r="I15" s="1"/>
    </row>
    <row r="16" spans="1:9" ht="15" customHeight="1" x14ac:dyDescent="0.25">
      <c r="A16" s="33"/>
      <c r="B16" s="33"/>
      <c r="C16" s="46"/>
      <c r="D16" s="47"/>
      <c r="E16" s="123"/>
      <c r="F16" s="1"/>
      <c r="G16" s="553"/>
      <c r="H16" s="1"/>
      <c r="I16" s="1"/>
    </row>
    <row r="17" spans="1:9" ht="15" customHeight="1" x14ac:dyDescent="0.25">
      <c r="A17" s="21" t="s">
        <v>143</v>
      </c>
      <c r="B17" s="33"/>
      <c r="C17" s="27"/>
      <c r="D17" s="28"/>
      <c r="E17" s="123"/>
      <c r="F17" s="1"/>
      <c r="G17" s="1"/>
      <c r="H17" s="1"/>
      <c r="I17" s="1"/>
    </row>
    <row r="18" spans="1:9" ht="15" customHeight="1" x14ac:dyDescent="0.25">
      <c r="A18" s="35" t="s">
        <v>875</v>
      </c>
      <c r="B18" s="416">
        <v>12</v>
      </c>
      <c r="C18" s="27">
        <v>0</v>
      </c>
      <c r="D18" s="578">
        <v>0</v>
      </c>
      <c r="E18" s="124" t="s">
        <v>803</v>
      </c>
      <c r="F18" s="1"/>
      <c r="G18" s="1"/>
      <c r="H18" s="1"/>
      <c r="I18" s="1"/>
    </row>
    <row r="19" spans="1:9" ht="15" customHeight="1" x14ac:dyDescent="0.25">
      <c r="A19" s="25" t="s">
        <v>686</v>
      </c>
      <c r="B19" s="418">
        <v>12</v>
      </c>
      <c r="C19" s="27">
        <f>16811200/1000</f>
        <v>16811.2</v>
      </c>
      <c r="D19" s="578">
        <f>14956586/1000</f>
        <v>14956.585999999999</v>
      </c>
      <c r="E19" s="124" t="s">
        <v>804</v>
      </c>
      <c r="F19" s="1"/>
      <c r="G19" s="1"/>
      <c r="H19" s="1"/>
      <c r="I19" s="1"/>
    </row>
    <row r="20" spans="1:9" ht="15" customHeight="1" x14ac:dyDescent="0.25">
      <c r="A20" s="36" t="s">
        <v>144</v>
      </c>
      <c r="B20" s="19"/>
      <c r="C20" s="31">
        <f>SUBTOTAL(9,C18:C19)</f>
        <v>16811.2</v>
      </c>
      <c r="D20" s="32">
        <f>SUBTOTAL(9,D18:D19)</f>
        <v>14956.585999999999</v>
      </c>
      <c r="E20" s="125" t="s">
        <v>145</v>
      </c>
      <c r="F20" s="1"/>
      <c r="G20" s="1"/>
      <c r="H20" s="1"/>
      <c r="I20" s="1"/>
    </row>
    <row r="21" spans="1:9" ht="15" customHeight="1" x14ac:dyDescent="0.25">
      <c r="A21" s="59"/>
      <c r="B21" s="33"/>
      <c r="C21" s="53"/>
      <c r="D21" s="47"/>
      <c r="E21" s="123"/>
      <c r="F21" s="1"/>
      <c r="G21" s="1"/>
      <c r="H21" s="1"/>
      <c r="I21" s="1"/>
    </row>
    <row r="22" spans="1:9" ht="15" customHeight="1" x14ac:dyDescent="0.25">
      <c r="A22" s="327" t="s">
        <v>146</v>
      </c>
      <c r="B22" s="330"/>
      <c r="C22" s="328">
        <f>SUBTOTAL(9,C12:C20)</f>
        <v>16861.2</v>
      </c>
      <c r="D22" s="329">
        <f>SUBTOTAL(9,D12:D20)</f>
        <v>15006.585999999999</v>
      </c>
      <c r="E22" s="125" t="s">
        <v>147</v>
      </c>
      <c r="F22" s="1"/>
      <c r="G22" s="1"/>
      <c r="H22" s="1"/>
      <c r="I22" s="1"/>
    </row>
    <row r="23" spans="1:9" ht="15" customHeight="1" x14ac:dyDescent="0.25">
      <c r="A23" s="33"/>
      <c r="B23" s="33"/>
      <c r="C23" s="46"/>
      <c r="D23" s="47"/>
      <c r="E23" s="123"/>
      <c r="F23" s="1"/>
      <c r="G23" s="1"/>
      <c r="H23" s="1"/>
      <c r="I23" s="1"/>
    </row>
    <row r="24" spans="1:9" ht="15" customHeight="1" x14ac:dyDescent="0.25">
      <c r="A24" s="21" t="s">
        <v>148</v>
      </c>
      <c r="B24" s="33"/>
      <c r="C24" s="27"/>
      <c r="D24" s="28"/>
      <c r="E24" s="123"/>
      <c r="F24" s="1"/>
      <c r="G24" s="1"/>
      <c r="H24" s="1"/>
      <c r="I24" s="1"/>
    </row>
    <row r="25" spans="1:9" ht="15" customHeight="1" x14ac:dyDescent="0.25">
      <c r="A25" s="33"/>
      <c r="B25" s="33"/>
      <c r="C25" s="27"/>
      <c r="D25" s="28"/>
      <c r="E25" s="123"/>
      <c r="F25" s="1"/>
      <c r="G25" s="1"/>
      <c r="H25" s="1"/>
      <c r="I25" s="1"/>
    </row>
    <row r="26" spans="1:9" ht="15" customHeight="1" x14ac:dyDescent="0.25">
      <c r="A26" s="21" t="s">
        <v>149</v>
      </c>
      <c r="B26" s="33"/>
      <c r="C26" s="27"/>
      <c r="D26" s="28"/>
      <c r="E26" s="123"/>
      <c r="F26" s="1"/>
      <c r="G26" s="1"/>
      <c r="H26" s="1"/>
      <c r="I26" s="1"/>
    </row>
    <row r="27" spans="1:9" ht="15" customHeight="1" x14ac:dyDescent="0.25">
      <c r="A27" s="35" t="s">
        <v>776</v>
      </c>
      <c r="B27" s="33"/>
      <c r="C27" s="27">
        <v>0</v>
      </c>
      <c r="D27" s="27">
        <v>0</v>
      </c>
      <c r="E27" s="124" t="s">
        <v>150</v>
      </c>
      <c r="F27" s="1"/>
      <c r="G27" s="1"/>
      <c r="H27" s="1"/>
      <c r="I27" s="1"/>
    </row>
    <row r="28" spans="1:9" ht="15" customHeight="1" x14ac:dyDescent="0.25">
      <c r="A28" s="35" t="s">
        <v>791</v>
      </c>
      <c r="B28" s="33"/>
      <c r="C28" s="27">
        <v>0</v>
      </c>
      <c r="D28" s="27">
        <v>0</v>
      </c>
      <c r="E28" s="124" t="s">
        <v>151</v>
      </c>
      <c r="F28" s="1"/>
      <c r="G28" s="1"/>
      <c r="H28" s="1"/>
      <c r="I28" s="1"/>
    </row>
    <row r="29" spans="1:9" ht="15" customHeight="1" x14ac:dyDescent="0.25">
      <c r="A29" s="35" t="s">
        <v>789</v>
      </c>
      <c r="B29" s="33"/>
      <c r="C29" s="27">
        <v>0</v>
      </c>
      <c r="D29" s="27">
        <v>0</v>
      </c>
      <c r="E29" s="124" t="s">
        <v>152</v>
      </c>
      <c r="F29" s="1"/>
      <c r="G29" s="1"/>
      <c r="H29" s="1"/>
      <c r="I29" s="1"/>
    </row>
    <row r="30" spans="1:9" ht="15" customHeight="1" x14ac:dyDescent="0.25">
      <c r="A30" s="35" t="s">
        <v>790</v>
      </c>
      <c r="B30" s="33"/>
      <c r="C30" s="27">
        <v>0</v>
      </c>
      <c r="D30" s="27">
        <v>0</v>
      </c>
      <c r="E30" s="124" t="s">
        <v>153</v>
      </c>
      <c r="F30" s="1"/>
      <c r="G30" s="1"/>
      <c r="H30" s="1"/>
      <c r="I30" s="1"/>
    </row>
    <row r="31" spans="1:9" ht="15" customHeight="1" x14ac:dyDescent="0.25">
      <c r="A31" s="25" t="s">
        <v>788</v>
      </c>
      <c r="B31" s="39"/>
      <c r="C31" s="27">
        <v>0</v>
      </c>
      <c r="D31" s="27">
        <v>0</v>
      </c>
      <c r="E31" s="124" t="s">
        <v>154</v>
      </c>
      <c r="F31" s="1"/>
      <c r="G31" s="1"/>
      <c r="H31" s="1"/>
      <c r="I31" s="1"/>
    </row>
    <row r="32" spans="1:9" ht="15" customHeight="1" x14ac:dyDescent="0.25">
      <c r="A32" s="36" t="s">
        <v>155</v>
      </c>
      <c r="B32" s="19"/>
      <c r="C32" s="31">
        <f>SUBTOTAL(9,C27:C31)</f>
        <v>0</v>
      </c>
      <c r="D32" s="32">
        <f>SUBTOTAL(9,D27:D31)</f>
        <v>0</v>
      </c>
      <c r="E32" s="125" t="s">
        <v>156</v>
      </c>
      <c r="F32" s="119"/>
      <c r="G32" s="1"/>
      <c r="H32" s="1"/>
      <c r="I32" s="1"/>
    </row>
    <row r="33" spans="1:9" ht="15" customHeight="1" x14ac:dyDescent="0.25">
      <c r="A33" s="33"/>
      <c r="B33" s="33"/>
      <c r="C33" s="46"/>
      <c r="D33" s="47"/>
      <c r="E33" s="123"/>
      <c r="F33" s="1"/>
      <c r="G33" s="16"/>
      <c r="H33" s="1"/>
      <c r="I33" s="1"/>
    </row>
    <row r="34" spans="1:9" ht="15" customHeight="1" x14ac:dyDescent="0.25">
      <c r="A34" s="21" t="s">
        <v>157</v>
      </c>
      <c r="B34" s="33"/>
      <c r="C34" s="27"/>
      <c r="D34" s="28"/>
      <c r="E34" s="123"/>
      <c r="F34" s="1"/>
      <c r="G34" s="1"/>
      <c r="H34" s="1"/>
      <c r="I34" s="1"/>
    </row>
    <row r="35" spans="1:9" ht="15" customHeight="1" x14ac:dyDescent="0.25">
      <c r="A35" s="35" t="s">
        <v>785</v>
      </c>
      <c r="B35" s="22"/>
      <c r="C35" s="27">
        <v>0</v>
      </c>
      <c r="D35" s="27">
        <v>0</v>
      </c>
      <c r="E35" s="124" t="s">
        <v>158</v>
      </c>
      <c r="F35" s="1"/>
      <c r="G35" s="1"/>
      <c r="H35" s="1"/>
      <c r="I35" s="1"/>
    </row>
    <row r="36" spans="1:9" ht="15" customHeight="1" x14ac:dyDescent="0.25">
      <c r="A36" s="35" t="s">
        <v>787</v>
      </c>
      <c r="B36" s="22"/>
      <c r="C36" s="27">
        <v>0</v>
      </c>
      <c r="D36" s="27">
        <v>0</v>
      </c>
      <c r="E36" s="124" t="s">
        <v>159</v>
      </c>
      <c r="F36" s="1"/>
      <c r="G36" s="1"/>
      <c r="H36" s="1"/>
      <c r="I36" s="1"/>
    </row>
    <row r="37" spans="1:9" ht="15" customHeight="1" x14ac:dyDescent="0.25">
      <c r="A37" s="35" t="s">
        <v>160</v>
      </c>
      <c r="B37" s="22">
        <v>10</v>
      </c>
      <c r="C37" s="27">
        <v>0</v>
      </c>
      <c r="D37" s="27">
        <v>0</v>
      </c>
      <c r="E37" s="124" t="s">
        <v>161</v>
      </c>
      <c r="F37" s="1"/>
      <c r="G37" s="1"/>
      <c r="H37" s="1"/>
      <c r="I37" s="1"/>
    </row>
    <row r="38" spans="1:9" ht="15" customHeight="1" x14ac:dyDescent="0.25">
      <c r="A38" s="25" t="s">
        <v>162</v>
      </c>
      <c r="B38" s="332" t="s">
        <v>618</v>
      </c>
      <c r="C38" s="27">
        <v>0</v>
      </c>
      <c r="D38" s="27">
        <v>0</v>
      </c>
      <c r="E38" s="124" t="s">
        <v>163</v>
      </c>
      <c r="F38" s="331"/>
      <c r="G38" s="1"/>
      <c r="H38" s="1"/>
      <c r="I38" s="1"/>
    </row>
    <row r="39" spans="1:9" ht="15" customHeight="1" x14ac:dyDescent="0.25">
      <c r="A39" s="36" t="s">
        <v>164</v>
      </c>
      <c r="B39" s="19"/>
      <c r="C39" s="31">
        <f>SUBTOTAL(9,C35:C38)</f>
        <v>0</v>
      </c>
      <c r="D39" s="32">
        <f>SUBTOTAL(9,D35:D38)</f>
        <v>0</v>
      </c>
      <c r="E39" s="125" t="s">
        <v>165</v>
      </c>
      <c r="F39" s="1"/>
      <c r="G39" s="1"/>
      <c r="H39" s="1"/>
      <c r="I39" s="1"/>
    </row>
    <row r="40" spans="1:9" ht="15" customHeight="1" x14ac:dyDescent="0.25">
      <c r="A40" s="33"/>
      <c r="B40" s="33"/>
      <c r="C40" s="46"/>
      <c r="D40" s="47"/>
      <c r="E40" s="123"/>
      <c r="F40" s="1"/>
      <c r="G40" s="1"/>
      <c r="H40" s="1"/>
      <c r="I40" s="1"/>
    </row>
    <row r="41" spans="1:9" ht="15" customHeight="1" x14ac:dyDescent="0.25">
      <c r="A41" s="21" t="s">
        <v>166</v>
      </c>
      <c r="B41" s="33"/>
      <c r="C41" s="27"/>
      <c r="D41" s="28"/>
      <c r="E41" s="123"/>
      <c r="F41" s="1"/>
      <c r="G41" s="1"/>
      <c r="H41" s="1"/>
      <c r="I41" s="1"/>
    </row>
    <row r="42" spans="1:9" ht="15" customHeight="1" x14ac:dyDescent="0.25">
      <c r="A42" s="35" t="s">
        <v>785</v>
      </c>
      <c r="B42" s="33"/>
      <c r="C42" s="27">
        <v>0</v>
      </c>
      <c r="D42" s="578">
        <v>0</v>
      </c>
      <c r="E42" s="124" t="s">
        <v>167</v>
      </c>
      <c r="F42" s="1"/>
      <c r="G42" s="1"/>
      <c r="H42" s="1"/>
      <c r="I42" s="1"/>
    </row>
    <row r="43" spans="1:9" ht="15" customHeight="1" x14ac:dyDescent="0.25">
      <c r="A43" s="35" t="s">
        <v>160</v>
      </c>
      <c r="B43" s="22">
        <v>10</v>
      </c>
      <c r="C43" s="27">
        <v>0</v>
      </c>
      <c r="D43" s="578">
        <v>0</v>
      </c>
      <c r="E43" s="124" t="s">
        <v>168</v>
      </c>
      <c r="F43" s="1"/>
      <c r="G43" s="1"/>
      <c r="H43" s="1"/>
      <c r="I43" s="1"/>
    </row>
    <row r="44" spans="1:9" ht="15" customHeight="1" x14ac:dyDescent="0.25">
      <c r="A44" s="35" t="s">
        <v>169</v>
      </c>
      <c r="B44" s="33"/>
      <c r="C44" s="27">
        <f>341828.74/1000</f>
        <v>341.82873999999998</v>
      </c>
      <c r="D44" s="578">
        <f>1065098/1000</f>
        <v>1065.098</v>
      </c>
      <c r="E44" s="124" t="s">
        <v>170</v>
      </c>
      <c r="F44" s="1"/>
      <c r="G44" s="1"/>
      <c r="H44" s="1"/>
      <c r="I44" s="1"/>
    </row>
    <row r="45" spans="1:9" ht="15" customHeight="1" x14ac:dyDescent="0.25">
      <c r="A45" s="35" t="s">
        <v>786</v>
      </c>
      <c r="B45" s="33"/>
      <c r="C45" s="27">
        <v>0</v>
      </c>
      <c r="D45" s="578">
        <v>0</v>
      </c>
      <c r="E45" s="124" t="s">
        <v>171</v>
      </c>
      <c r="F45" s="1"/>
      <c r="G45" s="1"/>
      <c r="H45" s="1"/>
      <c r="I45" s="1"/>
    </row>
    <row r="46" spans="1:9" ht="15" customHeight="1" x14ac:dyDescent="0.25">
      <c r="A46" s="35" t="s">
        <v>172</v>
      </c>
      <c r="B46" s="33"/>
      <c r="C46" s="27">
        <f>1024157.97/1000</f>
        <v>1024.15797</v>
      </c>
      <c r="D46" s="578">
        <f>1048229/1000</f>
        <v>1048.229</v>
      </c>
      <c r="E46" s="124" t="s">
        <v>173</v>
      </c>
      <c r="F46" s="1"/>
      <c r="G46" s="1"/>
      <c r="H46" s="1"/>
      <c r="I46" s="1"/>
    </row>
    <row r="47" spans="1:9" ht="15" customHeight="1" x14ac:dyDescent="0.25">
      <c r="A47" s="25" t="s">
        <v>174</v>
      </c>
      <c r="B47" s="30" t="s">
        <v>588</v>
      </c>
      <c r="C47" s="27">
        <f>4234236/1000</f>
        <v>4234.2359999999999</v>
      </c>
      <c r="D47" s="578">
        <f>2540557/1000</f>
        <v>2540.5569999999998</v>
      </c>
      <c r="E47" s="124" t="s">
        <v>175</v>
      </c>
      <c r="F47" s="1"/>
      <c r="G47" s="1"/>
      <c r="H47" s="1"/>
      <c r="I47" s="1"/>
    </row>
    <row r="48" spans="1:9" ht="15" customHeight="1" x14ac:dyDescent="0.25">
      <c r="A48" s="36" t="s">
        <v>176</v>
      </c>
      <c r="B48" s="19"/>
      <c r="C48" s="31">
        <f>SUBTOTAL(9,C42:C47)</f>
        <v>5600.22271</v>
      </c>
      <c r="D48" s="32">
        <f>SUBTOTAL(9,D42:D47)</f>
        <v>4653.884</v>
      </c>
      <c r="E48" s="125" t="s">
        <v>177</v>
      </c>
      <c r="F48" s="1"/>
      <c r="G48" s="1"/>
      <c r="H48" s="1"/>
      <c r="I48" s="1"/>
    </row>
    <row r="49" spans="1:9" ht="15" customHeight="1" x14ac:dyDescent="0.25">
      <c r="A49" s="33"/>
      <c r="B49" s="33"/>
      <c r="C49" s="46"/>
      <c r="D49" s="47"/>
      <c r="E49" s="123"/>
      <c r="F49" s="1"/>
      <c r="G49" s="1"/>
      <c r="H49" s="1"/>
      <c r="I49" s="1"/>
    </row>
    <row r="50" spans="1:9" ht="15" customHeight="1" x14ac:dyDescent="0.25">
      <c r="A50" s="327" t="s">
        <v>178</v>
      </c>
      <c r="B50" s="328"/>
      <c r="C50" s="328">
        <f>SUBTOTAL(9,C27:C48)</f>
        <v>5600.22271</v>
      </c>
      <c r="D50" s="329">
        <f>SUBTOTAL(9,D27:D48)</f>
        <v>4653.884</v>
      </c>
      <c r="E50" s="125" t="s">
        <v>179</v>
      </c>
      <c r="F50" s="1"/>
      <c r="G50" s="1"/>
      <c r="H50" s="1"/>
      <c r="I50" s="1"/>
    </row>
    <row r="51" spans="1:9" ht="13.5" customHeight="1" x14ac:dyDescent="0.25">
      <c r="A51" s="33"/>
      <c r="B51" s="33"/>
      <c r="C51" s="46"/>
      <c r="D51" s="47"/>
      <c r="E51" s="123"/>
      <c r="F51" s="1"/>
      <c r="G51" s="1"/>
      <c r="H51" s="1"/>
      <c r="I51" s="1"/>
    </row>
    <row r="52" spans="1:9" ht="15" customHeight="1" x14ac:dyDescent="0.25">
      <c r="A52" s="327" t="s">
        <v>180</v>
      </c>
      <c r="B52" s="330"/>
      <c r="C52" s="328">
        <f>SUBTOTAL(9,C12:C50)</f>
        <v>22461.422710000003</v>
      </c>
      <c r="D52" s="329">
        <f>SUBTOTAL(9,D12:D50)</f>
        <v>19660.47</v>
      </c>
      <c r="E52" s="125" t="s">
        <v>181</v>
      </c>
      <c r="F52" s="1"/>
      <c r="G52" s="1"/>
      <c r="H52" s="1"/>
      <c r="I52" s="1"/>
    </row>
    <row r="53" spans="1:9" ht="15" customHeight="1" x14ac:dyDescent="0.25">
      <c r="A53" s="1"/>
      <c r="B53" s="1"/>
      <c r="C53" s="1"/>
      <c r="D53" s="1"/>
      <c r="E53" s="40"/>
      <c r="F53" s="1"/>
      <c r="G53" s="11"/>
      <c r="H53" s="11"/>
      <c r="I53" s="1"/>
    </row>
    <row r="54" spans="1:9" ht="12.75" customHeight="1" x14ac:dyDescent="0.25">
      <c r="A54" s="345" t="s">
        <v>771</v>
      </c>
      <c r="E54" s="345"/>
      <c r="F54" s="1"/>
      <c r="G54" s="1"/>
      <c r="H54" s="1"/>
      <c r="I54" s="1"/>
    </row>
    <row r="55" spans="1:9" ht="15.75" customHeight="1" x14ac:dyDescent="0.25">
      <c r="C55" s="118"/>
    </row>
  </sheetData>
  <sheetProtection formatCells="0" formatColumns="0" formatRows="0" insertColumns="0" insertRows="0" deleteColumns="0" deleteRows="0"/>
  <pageMargins left="0.70866141732283472" right="0.70866141732283472" top="0.55118110236220474" bottom="0.35433070866141736" header="0.31496062992125984" footer="0.31496062992125984"/>
  <pageSetup paperSize="9" scale="98"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54"/>
  <sheetViews>
    <sheetView topLeftCell="A21" workbookViewId="0">
      <selection activeCell="C53" sqref="C53"/>
    </sheetView>
  </sheetViews>
  <sheetFormatPr baseColWidth="10" defaultColWidth="17.28515625" defaultRowHeight="15.75" customHeight="1" x14ac:dyDescent="0.25"/>
  <cols>
    <col min="1" max="1" width="67.7109375" style="345" customWidth="1"/>
    <col min="2" max="2" width="7.28515625" style="345" customWidth="1"/>
    <col min="3" max="4" width="12.5703125" style="350" customWidth="1"/>
    <col min="5" max="5" width="13.7109375" style="78" bestFit="1" customWidth="1"/>
    <col min="6" max="6" width="11.42578125" style="345" customWidth="1"/>
    <col min="7" max="16384" width="17.28515625" style="345"/>
  </cols>
  <sheetData>
    <row r="1" spans="1:10" ht="13.5" customHeight="1" x14ac:dyDescent="0.25"/>
    <row r="2" spans="1:10" ht="15" customHeight="1" x14ac:dyDescent="0.25">
      <c r="A2" s="341" t="str">
        <f>Resultatregnskap!A2</f>
        <v>Virksomhetens navn: Bergen Arkitekthøgskole</v>
      </c>
      <c r="B2" s="41"/>
      <c r="C2" s="99"/>
      <c r="D2" s="99"/>
      <c r="E2" s="137"/>
      <c r="F2" s="1"/>
    </row>
    <row r="3" spans="1:10" ht="9.75" customHeight="1" x14ac:dyDescent="0.25"/>
    <row r="4" spans="1:10" ht="15" customHeight="1" x14ac:dyDescent="0.25">
      <c r="A4" s="60" t="s">
        <v>622</v>
      </c>
      <c r="B4" s="18"/>
      <c r="C4" s="86"/>
      <c r="D4" s="86"/>
      <c r="E4" s="146"/>
      <c r="F4" s="1"/>
    </row>
    <row r="5" spans="1:10" s="42" customFormat="1" ht="15" customHeight="1" x14ac:dyDescent="0.25">
      <c r="A5" s="191" t="str">
        <f>Resultatregnskap!A6</f>
        <v>Beløp i 1000 kroner</v>
      </c>
      <c r="B5" s="141"/>
      <c r="C5" s="139"/>
      <c r="D5" s="139"/>
      <c r="E5" s="188"/>
      <c r="F5" s="1"/>
    </row>
    <row r="6" spans="1:10" s="42" customFormat="1" ht="11.25" customHeight="1" x14ac:dyDescent="0.25">
      <c r="A6" s="61"/>
      <c r="C6" s="105"/>
      <c r="D6" s="105"/>
      <c r="E6" s="137"/>
      <c r="F6" s="1"/>
    </row>
    <row r="7" spans="1:10" ht="15" customHeight="1" x14ac:dyDescent="0.25">
      <c r="A7" s="39"/>
      <c r="B7" s="62" t="s">
        <v>27</v>
      </c>
      <c r="C7" s="166">
        <f>Resultatregnskap!C8</f>
        <v>45657</v>
      </c>
      <c r="D7" s="214">
        <v>45291</v>
      </c>
      <c r="E7" s="154" t="str">
        <f>Resultatregnskap!E8</f>
        <v>DBH-referanse</v>
      </c>
      <c r="F7" s="1"/>
    </row>
    <row r="8" spans="1:10" ht="15" customHeight="1" x14ac:dyDescent="0.25">
      <c r="A8" s="21" t="s">
        <v>182</v>
      </c>
      <c r="B8" s="33"/>
      <c r="C8" s="89"/>
      <c r="D8" s="88"/>
      <c r="E8" s="155"/>
      <c r="F8" s="1"/>
      <c r="G8" s="1"/>
      <c r="H8" s="1"/>
      <c r="I8" s="1"/>
      <c r="J8" s="1"/>
    </row>
    <row r="9" spans="1:10" ht="15" customHeight="1" x14ac:dyDescent="0.25">
      <c r="A9" s="23" t="s">
        <v>58</v>
      </c>
      <c r="B9" s="33"/>
      <c r="C9" s="89">
        <f>1854614/1000</f>
        <v>1854.614</v>
      </c>
      <c r="D9" s="88">
        <f>82.07</f>
        <v>82.07</v>
      </c>
      <c r="E9" s="156" t="s">
        <v>183</v>
      </c>
      <c r="F9" s="1"/>
      <c r="G9" s="1"/>
      <c r="H9" s="1"/>
      <c r="I9" s="1"/>
      <c r="J9" s="1"/>
    </row>
    <row r="10" spans="1:10" ht="15" customHeight="1" x14ac:dyDescent="0.25">
      <c r="A10" s="23" t="s">
        <v>184</v>
      </c>
      <c r="B10" s="33"/>
      <c r="C10" s="89">
        <v>0</v>
      </c>
      <c r="D10" s="88">
        <v>0</v>
      </c>
      <c r="E10" s="156" t="s">
        <v>185</v>
      </c>
      <c r="F10" s="1"/>
      <c r="G10" s="1"/>
      <c r="H10" s="1"/>
      <c r="I10" s="1"/>
      <c r="J10" s="1"/>
    </row>
    <row r="11" spans="1:10" ht="15" customHeight="1" x14ac:dyDescent="0.25">
      <c r="A11" s="23" t="s">
        <v>186</v>
      </c>
      <c r="B11" s="33"/>
      <c r="C11" s="89">
        <v>0</v>
      </c>
      <c r="D11" s="88">
        <v>0</v>
      </c>
      <c r="E11" s="156" t="s">
        <v>187</v>
      </c>
      <c r="F11" s="1"/>
      <c r="G11" s="1"/>
      <c r="H11" s="1"/>
      <c r="I11" s="1"/>
      <c r="J11" s="1"/>
    </row>
    <row r="12" spans="1:10" ht="15" customHeight="1" x14ac:dyDescent="0.25">
      <c r="A12" s="23" t="s">
        <v>188</v>
      </c>
      <c r="B12" s="33"/>
      <c r="C12" s="89">
        <f>262654/1000</f>
        <v>262.654</v>
      </c>
      <c r="D12" s="88">
        <f>368.49</f>
        <v>368.49</v>
      </c>
      <c r="E12" s="156" t="s">
        <v>189</v>
      </c>
      <c r="F12" s="1"/>
      <c r="G12" s="1"/>
      <c r="H12" s="1"/>
      <c r="I12" s="1"/>
      <c r="J12" s="1"/>
    </row>
    <row r="13" spans="1:10" ht="15" customHeight="1" x14ac:dyDescent="0.25">
      <c r="A13" s="376" t="s">
        <v>190</v>
      </c>
      <c r="B13" s="377"/>
      <c r="C13" s="305">
        <v>0</v>
      </c>
      <c r="D13" s="378">
        <v>0</v>
      </c>
      <c r="E13" s="124" t="s">
        <v>191</v>
      </c>
      <c r="F13" s="1"/>
      <c r="G13" s="1"/>
      <c r="H13" s="1"/>
      <c r="I13" s="1"/>
      <c r="J13" s="1"/>
    </row>
    <row r="14" spans="1:10" ht="15" customHeight="1" x14ac:dyDescent="0.25">
      <c r="A14" s="23" t="s">
        <v>192</v>
      </c>
      <c r="B14" s="33"/>
      <c r="C14" s="89">
        <f>-21648000/1000</f>
        <v>-21648</v>
      </c>
      <c r="D14" s="88">
        <f>-23200</f>
        <v>-23200</v>
      </c>
      <c r="E14" s="156" t="s">
        <v>193</v>
      </c>
      <c r="F14" s="1"/>
      <c r="G14" s="1"/>
      <c r="H14" s="1"/>
      <c r="I14" s="1"/>
      <c r="J14" s="1"/>
    </row>
    <row r="15" spans="1:10" ht="15" customHeight="1" x14ac:dyDescent="0.25">
      <c r="A15" s="23" t="s">
        <v>194</v>
      </c>
      <c r="B15" s="33"/>
      <c r="C15" s="89">
        <v>0</v>
      </c>
      <c r="D15" s="88">
        <v>0</v>
      </c>
      <c r="E15" s="156" t="s">
        <v>195</v>
      </c>
      <c r="F15" s="1"/>
      <c r="G15" s="331"/>
      <c r="H15" s="1"/>
      <c r="I15" s="1"/>
      <c r="J15" s="1"/>
    </row>
    <row r="16" spans="1:10" ht="15" customHeight="1" x14ac:dyDescent="0.25">
      <c r="A16" s="23" t="s">
        <v>196</v>
      </c>
      <c r="B16" s="33"/>
      <c r="C16" s="89">
        <f>22519/1000</f>
        <v>22.518999999999998</v>
      </c>
      <c r="D16" s="88">
        <f>113.7</f>
        <v>113.7</v>
      </c>
      <c r="E16" s="156" t="s">
        <v>197</v>
      </c>
      <c r="F16" s="1"/>
      <c r="G16" s="331"/>
      <c r="H16" s="1"/>
      <c r="I16" s="1"/>
      <c r="J16" s="1"/>
    </row>
    <row r="17" spans="1:10" ht="15" customHeight="1" x14ac:dyDescent="0.25">
      <c r="A17" s="23" t="s">
        <v>198</v>
      </c>
      <c r="B17" s="33"/>
      <c r="C17" s="89">
        <f>-723269/1000</f>
        <v>-723.26900000000001</v>
      </c>
      <c r="D17" s="88">
        <f>536.1</f>
        <v>536.1</v>
      </c>
      <c r="E17" s="156" t="s">
        <v>199</v>
      </c>
      <c r="F17" s="1"/>
      <c r="G17" s="1"/>
      <c r="H17" s="1"/>
      <c r="I17" s="1"/>
      <c r="J17" s="1"/>
    </row>
    <row r="18" spans="1:10" ht="15" customHeight="1" x14ac:dyDescent="0.25">
      <c r="A18" s="23" t="s">
        <v>200</v>
      </c>
      <c r="B18" s="33"/>
      <c r="C18" s="89">
        <v>0</v>
      </c>
      <c r="D18" s="88">
        <v>0</v>
      </c>
      <c r="E18" s="156" t="s">
        <v>201</v>
      </c>
      <c r="F18" s="1"/>
      <c r="G18" s="40"/>
      <c r="H18" s="40"/>
      <c r="I18" s="1"/>
      <c r="J18" s="1"/>
    </row>
    <row r="19" spans="1:10" ht="15" customHeight="1" x14ac:dyDescent="0.25">
      <c r="A19" s="23" t="s">
        <v>202</v>
      </c>
      <c r="B19" s="33"/>
      <c r="C19" s="89">
        <v>0</v>
      </c>
      <c r="D19" s="88">
        <v>0</v>
      </c>
      <c r="E19" s="156" t="s">
        <v>203</v>
      </c>
      <c r="F19" s="1"/>
      <c r="G19" s="1"/>
      <c r="H19" s="1"/>
      <c r="I19" s="1"/>
      <c r="J19" s="1"/>
    </row>
    <row r="20" spans="1:10" ht="15" customHeight="1" x14ac:dyDescent="0.25">
      <c r="A20" s="63" t="s">
        <v>204</v>
      </c>
      <c r="B20" s="39"/>
      <c r="C20" s="89">
        <f>1522401/1000</f>
        <v>1522.4010000000001</v>
      </c>
      <c r="D20" s="88">
        <f>211.2</f>
        <v>211.2</v>
      </c>
      <c r="E20" s="156" t="s">
        <v>205</v>
      </c>
      <c r="F20" s="1"/>
      <c r="G20" s="1"/>
      <c r="H20" s="1"/>
      <c r="I20" s="1"/>
      <c r="J20" s="1"/>
    </row>
    <row r="21" spans="1:10" ht="15" customHeight="1" x14ac:dyDescent="0.25">
      <c r="A21" s="36" t="s">
        <v>206</v>
      </c>
      <c r="B21" s="19"/>
      <c r="C21" s="90">
        <f>SUBTOTAL(9,C9:C20)</f>
        <v>-18709.080999999998</v>
      </c>
      <c r="D21" s="91">
        <f>SUBTOTAL(9,D9:D20)</f>
        <v>-21888.44</v>
      </c>
      <c r="E21" s="154" t="s">
        <v>207</v>
      </c>
      <c r="F21" s="1"/>
      <c r="G21" s="1"/>
      <c r="H21" s="1"/>
      <c r="I21" s="1"/>
      <c r="J21" s="1"/>
    </row>
    <row r="22" spans="1:10" ht="15" customHeight="1" x14ac:dyDescent="0.25">
      <c r="A22" s="33"/>
      <c r="B22" s="33"/>
      <c r="C22" s="92"/>
      <c r="D22" s="93"/>
      <c r="E22" s="155"/>
      <c r="F22" s="1"/>
      <c r="G22" s="1"/>
      <c r="H22" s="1"/>
      <c r="I22" s="1"/>
      <c r="J22" s="1"/>
    </row>
    <row r="23" spans="1:10" ht="15" customHeight="1" x14ac:dyDescent="0.25">
      <c r="A23" s="21" t="s">
        <v>208</v>
      </c>
      <c r="B23" s="33"/>
      <c r="C23" s="89"/>
      <c r="D23" s="88"/>
      <c r="E23" s="155"/>
      <c r="F23" s="1"/>
      <c r="G23" s="1"/>
      <c r="H23" s="1"/>
      <c r="I23" s="1"/>
      <c r="J23" s="1"/>
    </row>
    <row r="24" spans="1:10" ht="15" customHeight="1" x14ac:dyDescent="0.25">
      <c r="A24" s="23" t="s">
        <v>209</v>
      </c>
      <c r="B24" s="33"/>
      <c r="C24" s="89">
        <v>0</v>
      </c>
      <c r="D24" s="88">
        <v>0</v>
      </c>
      <c r="E24" s="156" t="s">
        <v>210</v>
      </c>
      <c r="F24" s="1"/>
      <c r="G24" s="1"/>
      <c r="H24" s="1"/>
      <c r="I24" s="1"/>
      <c r="J24" s="1"/>
    </row>
    <row r="25" spans="1:10" ht="15" customHeight="1" x14ac:dyDescent="0.25">
      <c r="A25" s="23" t="s">
        <v>211</v>
      </c>
      <c r="B25" s="33"/>
      <c r="C25" s="89">
        <f>-265878/1000</f>
        <v>-265.87799999999999</v>
      </c>
      <c r="D25" s="88">
        <f>-195.4</f>
        <v>-195.4</v>
      </c>
      <c r="E25" s="156" t="s">
        <v>212</v>
      </c>
      <c r="F25" s="1"/>
      <c r="G25" s="1"/>
      <c r="H25" s="1"/>
      <c r="I25" s="1"/>
      <c r="J25" s="1"/>
    </row>
    <row r="26" spans="1:10" ht="15" customHeight="1" x14ac:dyDescent="0.25">
      <c r="A26" s="23" t="s">
        <v>213</v>
      </c>
      <c r="B26" s="33"/>
      <c r="C26" s="89">
        <v>0</v>
      </c>
      <c r="D26" s="88">
        <v>0</v>
      </c>
      <c r="E26" s="156" t="s">
        <v>214</v>
      </c>
      <c r="F26" s="1"/>
      <c r="G26" s="1"/>
      <c r="H26" s="1"/>
      <c r="I26" s="1"/>
      <c r="J26" s="1"/>
    </row>
    <row r="27" spans="1:10" ht="15" customHeight="1" x14ac:dyDescent="0.25">
      <c r="A27" s="23" t="s">
        <v>215</v>
      </c>
      <c r="B27" s="33"/>
      <c r="C27" s="89">
        <v>0</v>
      </c>
      <c r="D27" s="88">
        <v>0</v>
      </c>
      <c r="E27" s="156" t="s">
        <v>216</v>
      </c>
      <c r="F27" s="1"/>
      <c r="G27" s="1"/>
      <c r="H27" s="1"/>
      <c r="I27" s="1"/>
      <c r="J27" s="1"/>
    </row>
    <row r="28" spans="1:10" ht="15" customHeight="1" x14ac:dyDescent="0.25">
      <c r="A28" s="23" t="s">
        <v>217</v>
      </c>
      <c r="B28" s="33"/>
      <c r="C28" s="89">
        <v>0</v>
      </c>
      <c r="D28" s="88">
        <v>0</v>
      </c>
      <c r="E28" s="156" t="s">
        <v>218</v>
      </c>
      <c r="F28" s="1"/>
      <c r="G28" s="1"/>
      <c r="H28" s="1"/>
      <c r="I28" s="1"/>
      <c r="J28" s="1"/>
    </row>
    <row r="29" spans="1:10" ht="15" customHeight="1" x14ac:dyDescent="0.25">
      <c r="A29" s="23" t="s">
        <v>219</v>
      </c>
      <c r="B29" s="33"/>
      <c r="C29" s="89">
        <v>0</v>
      </c>
      <c r="D29" s="88">
        <v>0</v>
      </c>
      <c r="E29" s="156" t="s">
        <v>220</v>
      </c>
      <c r="F29" s="1"/>
      <c r="G29" s="1"/>
      <c r="H29" s="1"/>
      <c r="I29" s="1"/>
      <c r="J29" s="1"/>
    </row>
    <row r="30" spans="1:10" ht="15" customHeight="1" x14ac:dyDescent="0.25">
      <c r="A30" s="36" t="s">
        <v>221</v>
      </c>
      <c r="B30" s="19"/>
      <c r="C30" s="90">
        <f>SUBTOTAL(9,C24:C29)</f>
        <v>-265.87799999999999</v>
      </c>
      <c r="D30" s="91">
        <f>SUBTOTAL(9,D24:D29)</f>
        <v>-195.4</v>
      </c>
      <c r="E30" s="154" t="s">
        <v>222</v>
      </c>
      <c r="F30" s="1"/>
      <c r="G30" s="1"/>
      <c r="H30" s="1"/>
      <c r="I30" s="1"/>
      <c r="J30" s="1"/>
    </row>
    <row r="31" spans="1:10" ht="15" customHeight="1" x14ac:dyDescent="0.25">
      <c r="A31" s="33"/>
      <c r="B31" s="33"/>
      <c r="C31" s="92"/>
      <c r="D31" s="93"/>
      <c r="E31" s="155"/>
      <c r="F31" s="1"/>
      <c r="G31" s="1"/>
      <c r="H31" s="1"/>
      <c r="I31" s="1"/>
      <c r="J31" s="1"/>
    </row>
    <row r="32" spans="1:10" ht="15" customHeight="1" x14ac:dyDescent="0.25">
      <c r="A32" s="21" t="s">
        <v>223</v>
      </c>
      <c r="B32" s="33"/>
      <c r="C32" s="89"/>
      <c r="D32" s="88"/>
      <c r="E32" s="155"/>
      <c r="F32" s="1"/>
      <c r="G32" s="1"/>
      <c r="H32" s="1"/>
      <c r="I32" s="1"/>
      <c r="J32" s="1"/>
    </row>
    <row r="33" spans="1:10" ht="15" customHeight="1" x14ac:dyDescent="0.25">
      <c r="A33" s="23" t="s">
        <v>224</v>
      </c>
      <c r="B33" s="33"/>
      <c r="C33" s="89">
        <v>0</v>
      </c>
      <c r="D33" s="88">
        <v>0</v>
      </c>
      <c r="E33" s="156" t="s">
        <v>225</v>
      </c>
      <c r="F33" s="1"/>
      <c r="G33" s="1"/>
      <c r="H33" s="1"/>
      <c r="I33" s="1"/>
      <c r="J33" s="1"/>
    </row>
    <row r="34" spans="1:10" ht="15" customHeight="1" x14ac:dyDescent="0.25">
      <c r="A34" s="23" t="s">
        <v>226</v>
      </c>
      <c r="B34" s="33"/>
      <c r="C34" s="89">
        <f>21648000/1000</f>
        <v>21648</v>
      </c>
      <c r="D34" s="88">
        <v>23200</v>
      </c>
      <c r="E34" s="156" t="s">
        <v>227</v>
      </c>
      <c r="F34" s="1"/>
      <c r="G34" s="1"/>
      <c r="H34" s="1"/>
      <c r="I34" s="1"/>
      <c r="J34" s="1"/>
    </row>
    <row r="35" spans="1:10" ht="15" customHeight="1" x14ac:dyDescent="0.25">
      <c r="A35" s="23" t="s">
        <v>228</v>
      </c>
      <c r="B35" s="33"/>
      <c r="C35" s="89">
        <v>0</v>
      </c>
      <c r="D35" s="88">
        <v>0</v>
      </c>
      <c r="E35" s="156" t="s">
        <v>229</v>
      </c>
      <c r="F35" s="1"/>
      <c r="G35" s="1"/>
      <c r="H35" s="1"/>
      <c r="I35" s="1"/>
      <c r="J35" s="1"/>
    </row>
    <row r="36" spans="1:10" ht="15" customHeight="1" x14ac:dyDescent="0.25">
      <c r="A36" s="23" t="s">
        <v>230</v>
      </c>
      <c r="B36" s="33"/>
      <c r="C36" s="89">
        <v>0</v>
      </c>
      <c r="D36" s="88">
        <v>0</v>
      </c>
      <c r="E36" s="156" t="s">
        <v>231</v>
      </c>
      <c r="F36" s="1"/>
      <c r="G36" s="1"/>
      <c r="H36" s="1"/>
      <c r="I36" s="1"/>
      <c r="J36" s="1"/>
    </row>
    <row r="37" spans="1:10" ht="15" customHeight="1" x14ac:dyDescent="0.25">
      <c r="A37" s="23" t="s">
        <v>232</v>
      </c>
      <c r="B37" s="33"/>
      <c r="C37" s="89">
        <v>0</v>
      </c>
      <c r="D37" s="88">
        <v>0</v>
      </c>
      <c r="E37" s="156" t="s">
        <v>233</v>
      </c>
      <c r="F37" s="1"/>
      <c r="G37" s="1"/>
      <c r="H37" s="1"/>
      <c r="I37" s="1"/>
      <c r="J37" s="1"/>
    </row>
    <row r="38" spans="1:10" ht="15" customHeight="1" x14ac:dyDescent="0.25">
      <c r="A38" s="23" t="s">
        <v>590</v>
      </c>
      <c r="B38" s="33"/>
      <c r="C38" s="89">
        <v>0</v>
      </c>
      <c r="D38" s="88">
        <v>0</v>
      </c>
      <c r="E38" s="156" t="s">
        <v>234</v>
      </c>
      <c r="F38" s="1"/>
      <c r="G38" s="1"/>
      <c r="H38" s="1"/>
      <c r="I38" s="1"/>
      <c r="J38" s="1"/>
    </row>
    <row r="39" spans="1:10" ht="15" customHeight="1" x14ac:dyDescent="0.25">
      <c r="A39" s="23" t="s">
        <v>235</v>
      </c>
      <c r="B39" s="33"/>
      <c r="C39" s="89">
        <v>0</v>
      </c>
      <c r="D39" s="88">
        <v>0</v>
      </c>
      <c r="E39" s="156" t="s">
        <v>236</v>
      </c>
      <c r="F39" s="1"/>
      <c r="G39" s="1"/>
      <c r="H39" s="1"/>
      <c r="I39" s="1"/>
      <c r="J39" s="1"/>
    </row>
    <row r="40" spans="1:10" ht="15" customHeight="1" x14ac:dyDescent="0.25">
      <c r="A40" s="23" t="s">
        <v>237</v>
      </c>
      <c r="B40" s="33"/>
      <c r="C40" s="89">
        <v>0</v>
      </c>
      <c r="D40" s="88">
        <v>0</v>
      </c>
      <c r="E40" s="156" t="s">
        <v>238</v>
      </c>
      <c r="F40" s="1"/>
      <c r="G40" s="1"/>
      <c r="H40" s="1"/>
      <c r="I40" s="1"/>
      <c r="J40" s="1"/>
    </row>
    <row r="41" spans="1:10" ht="15" customHeight="1" x14ac:dyDescent="0.25">
      <c r="A41" s="23" t="s">
        <v>239</v>
      </c>
      <c r="B41" s="33"/>
      <c r="C41" s="89">
        <v>0</v>
      </c>
      <c r="D41" s="88">
        <v>0</v>
      </c>
      <c r="E41" s="156" t="s">
        <v>240</v>
      </c>
      <c r="F41" s="1"/>
      <c r="G41" s="1"/>
      <c r="H41" s="1"/>
      <c r="I41" s="1"/>
      <c r="J41" s="1"/>
    </row>
    <row r="42" spans="1:10" ht="15" customHeight="1" x14ac:dyDescent="0.25">
      <c r="A42" s="23" t="s">
        <v>241</v>
      </c>
      <c r="B42" s="33"/>
      <c r="C42" s="89">
        <v>0</v>
      </c>
      <c r="D42" s="88">
        <v>0</v>
      </c>
      <c r="E42" s="156" t="s">
        <v>242</v>
      </c>
      <c r="F42" s="1"/>
      <c r="G42" s="1"/>
      <c r="H42" s="1"/>
      <c r="I42" s="1"/>
      <c r="J42" s="1"/>
    </row>
    <row r="43" spans="1:10" ht="15" customHeight="1" x14ac:dyDescent="0.25">
      <c r="A43" s="23" t="s">
        <v>243</v>
      </c>
      <c r="B43" s="33"/>
      <c r="C43" s="89">
        <v>0</v>
      </c>
      <c r="D43" s="88">
        <v>0</v>
      </c>
      <c r="E43" s="156" t="s">
        <v>244</v>
      </c>
      <c r="F43" s="1"/>
      <c r="G43" s="1"/>
      <c r="H43" s="1"/>
      <c r="I43" s="1"/>
      <c r="J43" s="1"/>
    </row>
    <row r="44" spans="1:10" ht="15" customHeight="1" x14ac:dyDescent="0.25">
      <c r="A44" s="23" t="s">
        <v>245</v>
      </c>
      <c r="B44" s="33"/>
      <c r="C44" s="89">
        <v>0</v>
      </c>
      <c r="D44" s="88">
        <v>0</v>
      </c>
      <c r="E44" s="156" t="s">
        <v>246</v>
      </c>
      <c r="F44" s="1"/>
      <c r="G44" s="1"/>
      <c r="H44" s="1"/>
      <c r="I44" s="1"/>
      <c r="J44" s="1"/>
    </row>
    <row r="45" spans="1:10" ht="15" customHeight="1" x14ac:dyDescent="0.25">
      <c r="A45" s="23" t="s">
        <v>247</v>
      </c>
      <c r="B45" s="33"/>
      <c r="C45" s="89">
        <v>0</v>
      </c>
      <c r="D45" s="88">
        <v>0</v>
      </c>
      <c r="E45" s="156" t="s">
        <v>248</v>
      </c>
      <c r="F45" s="1"/>
      <c r="G45" s="1"/>
      <c r="H45" s="1"/>
      <c r="I45" s="1"/>
      <c r="J45" s="1"/>
    </row>
    <row r="46" spans="1:10" ht="15" customHeight="1" x14ac:dyDescent="0.25">
      <c r="A46" s="23" t="s">
        <v>249</v>
      </c>
      <c r="B46" s="33"/>
      <c r="C46" s="89">
        <f>114076/1000</f>
        <v>114.07599999999999</v>
      </c>
      <c r="D46" s="88">
        <f>119.31</f>
        <v>119.31</v>
      </c>
      <c r="E46" s="156" t="s">
        <v>250</v>
      </c>
      <c r="F46" s="1"/>
      <c r="G46" s="1"/>
      <c r="H46" s="1"/>
      <c r="I46" s="1"/>
      <c r="J46" s="1"/>
    </row>
    <row r="47" spans="1:10" ht="15" customHeight="1" x14ac:dyDescent="0.25">
      <c r="A47" s="23" t="s">
        <v>251</v>
      </c>
      <c r="B47" s="33"/>
      <c r="C47" s="89">
        <v>0</v>
      </c>
      <c r="D47" s="88">
        <v>0</v>
      </c>
      <c r="E47" s="156" t="s">
        <v>252</v>
      </c>
      <c r="F47" s="1"/>
      <c r="G47" s="1"/>
      <c r="H47" s="1"/>
      <c r="I47" s="1"/>
      <c r="J47" s="1"/>
    </row>
    <row r="48" spans="1:10" ht="15" customHeight="1" x14ac:dyDescent="0.25">
      <c r="A48" s="36" t="s">
        <v>253</v>
      </c>
      <c r="B48" s="19"/>
      <c r="C48" s="90">
        <f>SUBTOTAL(9,C33:C47)</f>
        <v>21762.076000000001</v>
      </c>
      <c r="D48" s="91">
        <f>SUBTOTAL(9,D33:D47)</f>
        <v>23319.31</v>
      </c>
      <c r="E48" s="154" t="s">
        <v>254</v>
      </c>
      <c r="F48" s="1"/>
      <c r="G48" s="1"/>
      <c r="H48" s="1"/>
      <c r="I48" s="1"/>
      <c r="J48" s="1"/>
    </row>
    <row r="49" spans="1:10" ht="15" x14ac:dyDescent="0.25">
      <c r="A49" s="33"/>
      <c r="B49" s="33"/>
      <c r="C49" s="92"/>
      <c r="D49" s="93"/>
      <c r="E49" s="155"/>
      <c r="F49" s="1"/>
      <c r="G49" s="1"/>
      <c r="H49" s="1"/>
      <c r="I49" s="1"/>
      <c r="J49" s="1"/>
    </row>
    <row r="50" spans="1:10" ht="15" customHeight="1" x14ac:dyDescent="0.25">
      <c r="A50" s="21" t="s">
        <v>255</v>
      </c>
      <c r="B50" s="33"/>
      <c r="C50" s="97">
        <v>0</v>
      </c>
      <c r="D50" s="98">
        <v>0</v>
      </c>
      <c r="E50" s="155" t="s">
        <v>362</v>
      </c>
      <c r="F50" s="1"/>
      <c r="G50" s="1"/>
      <c r="H50" s="1"/>
      <c r="I50" s="1"/>
      <c r="J50" s="1"/>
    </row>
    <row r="51" spans="1:10" ht="15" customHeight="1" x14ac:dyDescent="0.25">
      <c r="A51" s="38" t="s">
        <v>256</v>
      </c>
      <c r="B51" s="19"/>
      <c r="C51" s="90">
        <f>SUBTOTAL(9,C9:C48)</f>
        <v>2787.1170000000011</v>
      </c>
      <c r="D51" s="91">
        <f>SUBTOTAL(9,D9:D48)</f>
        <v>1235.4699999999998</v>
      </c>
      <c r="E51" s="157" t="s">
        <v>257</v>
      </c>
      <c r="F51" s="1"/>
      <c r="G51" s="1"/>
      <c r="H51" s="1"/>
      <c r="I51" s="1"/>
      <c r="J51" s="1"/>
    </row>
    <row r="52" spans="1:10" ht="15" customHeight="1" x14ac:dyDescent="0.25">
      <c r="A52" s="38" t="s">
        <v>258</v>
      </c>
      <c r="B52" s="19"/>
      <c r="C52" s="106">
        <f>12684763/1000</f>
        <v>12684.763000000001</v>
      </c>
      <c r="D52" s="96">
        <f>11449.3</f>
        <v>11449.3</v>
      </c>
      <c r="E52" s="157" t="s">
        <v>259</v>
      </c>
      <c r="F52" s="1"/>
      <c r="G52" s="1"/>
      <c r="H52" s="1"/>
      <c r="I52" s="1"/>
      <c r="J52" s="1"/>
    </row>
    <row r="53" spans="1:10" ht="15" customHeight="1" x14ac:dyDescent="0.25">
      <c r="A53" s="29" t="s">
        <v>260</v>
      </c>
      <c r="B53" s="39"/>
      <c r="C53" s="90">
        <f>SUBTOTAL(9,C9:C52)</f>
        <v>15471.880000000001</v>
      </c>
      <c r="D53" s="91">
        <f>SUBTOTAL(9,D9:D52)</f>
        <v>12684.769999999999</v>
      </c>
      <c r="E53" s="158" t="s">
        <v>261</v>
      </c>
      <c r="F53" s="1"/>
      <c r="G53" s="1"/>
      <c r="H53" s="1"/>
      <c r="I53" s="1"/>
      <c r="J53" s="1"/>
    </row>
    <row r="54" spans="1:10" ht="15" customHeight="1" x14ac:dyDescent="0.25">
      <c r="A54" s="1"/>
      <c r="B54" s="1"/>
      <c r="C54" s="348"/>
      <c r="D54" s="348"/>
      <c r="E54" s="137"/>
      <c r="F54" s="1"/>
    </row>
  </sheetData>
  <sheetProtection formatCells="0" formatColumns="0" formatRows="0" insertColumns="0"/>
  <pageMargins left="0.51181102362204722" right="0.51181102362204722" top="0.55118110236220474" bottom="0.55118110236220474" header="0.31496062992125984" footer="0.31496062992125984"/>
  <pageSetup paperSize="9" scale="82" fitToHeight="0"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74"/>
  <sheetViews>
    <sheetView workbookViewId="0">
      <selection activeCell="I29" sqref="I29"/>
    </sheetView>
  </sheetViews>
  <sheetFormatPr baseColWidth="10" defaultColWidth="17.28515625" defaultRowHeight="15.75" customHeight="1" x14ac:dyDescent="0.25"/>
  <cols>
    <col min="1" max="1" width="67.7109375" style="345" customWidth="1"/>
    <col min="2" max="2" width="7.28515625" style="345" customWidth="1"/>
    <col min="3" max="4" width="12.5703125" style="350" customWidth="1"/>
    <col min="5" max="5" width="13.7109375" style="78" bestFit="1" customWidth="1"/>
    <col min="6" max="6" width="11.42578125" style="345" customWidth="1"/>
    <col min="7" max="16384" width="17.28515625" style="345"/>
  </cols>
  <sheetData>
    <row r="1" spans="1:11" ht="13.5" customHeight="1" x14ac:dyDescent="0.25"/>
    <row r="2" spans="1:11" ht="15" customHeight="1" x14ac:dyDescent="0.25">
      <c r="A2" s="341" t="str">
        <f>Resultatregnskap!A2</f>
        <v>Virksomhetens navn: Bergen Arkitekthøgskole</v>
      </c>
      <c r="B2" s="41"/>
      <c r="C2" s="99"/>
      <c r="D2" s="99"/>
      <c r="E2" s="137"/>
      <c r="F2" s="1"/>
    </row>
    <row r="3" spans="1:11" ht="15" customHeight="1" x14ac:dyDescent="0.25"/>
    <row r="4" spans="1:11" ht="15" customHeight="1" x14ac:dyDescent="0.25">
      <c r="A4" s="60" t="s">
        <v>623</v>
      </c>
      <c r="B4" s="18"/>
      <c r="C4" s="86"/>
      <c r="D4" s="86"/>
      <c r="E4" s="146"/>
      <c r="F4" s="1"/>
    </row>
    <row r="5" spans="1:11" s="42" customFormat="1" ht="15" customHeight="1" x14ac:dyDescent="0.25">
      <c r="A5" s="191" t="str">
        <f>Resultatregnskap!A6</f>
        <v>Beløp i 1000 kroner</v>
      </c>
      <c r="B5" s="141"/>
      <c r="C5" s="139"/>
      <c r="D5" s="139"/>
      <c r="E5" s="188"/>
      <c r="F5" s="1"/>
    </row>
    <row r="6" spans="1:11" s="42" customFormat="1" ht="15" customHeight="1" x14ac:dyDescent="0.25">
      <c r="A6" s="61"/>
      <c r="C6" s="105"/>
      <c r="D6" s="105"/>
      <c r="E6" s="137"/>
      <c r="F6" s="1"/>
    </row>
    <row r="7" spans="1:11" ht="15" customHeight="1" x14ac:dyDescent="0.25">
      <c r="A7" s="39"/>
      <c r="B7" s="62" t="s">
        <v>27</v>
      </c>
      <c r="C7" s="166">
        <f>Resultatregnskap!C8</f>
        <v>45657</v>
      </c>
      <c r="D7" s="214">
        <f>' Kontantstrøm IND'!D7</f>
        <v>45291</v>
      </c>
      <c r="E7" s="154" t="str">
        <f>Resultatregnskap!E8</f>
        <v>DBH-referanse</v>
      </c>
      <c r="F7" s="1"/>
    </row>
    <row r="8" spans="1:11" ht="15" customHeight="1" x14ac:dyDescent="0.25">
      <c r="A8" s="21" t="s">
        <v>663</v>
      </c>
      <c r="B8" s="33"/>
      <c r="C8" s="89"/>
      <c r="D8" s="88"/>
      <c r="E8" s="155"/>
      <c r="F8" s="1"/>
      <c r="G8" s="1"/>
      <c r="H8" s="1"/>
      <c r="I8" s="1"/>
      <c r="J8" s="1"/>
      <c r="K8" s="1"/>
    </row>
    <row r="9" spans="1:11" ht="15" customHeight="1" x14ac:dyDescent="0.25">
      <c r="A9" s="21" t="s">
        <v>664</v>
      </c>
      <c r="B9" s="33"/>
      <c r="C9" s="89"/>
      <c r="D9" s="88"/>
      <c r="E9" s="155"/>
      <c r="F9" s="1"/>
      <c r="G9" s="1"/>
      <c r="H9" s="1"/>
      <c r="I9" s="1"/>
      <c r="J9" s="1"/>
    </row>
    <row r="10" spans="1:11" ht="15" customHeight="1" x14ac:dyDescent="0.25">
      <c r="A10" s="398" t="s">
        <v>666</v>
      </c>
      <c r="B10" s="33"/>
      <c r="C10" s="89">
        <v>0</v>
      </c>
      <c r="D10" s="88">
        <v>0</v>
      </c>
      <c r="E10" s="156" t="s">
        <v>635</v>
      </c>
      <c r="F10" s="1"/>
      <c r="G10" s="1"/>
      <c r="H10" s="1"/>
      <c r="I10" s="1"/>
      <c r="J10" s="1"/>
    </row>
    <row r="11" spans="1:11" ht="15" customHeight="1" x14ac:dyDescent="0.25">
      <c r="A11" s="398" t="s">
        <v>667</v>
      </c>
      <c r="B11" s="33"/>
      <c r="C11" s="89">
        <v>0</v>
      </c>
      <c r="D11" s="88">
        <v>0</v>
      </c>
      <c r="E11" s="156" t="s">
        <v>624</v>
      </c>
      <c r="F11" s="1"/>
      <c r="G11" s="1"/>
      <c r="H11" s="1"/>
      <c r="I11" s="1"/>
      <c r="J11" s="1"/>
    </row>
    <row r="12" spans="1:11" ht="15" customHeight="1" x14ac:dyDescent="0.25">
      <c r="A12" s="398" t="s">
        <v>668</v>
      </c>
      <c r="B12" s="33"/>
      <c r="C12" s="89">
        <v>0</v>
      </c>
      <c r="D12" s="88">
        <v>0</v>
      </c>
      <c r="E12" s="156" t="s">
        <v>625</v>
      </c>
      <c r="F12" s="1"/>
      <c r="G12" s="1"/>
      <c r="H12" s="1"/>
      <c r="I12" s="1"/>
      <c r="J12" s="1"/>
    </row>
    <row r="13" spans="1:11" ht="15" customHeight="1" x14ac:dyDescent="0.25">
      <c r="A13" s="398" t="s">
        <v>669</v>
      </c>
      <c r="B13" s="377"/>
      <c r="C13" s="305">
        <v>0</v>
      </c>
      <c r="D13" s="378">
        <v>0</v>
      </c>
      <c r="E13" s="124" t="s">
        <v>626</v>
      </c>
      <c r="F13" s="1"/>
      <c r="G13" s="1"/>
      <c r="H13" s="1"/>
      <c r="I13" s="1"/>
      <c r="J13" s="1"/>
    </row>
    <row r="14" spans="1:11" ht="15" customHeight="1" x14ac:dyDescent="0.25">
      <c r="A14" s="398" t="s">
        <v>670</v>
      </c>
      <c r="B14" s="33"/>
      <c r="C14" s="89">
        <v>0</v>
      </c>
      <c r="D14" s="88">
        <v>0</v>
      </c>
      <c r="E14" s="156" t="s">
        <v>627</v>
      </c>
      <c r="F14" s="1"/>
      <c r="G14" s="1"/>
      <c r="H14" s="1"/>
      <c r="I14" s="1"/>
      <c r="J14" s="1"/>
    </row>
    <row r="15" spans="1:11" ht="15" customHeight="1" x14ac:dyDescent="0.25">
      <c r="A15" s="398" t="s">
        <v>671</v>
      </c>
      <c r="B15" s="33"/>
      <c r="C15" s="89">
        <v>0</v>
      </c>
      <c r="D15" s="88">
        <v>0</v>
      </c>
      <c r="E15" s="156" t="s">
        <v>628</v>
      </c>
      <c r="F15" s="1"/>
      <c r="G15" s="1"/>
      <c r="H15" s="1"/>
      <c r="I15" s="1"/>
      <c r="J15" s="1"/>
    </row>
    <row r="16" spans="1:11" ht="15" customHeight="1" x14ac:dyDescent="0.25">
      <c r="A16" s="398" t="s">
        <v>806</v>
      </c>
      <c r="B16" s="33"/>
      <c r="C16" s="89">
        <v>0</v>
      </c>
      <c r="D16" s="88">
        <v>0</v>
      </c>
      <c r="E16" s="156" t="s">
        <v>821</v>
      </c>
      <c r="F16" s="1"/>
      <c r="G16" s="1"/>
      <c r="H16" s="1"/>
      <c r="I16" s="1"/>
      <c r="J16" s="1"/>
    </row>
    <row r="17" spans="1:10" ht="15" customHeight="1" x14ac:dyDescent="0.25">
      <c r="A17" s="398" t="s">
        <v>672</v>
      </c>
      <c r="B17" s="33"/>
      <c r="C17" s="89">
        <v>0</v>
      </c>
      <c r="D17" s="88">
        <v>0</v>
      </c>
      <c r="E17" s="156" t="s">
        <v>629</v>
      </c>
      <c r="F17" s="1"/>
      <c r="G17" s="1"/>
      <c r="H17" s="1"/>
      <c r="I17" s="1"/>
      <c r="J17" s="1"/>
    </row>
    <row r="18" spans="1:10" ht="15" customHeight="1" x14ac:dyDescent="0.25">
      <c r="A18" s="400" t="s">
        <v>665</v>
      </c>
      <c r="B18" s="19"/>
      <c r="C18" s="399">
        <f>SUBTOTAL(9,C10:C17)</f>
        <v>0</v>
      </c>
      <c r="D18" s="106">
        <f>SUBTOTAL(9,D10:D17)</f>
        <v>0</v>
      </c>
      <c r="E18" s="157" t="s">
        <v>673</v>
      </c>
      <c r="F18" s="1"/>
      <c r="G18" s="1"/>
      <c r="H18" s="1"/>
      <c r="I18" s="1"/>
      <c r="J18" s="1"/>
    </row>
    <row r="19" spans="1:10" ht="15" customHeight="1" x14ac:dyDescent="0.25">
      <c r="A19" s="21" t="s">
        <v>680</v>
      </c>
      <c r="B19" s="33"/>
      <c r="C19" s="104"/>
      <c r="D19" s="88"/>
      <c r="E19" s="156"/>
      <c r="F19" s="1"/>
      <c r="G19" s="1"/>
      <c r="H19" s="1"/>
      <c r="I19" s="1"/>
      <c r="J19" s="1"/>
    </row>
    <row r="20" spans="1:10" ht="15" customHeight="1" x14ac:dyDescent="0.25">
      <c r="A20" s="398" t="s">
        <v>674</v>
      </c>
      <c r="B20" s="33"/>
      <c r="C20" s="89">
        <v>0</v>
      </c>
      <c r="D20" s="88">
        <v>0</v>
      </c>
      <c r="E20" s="156" t="s">
        <v>630</v>
      </c>
      <c r="F20" s="1"/>
      <c r="G20" s="1"/>
      <c r="H20" s="1"/>
      <c r="I20" s="1"/>
      <c r="J20" s="1"/>
    </row>
    <row r="21" spans="1:10" ht="15" customHeight="1" x14ac:dyDescent="0.25">
      <c r="A21" s="398" t="s">
        <v>675</v>
      </c>
      <c r="B21" s="33"/>
      <c r="C21" s="89">
        <v>0</v>
      </c>
      <c r="D21" s="88">
        <v>0</v>
      </c>
      <c r="E21" s="156" t="s">
        <v>631</v>
      </c>
      <c r="F21" s="1"/>
      <c r="G21" s="1"/>
      <c r="H21" s="1"/>
      <c r="I21" s="1"/>
      <c r="J21" s="1"/>
    </row>
    <row r="22" spans="1:10" ht="15" customHeight="1" x14ac:dyDescent="0.25">
      <c r="A22" s="398" t="s">
        <v>676</v>
      </c>
      <c r="B22" s="33"/>
      <c r="C22" s="89">
        <v>0</v>
      </c>
      <c r="D22" s="88">
        <v>0</v>
      </c>
      <c r="E22" s="156" t="s">
        <v>632</v>
      </c>
      <c r="F22" s="1"/>
      <c r="G22" s="1"/>
      <c r="H22" s="1"/>
      <c r="I22" s="1"/>
      <c r="J22" s="1"/>
    </row>
    <row r="23" spans="1:10" ht="15" customHeight="1" x14ac:dyDescent="0.25">
      <c r="A23" s="398" t="s">
        <v>677</v>
      </c>
      <c r="B23" s="33"/>
      <c r="C23" s="89">
        <v>0</v>
      </c>
      <c r="D23" s="88">
        <v>0</v>
      </c>
      <c r="E23" s="156" t="s">
        <v>633</v>
      </c>
      <c r="F23" s="1"/>
      <c r="G23" s="1"/>
      <c r="H23" s="1"/>
      <c r="I23" s="1"/>
      <c r="J23" s="1"/>
    </row>
    <row r="24" spans="1:10" ht="15" customHeight="1" x14ac:dyDescent="0.25">
      <c r="A24" s="398" t="s">
        <v>678</v>
      </c>
      <c r="B24" s="33"/>
      <c r="C24" s="89">
        <v>0</v>
      </c>
      <c r="D24" s="88">
        <v>0</v>
      </c>
      <c r="E24" s="156" t="s">
        <v>634</v>
      </c>
      <c r="F24" s="1"/>
      <c r="G24" s="1"/>
      <c r="H24" s="1"/>
      <c r="I24" s="1"/>
      <c r="J24" s="1"/>
    </row>
    <row r="25" spans="1:10" ht="15" customHeight="1" x14ac:dyDescent="0.25">
      <c r="A25" s="400" t="s">
        <v>679</v>
      </c>
      <c r="B25" s="19"/>
      <c r="C25" s="106">
        <f>SUBTOTAL(9,C20:C24)</f>
        <v>0</v>
      </c>
      <c r="D25" s="106">
        <f>SUBTOTAL(9,D20:D24)</f>
        <v>0</v>
      </c>
      <c r="E25" s="157" t="s">
        <v>681</v>
      </c>
      <c r="F25" s="1"/>
      <c r="G25" s="1"/>
      <c r="H25" s="1"/>
      <c r="I25" s="1"/>
      <c r="J25" s="1"/>
    </row>
    <row r="26" spans="1:10" ht="15" customHeight="1" x14ac:dyDescent="0.25">
      <c r="A26" s="23"/>
      <c r="B26" s="33"/>
      <c r="C26" s="89"/>
      <c r="D26" s="88"/>
      <c r="E26" s="156"/>
      <c r="F26" s="1"/>
      <c r="G26" s="1"/>
      <c r="H26" s="1"/>
      <c r="I26" s="1"/>
      <c r="J26" s="1"/>
    </row>
    <row r="27" spans="1:10" ht="15" customHeight="1" x14ac:dyDescent="0.25">
      <c r="A27" s="36" t="s">
        <v>684</v>
      </c>
      <c r="B27" s="19"/>
      <c r="C27" s="90">
        <f>SUBTOTAL(9,C10:C24)</f>
        <v>0</v>
      </c>
      <c r="D27" s="91">
        <f>SUBTOTAL(9,D10:D24)</f>
        <v>0</v>
      </c>
      <c r="E27" s="154" t="s">
        <v>682</v>
      </c>
      <c r="F27" s="1"/>
      <c r="G27" s="1"/>
      <c r="H27" s="1"/>
      <c r="I27" s="1"/>
      <c r="J27" s="1"/>
    </row>
    <row r="28" spans="1:10" ht="15" customHeight="1" x14ac:dyDescent="0.25">
      <c r="A28" s="33"/>
      <c r="B28" s="33"/>
      <c r="C28" s="92"/>
      <c r="D28" s="93"/>
      <c r="E28" s="155"/>
      <c r="F28" s="1"/>
      <c r="G28" s="1"/>
      <c r="H28" s="1"/>
      <c r="I28" s="1"/>
      <c r="J28" s="1"/>
    </row>
    <row r="29" spans="1:10" ht="15" customHeight="1" x14ac:dyDescent="0.25">
      <c r="A29" s="21" t="s">
        <v>208</v>
      </c>
      <c r="B29" s="33"/>
      <c r="C29" s="89"/>
      <c r="D29" s="88"/>
      <c r="E29" s="155"/>
      <c r="F29" s="1"/>
      <c r="G29" s="1"/>
      <c r="H29" s="1"/>
      <c r="I29" s="1"/>
      <c r="J29" s="1"/>
    </row>
    <row r="30" spans="1:10" ht="15" customHeight="1" x14ac:dyDescent="0.25">
      <c r="A30" s="23" t="s">
        <v>209</v>
      </c>
      <c r="B30" s="33"/>
      <c r="C30" s="89">
        <v>0</v>
      </c>
      <c r="D30" s="88">
        <v>0</v>
      </c>
      <c r="E30" s="156" t="s">
        <v>636</v>
      </c>
      <c r="F30" s="1"/>
      <c r="G30" s="1"/>
      <c r="H30" s="1"/>
      <c r="I30" s="1"/>
      <c r="J30" s="1"/>
    </row>
    <row r="31" spans="1:10" ht="15" customHeight="1" x14ac:dyDescent="0.25">
      <c r="A31" s="23" t="s">
        <v>211</v>
      </c>
      <c r="B31" s="33"/>
      <c r="C31" s="89">
        <v>0</v>
      </c>
      <c r="D31" s="88">
        <v>0</v>
      </c>
      <c r="E31" s="156" t="s">
        <v>637</v>
      </c>
      <c r="F31" s="1"/>
      <c r="G31" s="1"/>
      <c r="H31" s="1"/>
      <c r="I31" s="1"/>
      <c r="J31" s="1"/>
    </row>
    <row r="32" spans="1:10" ht="15" customHeight="1" x14ac:dyDescent="0.25">
      <c r="A32" s="23" t="s">
        <v>213</v>
      </c>
      <c r="B32" s="33"/>
      <c r="C32" s="89">
        <v>0</v>
      </c>
      <c r="D32" s="88">
        <v>0</v>
      </c>
      <c r="E32" s="156" t="s">
        <v>638</v>
      </c>
      <c r="F32" s="1"/>
      <c r="G32" s="1"/>
      <c r="H32" s="1"/>
      <c r="I32" s="1"/>
      <c r="J32" s="1"/>
    </row>
    <row r="33" spans="1:10" ht="15" customHeight="1" x14ac:dyDescent="0.25">
      <c r="A33" s="23" t="s">
        <v>215</v>
      </c>
      <c r="B33" s="33"/>
      <c r="C33" s="89">
        <v>0</v>
      </c>
      <c r="D33" s="88">
        <v>0</v>
      </c>
      <c r="E33" s="156" t="s">
        <v>639</v>
      </c>
      <c r="F33" s="1"/>
      <c r="G33" s="1"/>
      <c r="H33" s="1"/>
      <c r="I33" s="1"/>
      <c r="J33" s="1"/>
    </row>
    <row r="34" spans="1:10" ht="15" customHeight="1" x14ac:dyDescent="0.25">
      <c r="A34" s="23" t="s">
        <v>217</v>
      </c>
      <c r="B34" s="33"/>
      <c r="C34" s="89">
        <v>0</v>
      </c>
      <c r="D34" s="88">
        <v>0</v>
      </c>
      <c r="E34" s="156" t="s">
        <v>640</v>
      </c>
      <c r="F34" s="1"/>
      <c r="G34" s="1"/>
      <c r="H34" s="1"/>
      <c r="I34" s="1"/>
      <c r="J34" s="1"/>
    </row>
    <row r="35" spans="1:10" ht="15" customHeight="1" x14ac:dyDescent="0.25">
      <c r="A35" s="23" t="s">
        <v>219</v>
      </c>
      <c r="B35" s="33"/>
      <c r="C35" s="89">
        <v>0</v>
      </c>
      <c r="D35" s="88">
        <v>0</v>
      </c>
      <c r="E35" s="156" t="s">
        <v>641</v>
      </c>
      <c r="F35" s="1"/>
      <c r="G35" s="1"/>
      <c r="H35" s="1"/>
      <c r="I35" s="1"/>
      <c r="J35" s="1"/>
    </row>
    <row r="36" spans="1:10" ht="15" customHeight="1" x14ac:dyDescent="0.25">
      <c r="A36" s="36" t="s">
        <v>221</v>
      </c>
      <c r="B36" s="19"/>
      <c r="C36" s="90">
        <f>SUBTOTAL(9,C30:C35)</f>
        <v>0</v>
      </c>
      <c r="D36" s="91">
        <f>SUBTOTAL(9,D30:D35)</f>
        <v>0</v>
      </c>
      <c r="E36" s="154" t="s">
        <v>642</v>
      </c>
      <c r="F36" s="1"/>
      <c r="G36" s="1"/>
      <c r="H36" s="1"/>
      <c r="I36" s="1"/>
      <c r="J36" s="1"/>
    </row>
    <row r="37" spans="1:10" ht="15" customHeight="1" x14ac:dyDescent="0.25">
      <c r="A37" s="33"/>
      <c r="B37" s="33"/>
      <c r="C37" s="92"/>
      <c r="D37" s="93"/>
      <c r="E37" s="155"/>
      <c r="F37" s="1"/>
      <c r="G37" s="1"/>
      <c r="H37" s="1"/>
      <c r="I37" s="1"/>
      <c r="J37" s="1"/>
    </row>
    <row r="38" spans="1:10" ht="15" customHeight="1" x14ac:dyDescent="0.25">
      <c r="A38" s="21" t="s">
        <v>223</v>
      </c>
      <c r="B38" s="33"/>
      <c r="C38" s="89"/>
      <c r="D38" s="88"/>
      <c r="E38" s="155"/>
      <c r="F38" s="1"/>
      <c r="G38" s="1"/>
      <c r="H38" s="1"/>
      <c r="I38" s="1"/>
      <c r="J38" s="1"/>
    </row>
    <row r="39" spans="1:10" ht="15" customHeight="1" x14ac:dyDescent="0.25">
      <c r="A39" s="23" t="s">
        <v>224</v>
      </c>
      <c r="B39" s="33"/>
      <c r="C39" s="89">
        <v>0</v>
      </c>
      <c r="D39" s="88">
        <v>0</v>
      </c>
      <c r="E39" s="156" t="s">
        <v>643</v>
      </c>
      <c r="F39" s="1"/>
      <c r="G39" s="1"/>
      <c r="H39" s="1"/>
      <c r="I39" s="1"/>
      <c r="J39" s="1"/>
    </row>
    <row r="40" spans="1:10" ht="15" customHeight="1" x14ac:dyDescent="0.25">
      <c r="A40" s="23" t="s">
        <v>226</v>
      </c>
      <c r="B40" s="33"/>
      <c r="C40" s="89">
        <v>0</v>
      </c>
      <c r="D40" s="88">
        <v>0</v>
      </c>
      <c r="E40" s="156" t="s">
        <v>644</v>
      </c>
      <c r="F40" s="1"/>
      <c r="G40" s="1"/>
      <c r="H40" s="1"/>
      <c r="I40" s="1"/>
      <c r="J40" s="1"/>
    </row>
    <row r="41" spans="1:10" ht="15" customHeight="1" x14ac:dyDescent="0.25">
      <c r="A41" s="23" t="s">
        <v>228</v>
      </c>
      <c r="B41" s="33"/>
      <c r="C41" s="89">
        <v>0</v>
      </c>
      <c r="D41" s="88">
        <v>0</v>
      </c>
      <c r="E41" s="156" t="s">
        <v>645</v>
      </c>
      <c r="F41" s="1"/>
      <c r="G41" s="1"/>
      <c r="H41" s="1"/>
      <c r="I41" s="1"/>
      <c r="J41" s="1"/>
    </row>
    <row r="42" spans="1:10" ht="15" customHeight="1" x14ac:dyDescent="0.25">
      <c r="A42" s="23" t="s">
        <v>230</v>
      </c>
      <c r="B42" s="33"/>
      <c r="C42" s="89">
        <v>0</v>
      </c>
      <c r="D42" s="88">
        <v>0</v>
      </c>
      <c r="E42" s="156" t="s">
        <v>646</v>
      </c>
      <c r="F42" s="1"/>
      <c r="G42" s="1"/>
      <c r="H42" s="1"/>
      <c r="I42" s="1"/>
      <c r="J42" s="1"/>
    </row>
    <row r="43" spans="1:10" ht="15" customHeight="1" x14ac:dyDescent="0.25">
      <c r="A43" s="23" t="s">
        <v>232</v>
      </c>
      <c r="B43" s="33"/>
      <c r="C43" s="89">
        <v>0</v>
      </c>
      <c r="D43" s="88">
        <v>0</v>
      </c>
      <c r="E43" s="156" t="s">
        <v>647</v>
      </c>
      <c r="F43" s="1"/>
      <c r="G43" s="1"/>
      <c r="H43" s="1"/>
      <c r="I43" s="1"/>
      <c r="J43" s="1"/>
    </row>
    <row r="44" spans="1:10" ht="15" customHeight="1" x14ac:dyDescent="0.25">
      <c r="A44" s="23" t="s">
        <v>590</v>
      </c>
      <c r="B44" s="33"/>
      <c r="C44" s="89">
        <v>0</v>
      </c>
      <c r="D44" s="88">
        <v>0</v>
      </c>
      <c r="E44" s="156" t="s">
        <v>648</v>
      </c>
      <c r="F44" s="1"/>
      <c r="G44" s="1"/>
      <c r="H44" s="1"/>
      <c r="I44" s="1"/>
      <c r="J44" s="1"/>
    </row>
    <row r="45" spans="1:10" ht="15" customHeight="1" x14ac:dyDescent="0.25">
      <c r="A45" s="23" t="s">
        <v>235</v>
      </c>
      <c r="B45" s="33"/>
      <c r="C45" s="89">
        <v>0</v>
      </c>
      <c r="D45" s="88">
        <v>0</v>
      </c>
      <c r="E45" s="156" t="s">
        <v>649</v>
      </c>
      <c r="F45" s="1"/>
      <c r="G45" s="1"/>
      <c r="H45" s="1"/>
      <c r="I45" s="1"/>
      <c r="J45" s="1"/>
    </row>
    <row r="46" spans="1:10" ht="15" customHeight="1" x14ac:dyDescent="0.25">
      <c r="A46" s="23" t="s">
        <v>237</v>
      </c>
      <c r="B46" s="33"/>
      <c r="C46" s="89">
        <v>0</v>
      </c>
      <c r="D46" s="88">
        <v>0</v>
      </c>
      <c r="E46" s="156" t="s">
        <v>650</v>
      </c>
      <c r="F46" s="1"/>
      <c r="G46" s="1"/>
      <c r="H46" s="1"/>
      <c r="I46" s="1"/>
      <c r="J46" s="1"/>
    </row>
    <row r="47" spans="1:10" ht="15" customHeight="1" x14ac:dyDescent="0.25">
      <c r="A47" s="23" t="s">
        <v>239</v>
      </c>
      <c r="B47" s="33"/>
      <c r="C47" s="89">
        <v>0</v>
      </c>
      <c r="D47" s="88">
        <v>0</v>
      </c>
      <c r="E47" s="156" t="s">
        <v>651</v>
      </c>
      <c r="F47" s="1"/>
      <c r="G47" s="1"/>
      <c r="H47" s="1"/>
      <c r="I47" s="1"/>
      <c r="J47" s="1"/>
    </row>
    <row r="48" spans="1:10" ht="15" customHeight="1" x14ac:dyDescent="0.25">
      <c r="A48" s="23" t="s">
        <v>241</v>
      </c>
      <c r="B48" s="33"/>
      <c r="C48" s="89">
        <v>0</v>
      </c>
      <c r="D48" s="88">
        <v>0</v>
      </c>
      <c r="E48" s="156" t="s">
        <v>652</v>
      </c>
      <c r="F48" s="1"/>
      <c r="G48" s="1"/>
      <c r="H48" s="1"/>
      <c r="I48" s="1"/>
      <c r="J48" s="1"/>
    </row>
    <row r="49" spans="1:10" ht="15" customHeight="1" x14ac:dyDescent="0.25">
      <c r="A49" s="23" t="s">
        <v>243</v>
      </c>
      <c r="B49" s="33"/>
      <c r="C49" s="89">
        <v>0</v>
      </c>
      <c r="D49" s="88">
        <v>0</v>
      </c>
      <c r="E49" s="156" t="s">
        <v>653</v>
      </c>
      <c r="F49" s="1"/>
      <c r="G49" s="1"/>
      <c r="H49" s="1"/>
      <c r="I49" s="1"/>
      <c r="J49" s="1"/>
    </row>
    <row r="50" spans="1:10" ht="15" customHeight="1" x14ac:dyDescent="0.25">
      <c r="A50" s="23" t="s">
        <v>245</v>
      </c>
      <c r="B50" s="33"/>
      <c r="C50" s="89">
        <v>0</v>
      </c>
      <c r="D50" s="88">
        <v>0</v>
      </c>
      <c r="E50" s="156" t="s">
        <v>654</v>
      </c>
      <c r="F50" s="1"/>
      <c r="G50" s="1"/>
      <c r="H50" s="1"/>
      <c r="I50" s="1"/>
      <c r="J50" s="1"/>
    </row>
    <row r="51" spans="1:10" ht="15" customHeight="1" x14ac:dyDescent="0.25">
      <c r="A51" s="23" t="s">
        <v>247</v>
      </c>
      <c r="B51" s="33"/>
      <c r="C51" s="89">
        <v>0</v>
      </c>
      <c r="D51" s="88">
        <v>0</v>
      </c>
      <c r="E51" s="156" t="s">
        <v>655</v>
      </c>
      <c r="F51" s="1"/>
      <c r="G51" s="1"/>
      <c r="H51" s="1"/>
      <c r="I51" s="1"/>
      <c r="J51" s="1"/>
    </row>
    <row r="52" spans="1:10" ht="15" customHeight="1" x14ac:dyDescent="0.25">
      <c r="A52" s="23" t="s">
        <v>249</v>
      </c>
      <c r="B52" s="33"/>
      <c r="C52" s="89">
        <v>0</v>
      </c>
      <c r="D52" s="88">
        <v>0</v>
      </c>
      <c r="E52" s="156" t="s">
        <v>656</v>
      </c>
      <c r="F52" s="1"/>
      <c r="G52" s="1"/>
      <c r="H52" s="1"/>
      <c r="I52" s="1"/>
      <c r="J52" s="1"/>
    </row>
    <row r="53" spans="1:10" ht="15" customHeight="1" x14ac:dyDescent="0.25">
      <c r="A53" s="23" t="s">
        <v>251</v>
      </c>
      <c r="B53" s="33"/>
      <c r="C53" s="89">
        <v>0</v>
      </c>
      <c r="D53" s="88">
        <v>0</v>
      </c>
      <c r="E53" s="156" t="s">
        <v>657</v>
      </c>
      <c r="F53" s="1"/>
      <c r="G53" s="1"/>
      <c r="H53" s="1"/>
      <c r="I53" s="1"/>
      <c r="J53" s="1"/>
    </row>
    <row r="54" spans="1:10" ht="15" customHeight="1" x14ac:dyDescent="0.25">
      <c r="A54" s="36" t="s">
        <v>253</v>
      </c>
      <c r="B54" s="19"/>
      <c r="C54" s="90">
        <f>SUBTOTAL(9,C39:C53)</f>
        <v>0</v>
      </c>
      <c r="D54" s="91">
        <f>SUBTOTAL(9,D39:D53)</f>
        <v>0</v>
      </c>
      <c r="E54" s="154" t="s">
        <v>658</v>
      </c>
      <c r="F54" s="1"/>
      <c r="G54" s="1"/>
      <c r="H54" s="1"/>
      <c r="I54" s="459"/>
      <c r="J54" s="1"/>
    </row>
    <row r="55" spans="1:10" ht="15" customHeight="1" x14ac:dyDescent="0.25">
      <c r="A55" s="33"/>
      <c r="B55" s="33"/>
      <c r="C55" s="92"/>
      <c r="D55" s="93"/>
      <c r="E55" s="155"/>
      <c r="F55" s="1"/>
      <c r="G55" s="1"/>
      <c r="H55" s="1"/>
      <c r="I55" s="1"/>
      <c r="J55" s="1"/>
    </row>
    <row r="56" spans="1:10" ht="15" customHeight="1" x14ac:dyDescent="0.25">
      <c r="A56" s="23" t="s">
        <v>255</v>
      </c>
      <c r="B56" s="33"/>
      <c r="C56" s="97">
        <v>0</v>
      </c>
      <c r="D56" s="98">
        <v>0</v>
      </c>
      <c r="E56" s="155" t="s">
        <v>659</v>
      </c>
      <c r="F56" s="1"/>
      <c r="G56" s="1"/>
      <c r="H56" s="1"/>
      <c r="I56" s="1"/>
      <c r="J56" s="1"/>
    </row>
    <row r="57" spans="1:10" ht="15" customHeight="1" x14ac:dyDescent="0.25">
      <c r="A57" s="38" t="s">
        <v>256</v>
      </c>
      <c r="B57" s="19"/>
      <c r="C57" s="90">
        <f>SUBTOTAL(9,C10:C54)</f>
        <v>0</v>
      </c>
      <c r="D57" s="91">
        <f>SUBTOTAL(9,D10:D54)</f>
        <v>0</v>
      </c>
      <c r="E57" s="157" t="s">
        <v>660</v>
      </c>
      <c r="F57" s="1"/>
      <c r="G57" s="1"/>
      <c r="H57" s="1"/>
      <c r="I57" s="1"/>
      <c r="J57" s="1"/>
    </row>
    <row r="58" spans="1:10" ht="15" customHeight="1" x14ac:dyDescent="0.25">
      <c r="A58" s="38" t="s">
        <v>258</v>
      </c>
      <c r="B58" s="19"/>
      <c r="C58" s="106">
        <v>0</v>
      </c>
      <c r="D58" s="96">
        <v>0</v>
      </c>
      <c r="E58" s="157" t="s">
        <v>661</v>
      </c>
      <c r="F58" s="1"/>
      <c r="G58" s="1"/>
      <c r="H58" s="1"/>
      <c r="I58" s="1"/>
      <c r="J58" s="1"/>
    </row>
    <row r="59" spans="1:10" ht="15" customHeight="1" x14ac:dyDescent="0.25">
      <c r="A59" s="29" t="s">
        <v>260</v>
      </c>
      <c r="B59" s="39"/>
      <c r="C59" s="90">
        <f>SUBTOTAL(9,C10:C58)</f>
        <v>0</v>
      </c>
      <c r="D59" s="91">
        <f>SUBTOTAL(9,D10:D58)</f>
        <v>0</v>
      </c>
      <c r="E59" s="158" t="s">
        <v>662</v>
      </c>
      <c r="F59" s="1"/>
      <c r="G59" s="1"/>
      <c r="H59" s="1"/>
      <c r="I59" s="1"/>
      <c r="J59" s="1"/>
    </row>
    <row r="60" spans="1:10" ht="15.75" customHeight="1" x14ac:dyDescent="0.25">
      <c r="A60" s="1"/>
      <c r="B60" s="1"/>
      <c r="C60" s="348"/>
      <c r="D60" s="348"/>
      <c r="E60" s="137"/>
      <c r="F60" s="1"/>
      <c r="G60" s="1"/>
      <c r="H60" s="1"/>
      <c r="I60" s="1"/>
      <c r="J60" s="1"/>
    </row>
    <row r="61" spans="1:10" ht="15.75" customHeight="1" x14ac:dyDescent="0.25">
      <c r="A61" s="358" t="s">
        <v>683</v>
      </c>
      <c r="F61" s="1"/>
      <c r="G61" s="1"/>
      <c r="H61" s="1"/>
      <c r="I61" s="1"/>
      <c r="J61" s="1"/>
    </row>
    <row r="62" spans="1:10" ht="15.75" customHeight="1" x14ac:dyDescent="0.25">
      <c r="A62" s="402" t="s">
        <v>58</v>
      </c>
      <c r="B62" s="404"/>
      <c r="C62" s="405">
        <v>0</v>
      </c>
      <c r="D62" s="405">
        <v>0</v>
      </c>
      <c r="E62" s="405" t="s">
        <v>722</v>
      </c>
      <c r="F62" s="1"/>
      <c r="G62" s="1"/>
      <c r="H62" s="1"/>
      <c r="I62" s="1"/>
      <c r="J62" s="1"/>
    </row>
    <row r="63" spans="1:10" ht="15.75" customHeight="1" x14ac:dyDescent="0.25">
      <c r="A63" s="403" t="s">
        <v>184</v>
      </c>
      <c r="B63" s="271"/>
      <c r="C63" s="177">
        <v>0</v>
      </c>
      <c r="D63" s="177">
        <v>0</v>
      </c>
      <c r="E63" s="177" t="s">
        <v>723</v>
      </c>
      <c r="F63" s="1"/>
      <c r="G63" s="1"/>
      <c r="H63" s="1"/>
      <c r="I63" s="1"/>
      <c r="J63" s="1"/>
    </row>
    <row r="64" spans="1:10" ht="15.75" customHeight="1" x14ac:dyDescent="0.25">
      <c r="A64" s="403" t="s">
        <v>186</v>
      </c>
      <c r="B64" s="271"/>
      <c r="C64" s="177">
        <v>0</v>
      </c>
      <c r="D64" s="177">
        <v>0</v>
      </c>
      <c r="E64" s="177" t="s">
        <v>724</v>
      </c>
      <c r="F64" s="1"/>
      <c r="G64" s="1"/>
      <c r="H64" s="1"/>
      <c r="I64" s="1"/>
      <c r="J64" s="1"/>
    </row>
    <row r="65" spans="1:10" ht="15.75" customHeight="1" x14ac:dyDescent="0.25">
      <c r="A65" s="403" t="s">
        <v>188</v>
      </c>
      <c r="B65" s="271"/>
      <c r="C65" s="177">
        <v>0</v>
      </c>
      <c r="D65" s="177">
        <v>0</v>
      </c>
      <c r="E65" s="177" t="s">
        <v>725</v>
      </c>
      <c r="F65" s="1"/>
      <c r="G65" s="1"/>
      <c r="H65" s="1"/>
      <c r="I65" s="1"/>
      <c r="J65" s="1"/>
    </row>
    <row r="66" spans="1:10" ht="15.75" customHeight="1" x14ac:dyDescent="0.25">
      <c r="A66" s="403" t="s">
        <v>190</v>
      </c>
      <c r="B66" s="271"/>
      <c r="C66" s="177">
        <v>0</v>
      </c>
      <c r="D66" s="177">
        <v>0</v>
      </c>
      <c r="E66" s="177" t="s">
        <v>726</v>
      </c>
      <c r="F66" s="1"/>
      <c r="G66" s="1"/>
      <c r="H66" s="1"/>
      <c r="I66" s="1"/>
      <c r="J66" s="1"/>
    </row>
    <row r="67" spans="1:10" ht="15.75" customHeight="1" x14ac:dyDescent="0.25">
      <c r="A67" s="403" t="s">
        <v>192</v>
      </c>
      <c r="B67" s="271"/>
      <c r="C67" s="177">
        <v>0</v>
      </c>
      <c r="D67" s="177">
        <v>0</v>
      </c>
      <c r="E67" s="177" t="s">
        <v>727</v>
      </c>
      <c r="F67" s="1"/>
      <c r="G67" s="1"/>
      <c r="H67" s="1"/>
      <c r="I67" s="1"/>
      <c r="J67" s="1"/>
    </row>
    <row r="68" spans="1:10" ht="15.75" customHeight="1" x14ac:dyDescent="0.25">
      <c r="A68" s="403" t="s">
        <v>194</v>
      </c>
      <c r="B68" s="271"/>
      <c r="C68" s="177">
        <v>0</v>
      </c>
      <c r="D68" s="177">
        <v>0</v>
      </c>
      <c r="E68" s="177" t="s">
        <v>728</v>
      </c>
      <c r="F68" s="1"/>
      <c r="G68" s="1"/>
      <c r="H68" s="1"/>
      <c r="I68" s="1"/>
      <c r="J68" s="1"/>
    </row>
    <row r="69" spans="1:10" ht="15.75" customHeight="1" x14ac:dyDescent="0.25">
      <c r="A69" s="403" t="s">
        <v>196</v>
      </c>
      <c r="B69" s="271"/>
      <c r="C69" s="177">
        <v>0</v>
      </c>
      <c r="D69" s="177">
        <v>0</v>
      </c>
      <c r="E69" s="177" t="s">
        <v>729</v>
      </c>
      <c r="F69" s="1"/>
      <c r="G69" s="1"/>
      <c r="H69" s="1"/>
      <c r="I69" s="1"/>
      <c r="J69" s="1"/>
    </row>
    <row r="70" spans="1:10" ht="15.75" customHeight="1" x14ac:dyDescent="0.25">
      <c r="A70" s="403" t="s">
        <v>198</v>
      </c>
      <c r="B70" s="271"/>
      <c r="C70" s="177">
        <v>0</v>
      </c>
      <c r="D70" s="177">
        <v>0</v>
      </c>
      <c r="E70" s="177" t="s">
        <v>730</v>
      </c>
      <c r="F70" s="1"/>
      <c r="G70" s="1"/>
      <c r="H70" s="1"/>
      <c r="I70" s="1"/>
      <c r="J70" s="1"/>
    </row>
    <row r="71" spans="1:10" ht="15.75" customHeight="1" x14ac:dyDescent="0.25">
      <c r="A71" s="403" t="s">
        <v>200</v>
      </c>
      <c r="B71" s="271"/>
      <c r="C71" s="177">
        <v>0</v>
      </c>
      <c r="D71" s="177">
        <v>0</v>
      </c>
      <c r="E71" s="177" t="s">
        <v>731</v>
      </c>
      <c r="F71" s="1"/>
      <c r="G71" s="1"/>
      <c r="H71" s="1"/>
      <c r="I71" s="1"/>
      <c r="J71" s="1"/>
    </row>
    <row r="72" spans="1:10" ht="15.75" customHeight="1" x14ac:dyDescent="0.25">
      <c r="A72" s="403" t="s">
        <v>202</v>
      </c>
      <c r="B72" s="271"/>
      <c r="C72" s="177">
        <v>0</v>
      </c>
      <c r="D72" s="177">
        <v>0</v>
      </c>
      <c r="E72" s="177" t="s">
        <v>732</v>
      </c>
      <c r="F72" s="1"/>
      <c r="G72" s="1"/>
      <c r="H72" s="1"/>
      <c r="I72" s="1"/>
      <c r="J72" s="1"/>
    </row>
    <row r="73" spans="1:10" ht="15.75" customHeight="1" x14ac:dyDescent="0.25">
      <c r="A73" s="403" t="s">
        <v>204</v>
      </c>
      <c r="B73" s="271"/>
      <c r="C73" s="177">
        <v>0</v>
      </c>
      <c r="D73" s="177">
        <v>0</v>
      </c>
      <c r="E73" s="177" t="s">
        <v>733</v>
      </c>
      <c r="F73" s="1"/>
      <c r="G73" s="1"/>
      <c r="H73" s="1"/>
      <c r="I73" s="1"/>
      <c r="J73" s="1"/>
    </row>
    <row r="74" spans="1:10" ht="15.75" customHeight="1" x14ac:dyDescent="0.25">
      <c r="A74" s="406" t="s">
        <v>684</v>
      </c>
      <c r="B74" s="161"/>
      <c r="C74" s="401">
        <f>SUBTOTAL(9,C62:C73)</f>
        <v>0</v>
      </c>
      <c r="D74" s="162">
        <f>SUBTOTAL(9,D62:D73)</f>
        <v>0</v>
      </c>
      <c r="E74" s="158" t="s">
        <v>734</v>
      </c>
      <c r="F74" s="1"/>
      <c r="G74" s="1"/>
      <c r="H74" s="1"/>
      <c r="I74" s="1"/>
      <c r="J74" s="1"/>
    </row>
  </sheetData>
  <sheetProtection formatCells="0" formatColumns="0" formatRows="0" insertColumns="0"/>
  <pageMargins left="0.51181102362204722" right="0.51181102362204722" top="0.55118110236220474" bottom="0.55118110236220474" header="0.31496062992125984" footer="0.31496062992125984"/>
  <pageSetup paperSize="9" scale="82" fitToHeight="0" orientation="portrait" r:id="rId1"/>
  <rowBreaks count="1" manualBreakCount="1">
    <brk id="60" max="16383"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94"/>
  <sheetViews>
    <sheetView topLeftCell="A63" zoomScaleNormal="100" workbookViewId="0">
      <selection activeCell="B90" sqref="B90"/>
    </sheetView>
  </sheetViews>
  <sheetFormatPr baseColWidth="10" defaultColWidth="17.28515625" defaultRowHeight="15.75" customHeight="1" x14ac:dyDescent="0.25"/>
  <cols>
    <col min="1" max="1" width="78" style="55" bestFit="1" customWidth="1"/>
    <col min="2" max="3" width="15.7109375" style="108" customWidth="1"/>
    <col min="4" max="4" width="13.7109375" style="78" bestFit="1" customWidth="1"/>
    <col min="5" max="6" width="10.7109375" style="55" customWidth="1"/>
    <col min="7" max="16384" width="17.28515625" style="55"/>
  </cols>
  <sheetData>
    <row r="1" spans="1:9" ht="12.75" customHeight="1" x14ac:dyDescent="0.25">
      <c r="B1" s="76"/>
      <c r="C1" s="76"/>
    </row>
    <row r="2" spans="1:9" ht="15.75" customHeight="1" x14ac:dyDescent="0.25">
      <c r="A2" s="341" t="str">
        <f>Resultatregnskap!A2</f>
        <v>Virksomhetens navn: Bergen Arkitekthøgskole</v>
      </c>
      <c r="B2" s="139"/>
      <c r="C2" s="139"/>
      <c r="D2" s="137"/>
      <c r="E2" s="40"/>
      <c r="F2" s="40"/>
    </row>
    <row r="3" spans="1:9" ht="12.75" customHeight="1" x14ac:dyDescent="0.25">
      <c r="A3" s="455" t="s">
        <v>830</v>
      </c>
      <c r="B3" s="76"/>
      <c r="C3" s="76"/>
      <c r="D3" s="137"/>
      <c r="F3" s="40"/>
    </row>
    <row r="4" spans="1:9" ht="15" x14ac:dyDescent="0.25">
      <c r="A4" s="64" t="s">
        <v>262</v>
      </c>
      <c r="B4" s="114"/>
      <c r="C4" s="114"/>
      <c r="D4" s="114"/>
      <c r="E4" s="40"/>
      <c r="F4" s="40"/>
    </row>
    <row r="5" spans="1:9" s="141" customFormat="1" ht="15" x14ac:dyDescent="0.25">
      <c r="A5" s="66" t="str">
        <f>Resultatregnskap!A6</f>
        <v>Beløp i 1000 kroner</v>
      </c>
      <c r="B5" s="192"/>
      <c r="C5" s="192"/>
      <c r="D5" s="192"/>
      <c r="E5" s="40"/>
      <c r="F5" s="40"/>
    </row>
    <row r="6" spans="1:9" ht="16.149999999999999" customHeight="1" x14ac:dyDescent="0.25">
      <c r="A6" s="452" t="s">
        <v>29</v>
      </c>
      <c r="B6" s="335">
        <f>Resultatregnskap!C8</f>
        <v>45657</v>
      </c>
      <c r="C6" s="336">
        <f>Resultatregnskap!D8</f>
        <v>45291</v>
      </c>
      <c r="D6" s="193" t="str">
        <f>Resultatregnskap!E8</f>
        <v>DBH-referanse</v>
      </c>
      <c r="E6" s="40"/>
      <c r="F6" s="40"/>
      <c r="G6" s="40"/>
      <c r="H6" s="40"/>
      <c r="I6" s="40"/>
    </row>
    <row r="7" spans="1:9" ht="15" customHeight="1" x14ac:dyDescent="0.25">
      <c r="A7" s="65"/>
      <c r="B7" s="302"/>
      <c r="C7" s="302"/>
      <c r="D7" s="144"/>
      <c r="E7" s="40"/>
      <c r="F7" s="40"/>
      <c r="G7" s="40"/>
      <c r="H7" s="40"/>
    </row>
    <row r="8" spans="1:9" ht="15" customHeight="1" x14ac:dyDescent="0.25">
      <c r="A8" s="20" t="s">
        <v>364</v>
      </c>
      <c r="B8" s="302">
        <f>21648000/1000</f>
        <v>21648</v>
      </c>
      <c r="C8" s="579">
        <f>(22715000+485000)/1000</f>
        <v>23200</v>
      </c>
      <c r="D8" s="145" t="s">
        <v>263</v>
      </c>
      <c r="E8" s="40"/>
      <c r="F8" s="40"/>
      <c r="G8" s="40"/>
      <c r="H8" s="40"/>
    </row>
    <row r="9" spans="1:9" ht="15" customHeight="1" x14ac:dyDescent="0.25">
      <c r="A9" s="20" t="s">
        <v>365</v>
      </c>
      <c r="B9" s="302">
        <v>0</v>
      </c>
      <c r="C9" s="302">
        <v>0</v>
      </c>
      <c r="D9" s="145" t="s">
        <v>264</v>
      </c>
      <c r="E9" s="40"/>
      <c r="F9" s="40"/>
      <c r="G9" s="40"/>
      <c r="H9" s="40"/>
    </row>
    <row r="10" spans="1:9" ht="15" customHeight="1" x14ac:dyDescent="0.25">
      <c r="A10" s="128" t="s">
        <v>777</v>
      </c>
      <c r="B10" s="303">
        <f>SUBTOTAL(9,B8:B9)</f>
        <v>21648</v>
      </c>
      <c r="C10" s="303">
        <f>SUBTOTAL(9,C8:C9)</f>
        <v>23200</v>
      </c>
      <c r="D10" s="143" t="s">
        <v>778</v>
      </c>
      <c r="E10" s="40"/>
      <c r="F10" s="40"/>
      <c r="G10" s="40"/>
      <c r="H10" s="40"/>
    </row>
    <row r="11" spans="1:9" ht="15" customHeight="1" x14ac:dyDescent="0.25">
      <c r="A11" s="20"/>
      <c r="B11" s="302"/>
      <c r="C11" s="302"/>
      <c r="D11" s="145"/>
      <c r="E11" s="40"/>
      <c r="F11" s="40"/>
      <c r="G11" s="40"/>
      <c r="H11" s="40"/>
    </row>
    <row r="12" spans="1:9" ht="15" customHeight="1" x14ac:dyDescent="0.25">
      <c r="A12" s="66" t="s">
        <v>370</v>
      </c>
      <c r="B12" s="302"/>
      <c r="C12" s="302"/>
      <c r="D12" s="145"/>
      <c r="E12" s="40"/>
      <c r="F12" s="40"/>
      <c r="G12" s="40"/>
      <c r="H12" s="40"/>
    </row>
    <row r="13" spans="1:9" ht="15" customHeight="1" x14ac:dyDescent="0.25">
      <c r="A13" s="126" t="s">
        <v>366</v>
      </c>
      <c r="B13" s="302">
        <v>0</v>
      </c>
      <c r="C13" s="302">
        <v>0</v>
      </c>
      <c r="D13" s="145" t="s">
        <v>369</v>
      </c>
      <c r="E13" s="40"/>
      <c r="F13" s="40"/>
      <c r="G13" s="40"/>
      <c r="H13" s="40"/>
    </row>
    <row r="14" spans="1:9" ht="15" customHeight="1" x14ac:dyDescent="0.25">
      <c r="A14" s="126" t="s">
        <v>367</v>
      </c>
      <c r="B14" s="302">
        <v>0</v>
      </c>
      <c r="C14" s="302">
        <v>0</v>
      </c>
      <c r="D14" s="145" t="s">
        <v>372</v>
      </c>
      <c r="E14" s="40"/>
      <c r="F14" s="40"/>
      <c r="G14" s="40"/>
      <c r="H14" s="40"/>
    </row>
    <row r="15" spans="1:9" ht="15" customHeight="1" x14ac:dyDescent="0.25">
      <c r="A15" s="126" t="s">
        <v>368</v>
      </c>
      <c r="B15" s="302">
        <v>0</v>
      </c>
      <c r="C15" s="302">
        <v>0</v>
      </c>
      <c r="D15" s="145" t="s">
        <v>373</v>
      </c>
      <c r="E15" s="40"/>
      <c r="F15" s="40"/>
      <c r="G15" s="40"/>
      <c r="H15" s="40"/>
    </row>
    <row r="16" spans="1:9" ht="15" customHeight="1" x14ac:dyDescent="0.25">
      <c r="A16" s="126" t="s">
        <v>371</v>
      </c>
      <c r="B16" s="302">
        <v>0</v>
      </c>
      <c r="C16" s="302">
        <v>0</v>
      </c>
      <c r="D16" s="145" t="s">
        <v>374</v>
      </c>
      <c r="E16" s="40"/>
      <c r="F16" s="40"/>
      <c r="G16" s="40"/>
      <c r="H16" s="40"/>
    </row>
    <row r="17" spans="1:8" ht="15" customHeight="1" x14ac:dyDescent="0.25">
      <c r="A17" s="127" t="s">
        <v>465</v>
      </c>
      <c r="B17" s="303">
        <f>SUBTOTAL(9,B13:B16)</f>
        <v>0</v>
      </c>
      <c r="C17" s="303">
        <f t="shared" ref="C17" si="0">SUBTOTAL(9,C13:C16)</f>
        <v>0</v>
      </c>
      <c r="D17" s="143" t="s">
        <v>265</v>
      </c>
      <c r="E17" s="40"/>
      <c r="F17" s="40"/>
      <c r="G17" s="40"/>
      <c r="H17" s="40"/>
    </row>
    <row r="18" spans="1:8" ht="15" customHeight="1" x14ac:dyDescent="0.25">
      <c r="A18" s="126"/>
      <c r="B18" s="302"/>
      <c r="C18" s="302"/>
      <c r="D18" s="145"/>
      <c r="E18" s="40"/>
      <c r="F18" s="40"/>
      <c r="G18" s="40"/>
      <c r="H18" s="40"/>
    </row>
    <row r="19" spans="1:8" ht="15" customHeight="1" x14ac:dyDescent="0.25">
      <c r="A19" s="126" t="s">
        <v>375</v>
      </c>
      <c r="B19" s="302">
        <v>0</v>
      </c>
      <c r="C19" s="302">
        <v>0</v>
      </c>
      <c r="D19" s="145" t="s">
        <v>379</v>
      </c>
      <c r="E19" s="40"/>
      <c r="F19" s="40"/>
      <c r="G19" s="40"/>
      <c r="H19" s="40"/>
    </row>
    <row r="20" spans="1:8" ht="15" customHeight="1" x14ac:dyDescent="0.25">
      <c r="A20" s="126" t="s">
        <v>376</v>
      </c>
      <c r="B20" s="302">
        <v>0</v>
      </c>
      <c r="C20" s="302">
        <v>0</v>
      </c>
      <c r="D20" s="145" t="s">
        <v>380</v>
      </c>
      <c r="E20" s="40"/>
      <c r="F20" s="40"/>
      <c r="G20" s="40"/>
      <c r="H20" s="40"/>
    </row>
    <row r="21" spans="1:8" ht="15" customHeight="1" x14ac:dyDescent="0.25">
      <c r="A21" s="126" t="s">
        <v>378</v>
      </c>
      <c r="B21" s="302">
        <v>0</v>
      </c>
      <c r="C21" s="302">
        <v>0</v>
      </c>
      <c r="D21" s="145" t="s">
        <v>381</v>
      </c>
      <c r="E21" s="40"/>
      <c r="F21" s="40"/>
      <c r="G21" s="40"/>
      <c r="H21" s="40"/>
    </row>
    <row r="22" spans="1:8" ht="15" customHeight="1" x14ac:dyDescent="0.25">
      <c r="A22" s="128" t="s">
        <v>377</v>
      </c>
      <c r="B22" s="303">
        <f>SUBTOTAL(9,B19:B21)</f>
        <v>0</v>
      </c>
      <c r="C22" s="303">
        <f t="shared" ref="C22" si="1">SUBTOTAL(9,C19:C21)</f>
        <v>0</v>
      </c>
      <c r="D22" s="143" t="s">
        <v>266</v>
      </c>
      <c r="E22" s="40"/>
      <c r="F22" s="40"/>
      <c r="G22" s="40"/>
      <c r="H22" s="40"/>
    </row>
    <row r="23" spans="1:8" ht="15" customHeight="1" x14ac:dyDescent="0.25">
      <c r="A23" s="20" t="s">
        <v>384</v>
      </c>
      <c r="B23" s="302"/>
      <c r="C23" s="302"/>
      <c r="D23" s="145" t="s">
        <v>382</v>
      </c>
      <c r="E23" s="40"/>
      <c r="F23" s="40"/>
      <c r="G23" s="40"/>
      <c r="H23" s="40"/>
    </row>
    <row r="24" spans="1:8" ht="15" customHeight="1" x14ac:dyDescent="0.25">
      <c r="A24" s="129" t="s">
        <v>383</v>
      </c>
      <c r="B24" s="303">
        <f>SUBTOTAL(9,B13:B23)</f>
        <v>0</v>
      </c>
      <c r="C24" s="303">
        <f t="shared" ref="C24" si="2">SUBTOTAL(9,C13:C23)</f>
        <v>0</v>
      </c>
      <c r="D24" s="143" t="s">
        <v>386</v>
      </c>
      <c r="E24" s="40"/>
      <c r="F24" s="40"/>
      <c r="G24" s="40"/>
      <c r="H24" s="40"/>
    </row>
    <row r="25" spans="1:8" ht="15" customHeight="1" x14ac:dyDescent="0.25">
      <c r="A25" s="20"/>
      <c r="B25" s="302"/>
      <c r="C25" s="302"/>
      <c r="D25" s="145"/>
      <c r="E25" s="40"/>
      <c r="F25" s="40"/>
      <c r="G25" s="40"/>
      <c r="H25" s="40"/>
    </row>
    <row r="26" spans="1:8" ht="15" customHeight="1" x14ac:dyDescent="0.25">
      <c r="A26" s="450" t="s">
        <v>387</v>
      </c>
      <c r="B26" s="304">
        <f>SUBTOTAL(9,B8:B24)</f>
        <v>21648</v>
      </c>
      <c r="C26" s="304">
        <f>SUBTOTAL(9,C8:C24)</f>
        <v>23200</v>
      </c>
      <c r="D26" s="143" t="s">
        <v>267</v>
      </c>
      <c r="E26" s="40"/>
      <c r="F26" s="40"/>
      <c r="G26" s="40"/>
      <c r="H26" s="40"/>
    </row>
    <row r="27" spans="1:8" ht="15" customHeight="1" x14ac:dyDescent="0.25">
      <c r="A27" s="66"/>
      <c r="B27" s="107"/>
      <c r="C27" s="107"/>
      <c r="D27" s="138"/>
      <c r="E27" s="40"/>
      <c r="F27" s="40"/>
      <c r="G27" s="40"/>
      <c r="H27" s="40"/>
    </row>
    <row r="28" spans="1:8" ht="15" customHeight="1" x14ac:dyDescent="0.25">
      <c r="A28" s="599" t="s">
        <v>824</v>
      </c>
      <c r="B28" s="599"/>
      <c r="C28" s="599"/>
      <c r="D28" s="599"/>
      <c r="E28" s="40"/>
      <c r="F28" s="40"/>
      <c r="G28" s="40"/>
      <c r="H28" s="40"/>
    </row>
    <row r="29" spans="1:8" ht="30" customHeight="1" x14ac:dyDescent="0.25">
      <c r="A29" s="599"/>
      <c r="B29" s="599"/>
      <c r="C29" s="599"/>
      <c r="D29" s="599"/>
      <c r="E29" s="40"/>
      <c r="F29" s="40"/>
      <c r="G29" s="40"/>
      <c r="H29" s="40"/>
    </row>
    <row r="30" spans="1:8" ht="15" customHeight="1" x14ac:dyDescent="0.25">
      <c r="A30" s="489"/>
      <c r="B30" s="489"/>
      <c r="C30" s="489"/>
      <c r="D30" s="489"/>
      <c r="E30" s="40"/>
      <c r="F30" s="40"/>
      <c r="G30" s="40"/>
      <c r="H30" s="40"/>
    </row>
    <row r="31" spans="1:8" ht="15" customHeight="1" x14ac:dyDescent="0.25">
      <c r="A31" s="599" t="s">
        <v>385</v>
      </c>
      <c r="B31" s="599"/>
      <c r="C31" s="599"/>
      <c r="D31" s="599"/>
      <c r="E31" s="40"/>
      <c r="F31" s="40"/>
      <c r="G31" s="40"/>
      <c r="H31" s="40"/>
    </row>
    <row r="32" spans="1:8" ht="15" customHeight="1" x14ac:dyDescent="0.25">
      <c r="A32" s="599"/>
      <c r="B32" s="599"/>
      <c r="C32" s="599"/>
      <c r="D32" s="599"/>
      <c r="E32" s="40"/>
      <c r="F32" s="40"/>
      <c r="G32" s="40"/>
      <c r="H32" s="40"/>
    </row>
    <row r="33" spans="1:8" ht="15" customHeight="1" x14ac:dyDescent="0.25">
      <c r="A33" s="489"/>
      <c r="B33" s="489"/>
      <c r="C33" s="489"/>
      <c r="D33" s="489"/>
      <c r="E33" s="40"/>
      <c r="F33" s="40"/>
      <c r="G33" s="40"/>
      <c r="H33" s="40"/>
    </row>
    <row r="34" spans="1:8" ht="15" customHeight="1" x14ac:dyDescent="0.25">
      <c r="A34" s="490" t="s">
        <v>825</v>
      </c>
      <c r="B34" s="491">
        <f>B6</f>
        <v>45657</v>
      </c>
      <c r="C34" s="492">
        <f>C6</f>
        <v>45291</v>
      </c>
      <c r="D34" s="193" t="s">
        <v>466</v>
      </c>
      <c r="E34" s="40"/>
      <c r="F34" s="40"/>
      <c r="G34" s="40"/>
      <c r="H34" s="40"/>
    </row>
    <row r="35" spans="1:8" ht="15" customHeight="1" x14ac:dyDescent="0.25">
      <c r="A35" s="489"/>
      <c r="B35" s="493"/>
      <c r="C35" s="494"/>
      <c r="D35" s="495"/>
      <c r="E35" s="40"/>
      <c r="F35" s="40"/>
      <c r="G35" s="40"/>
      <c r="H35" s="40"/>
    </row>
    <row r="36" spans="1:8" ht="15" customHeight="1" x14ac:dyDescent="0.25">
      <c r="A36" s="134" t="s">
        <v>396</v>
      </c>
      <c r="B36" s="502">
        <v>0</v>
      </c>
      <c r="C36" s="503">
        <v>0</v>
      </c>
      <c r="D36" s="145" t="s">
        <v>397</v>
      </c>
      <c r="E36" s="40"/>
      <c r="F36" s="40"/>
      <c r="G36" s="40"/>
      <c r="H36" s="40"/>
    </row>
    <row r="37" spans="1:8" ht="15" customHeight="1" x14ac:dyDescent="0.25">
      <c r="A37" s="135" t="s">
        <v>394</v>
      </c>
      <c r="B37" s="502">
        <v>0</v>
      </c>
      <c r="C37" s="503">
        <v>0</v>
      </c>
      <c r="D37" s="145" t="s">
        <v>398</v>
      </c>
      <c r="E37" s="40"/>
      <c r="F37" s="40"/>
      <c r="G37" s="40"/>
      <c r="H37" s="40"/>
    </row>
    <row r="38" spans="1:8" ht="15" customHeight="1" x14ac:dyDescent="0.25">
      <c r="A38" s="136" t="s">
        <v>395</v>
      </c>
      <c r="B38" s="504">
        <f>SUBTOTAL(9,B36:B37)</f>
        <v>0</v>
      </c>
      <c r="C38" s="505">
        <f t="shared" ref="C38" si="3">SUBTOTAL(9,C36:C37)</f>
        <v>0</v>
      </c>
      <c r="D38" s="143" t="s">
        <v>403</v>
      </c>
      <c r="E38" s="40"/>
      <c r="F38" s="40"/>
      <c r="G38" s="40"/>
      <c r="H38" s="40"/>
    </row>
    <row r="39" spans="1:8" ht="15" customHeight="1" x14ac:dyDescent="0.25">
      <c r="A39" s="489"/>
      <c r="B39" s="493"/>
      <c r="C39" s="494"/>
      <c r="D39" s="495"/>
      <c r="E39" s="40"/>
      <c r="F39" s="40"/>
      <c r="G39" s="40"/>
      <c r="H39" s="40"/>
    </row>
    <row r="40" spans="1:8" ht="15" customHeight="1" x14ac:dyDescent="0.25">
      <c r="A40" s="487" t="s">
        <v>807</v>
      </c>
      <c r="B40" s="305">
        <v>0</v>
      </c>
      <c r="C40" s="309">
        <v>0</v>
      </c>
      <c r="D40" s="145" t="s">
        <v>399</v>
      </c>
      <c r="E40" s="40"/>
      <c r="F40" s="40"/>
      <c r="G40" s="40"/>
      <c r="H40" s="40"/>
    </row>
    <row r="41" spans="1:8" ht="15" customHeight="1" x14ac:dyDescent="0.25">
      <c r="A41" s="126" t="s">
        <v>828</v>
      </c>
      <c r="B41" s="305">
        <v>0</v>
      </c>
      <c r="C41" s="309">
        <v>0</v>
      </c>
      <c r="D41" s="145" t="s">
        <v>400</v>
      </c>
      <c r="E41" s="40"/>
      <c r="F41" s="40"/>
      <c r="G41" s="40"/>
      <c r="H41" s="40"/>
    </row>
    <row r="42" spans="1:8" ht="15" customHeight="1" x14ac:dyDescent="0.25">
      <c r="A42" s="126" t="s">
        <v>829</v>
      </c>
      <c r="B42" s="305">
        <v>0</v>
      </c>
      <c r="C42" s="309">
        <v>0</v>
      </c>
      <c r="D42" s="145" t="s">
        <v>401</v>
      </c>
      <c r="E42" s="40"/>
      <c r="F42" s="40"/>
      <c r="G42" s="40"/>
      <c r="H42" s="40"/>
    </row>
    <row r="43" spans="1:8" ht="15" customHeight="1" x14ac:dyDescent="0.25">
      <c r="A43" s="128" t="s">
        <v>389</v>
      </c>
      <c r="B43" s="306">
        <f>SUBTOTAL(9,B40:B42)</f>
        <v>0</v>
      </c>
      <c r="C43" s="310">
        <f t="shared" ref="C43" si="4">SUBTOTAL(9,C40:C42)</f>
        <v>0</v>
      </c>
      <c r="D43" s="143" t="s">
        <v>402</v>
      </c>
      <c r="E43" s="40"/>
      <c r="F43" s="40"/>
      <c r="G43" s="40"/>
      <c r="H43" s="40"/>
    </row>
    <row r="44" spans="1:8" ht="15" customHeight="1" x14ac:dyDescent="0.25">
      <c r="A44" s="20"/>
      <c r="B44" s="305"/>
      <c r="C44" s="309"/>
      <c r="D44" s="145"/>
      <c r="E44" s="40"/>
      <c r="F44" s="40"/>
      <c r="G44" s="40"/>
      <c r="H44" s="40"/>
    </row>
    <row r="45" spans="1:8" ht="15" customHeight="1" x14ac:dyDescent="0.25">
      <c r="A45" s="20" t="s">
        <v>268</v>
      </c>
      <c r="B45" s="305">
        <v>0</v>
      </c>
      <c r="C45" s="577">
        <f>(442456+69866)/1000</f>
        <v>512.322</v>
      </c>
      <c r="D45" s="145" t="s">
        <v>392</v>
      </c>
      <c r="E45" s="40"/>
      <c r="F45" s="40"/>
      <c r="G45" s="40"/>
      <c r="H45" s="40"/>
    </row>
    <row r="46" spans="1:8" ht="15" customHeight="1" x14ac:dyDescent="0.25">
      <c r="A46" s="126" t="s">
        <v>388</v>
      </c>
      <c r="B46" s="305">
        <v>0</v>
      </c>
      <c r="C46" s="309">
        <v>0</v>
      </c>
      <c r="D46" s="145" t="s">
        <v>393</v>
      </c>
      <c r="E46" s="40"/>
      <c r="F46" s="40"/>
      <c r="G46" s="40"/>
      <c r="H46" s="40"/>
    </row>
    <row r="47" spans="1:8" ht="15" customHeight="1" x14ac:dyDescent="0.25">
      <c r="A47" s="126" t="s">
        <v>390</v>
      </c>
      <c r="B47" s="305">
        <v>0</v>
      </c>
      <c r="C47" s="309">
        <v>0</v>
      </c>
      <c r="D47" s="145" t="s">
        <v>620</v>
      </c>
      <c r="E47" s="40"/>
      <c r="F47" s="40"/>
      <c r="G47" s="40"/>
      <c r="H47" s="40"/>
    </row>
    <row r="48" spans="1:8" ht="15" customHeight="1" x14ac:dyDescent="0.25">
      <c r="A48" s="128" t="s">
        <v>391</v>
      </c>
      <c r="B48" s="306">
        <f>SUBTOTAL(9,B45:B47)</f>
        <v>0</v>
      </c>
      <c r="C48" s="310">
        <f t="shared" ref="C48" si="5">SUBTOTAL(9,C45:C47)</f>
        <v>512.322</v>
      </c>
      <c r="D48" s="143" t="s">
        <v>405</v>
      </c>
      <c r="E48" s="40"/>
      <c r="F48" s="40"/>
      <c r="G48" s="40"/>
      <c r="H48" s="40"/>
    </row>
    <row r="49" spans="1:8" ht="15" customHeight="1" x14ac:dyDescent="0.25">
      <c r="A49" s="20"/>
      <c r="B49" s="305"/>
      <c r="C49" s="309"/>
      <c r="D49" s="145"/>
      <c r="E49" s="40"/>
      <c r="F49" s="40"/>
      <c r="G49" s="40"/>
      <c r="H49" s="40"/>
    </row>
    <row r="50" spans="1:8" ht="15" customHeight="1" x14ac:dyDescent="0.25">
      <c r="A50" s="66" t="s">
        <v>555</v>
      </c>
      <c r="B50" s="305"/>
      <c r="C50" s="309"/>
      <c r="D50" s="145"/>
      <c r="E50" s="40"/>
      <c r="F50" s="40"/>
      <c r="G50" s="40"/>
      <c r="H50" s="40"/>
    </row>
    <row r="51" spans="1:8" ht="15" customHeight="1" x14ac:dyDescent="0.25">
      <c r="A51" s="20" t="s">
        <v>404</v>
      </c>
      <c r="B51" s="305">
        <f>175902/1000</f>
        <v>175.90199999999999</v>
      </c>
      <c r="C51" s="309">
        <v>0</v>
      </c>
      <c r="D51" s="145" t="s">
        <v>406</v>
      </c>
      <c r="E51" s="40"/>
      <c r="F51" s="40"/>
      <c r="G51" s="40"/>
      <c r="H51" s="40"/>
    </row>
    <row r="52" spans="1:8" ht="15" customHeight="1" x14ac:dyDescent="0.25">
      <c r="A52" s="20" t="s">
        <v>407</v>
      </c>
      <c r="B52" s="305">
        <f>150509/1000</f>
        <v>150.50899999999999</v>
      </c>
      <c r="C52" s="577">
        <f>144700/1000</f>
        <v>144.69999999999999</v>
      </c>
      <c r="D52" s="145" t="s">
        <v>411</v>
      </c>
      <c r="E52" s="40"/>
      <c r="F52" s="40"/>
      <c r="G52" s="40"/>
      <c r="H52" s="40"/>
    </row>
    <row r="53" spans="1:8" ht="15" customHeight="1" x14ac:dyDescent="0.25">
      <c r="A53" s="20" t="s">
        <v>408</v>
      </c>
      <c r="B53" s="305">
        <v>0</v>
      </c>
      <c r="C53" s="309">
        <v>0</v>
      </c>
      <c r="D53" s="145" t="s">
        <v>412</v>
      </c>
      <c r="E53" s="40"/>
      <c r="F53" s="40"/>
      <c r="G53" s="40"/>
      <c r="H53" s="40"/>
    </row>
    <row r="54" spans="1:8" ht="15" customHeight="1" x14ac:dyDescent="0.25">
      <c r="A54" s="20" t="s">
        <v>409</v>
      </c>
      <c r="B54" s="305">
        <v>0</v>
      </c>
      <c r="C54" s="309">
        <v>0</v>
      </c>
      <c r="D54" s="145" t="s">
        <v>413</v>
      </c>
      <c r="E54" s="40"/>
      <c r="F54" s="40"/>
      <c r="G54" s="40"/>
      <c r="H54" s="40"/>
    </row>
    <row r="55" spans="1:8" ht="15" customHeight="1" x14ac:dyDescent="0.25">
      <c r="A55" s="20" t="s">
        <v>410</v>
      </c>
      <c r="B55" s="305">
        <v>0</v>
      </c>
      <c r="C55" s="309">
        <v>0</v>
      </c>
      <c r="D55" s="145" t="s">
        <v>414</v>
      </c>
      <c r="E55" s="40"/>
      <c r="F55" s="40"/>
      <c r="G55" s="40"/>
      <c r="H55" s="40"/>
    </row>
    <row r="56" spans="1:8" ht="15" customHeight="1" x14ac:dyDescent="0.25">
      <c r="A56" s="128" t="s">
        <v>416</v>
      </c>
      <c r="B56" s="306">
        <f>SUBTOTAL(9,B51:B55)</f>
        <v>326.41099999999994</v>
      </c>
      <c r="C56" s="310">
        <f t="shared" ref="C56" si="6">SUBTOTAL(9,C51:C55)</f>
        <v>144.69999999999999</v>
      </c>
      <c r="D56" s="143" t="s">
        <v>415</v>
      </c>
      <c r="E56" s="40"/>
      <c r="F56" s="40"/>
      <c r="G56" s="40"/>
      <c r="H56" s="40"/>
    </row>
    <row r="57" spans="1:8" ht="15" customHeight="1" x14ac:dyDescent="0.25">
      <c r="A57" s="20"/>
      <c r="B57" s="305"/>
      <c r="C57" s="309"/>
      <c r="D57" s="145"/>
      <c r="E57" s="40"/>
      <c r="F57" s="40"/>
      <c r="G57" s="40"/>
      <c r="H57" s="40"/>
    </row>
    <row r="58" spans="1:8" ht="15" customHeight="1" x14ac:dyDescent="0.25">
      <c r="A58" s="67" t="s">
        <v>455</v>
      </c>
      <c r="B58" s="307"/>
      <c r="C58" s="311"/>
      <c r="D58" s="145" t="s">
        <v>269</v>
      </c>
      <c r="E58" s="40"/>
      <c r="F58" s="40"/>
      <c r="G58" s="40"/>
      <c r="H58" s="40"/>
    </row>
    <row r="59" spans="1:8" ht="15" customHeight="1" x14ac:dyDescent="0.25">
      <c r="A59" s="68" t="s">
        <v>721</v>
      </c>
      <c r="B59" s="308">
        <f>SUBTOTAL(9,B36:B58)</f>
        <v>326.41099999999994</v>
      </c>
      <c r="C59" s="308">
        <f>SUBTOTAL(9,C36:C58)</f>
        <v>657.02199999999993</v>
      </c>
      <c r="D59" s="143" t="s">
        <v>270</v>
      </c>
      <c r="E59" s="40"/>
      <c r="F59" s="40"/>
      <c r="G59" s="40"/>
      <c r="H59" s="40"/>
    </row>
    <row r="60" spans="1:8" ht="15" customHeight="1" x14ac:dyDescent="0.25">
      <c r="A60" s="65"/>
      <c r="B60" s="130"/>
      <c r="C60" s="120"/>
      <c r="D60" s="138"/>
      <c r="E60" s="40"/>
      <c r="F60" s="40"/>
      <c r="G60" s="40"/>
      <c r="H60" s="40"/>
    </row>
    <row r="61" spans="1:8" ht="15" customHeight="1" x14ac:dyDescent="0.25">
      <c r="A61" s="599" t="s">
        <v>826</v>
      </c>
      <c r="B61" s="599"/>
      <c r="C61" s="599"/>
      <c r="D61" s="599"/>
      <c r="E61" s="40"/>
      <c r="F61" s="40"/>
      <c r="G61" s="40"/>
      <c r="H61" s="40"/>
    </row>
    <row r="62" spans="1:8" ht="27.75" customHeight="1" x14ac:dyDescent="0.25">
      <c r="A62" s="599"/>
      <c r="B62" s="599"/>
      <c r="C62" s="599"/>
      <c r="D62" s="599"/>
      <c r="E62" s="40"/>
      <c r="F62" s="40"/>
      <c r="G62" s="40"/>
      <c r="H62" s="40"/>
    </row>
    <row r="63" spans="1:8" ht="15" customHeight="1" x14ac:dyDescent="0.25">
      <c r="A63" s="489"/>
      <c r="B63" s="489"/>
      <c r="C63" s="489"/>
      <c r="D63" s="489"/>
      <c r="E63" s="40"/>
      <c r="F63" s="40"/>
      <c r="G63" s="40"/>
      <c r="H63" s="40"/>
    </row>
    <row r="64" spans="1:8" ht="33" customHeight="1" x14ac:dyDescent="0.25">
      <c r="A64" s="599" t="s">
        <v>417</v>
      </c>
      <c r="B64" s="599"/>
      <c r="C64" s="599"/>
      <c r="D64" s="599"/>
      <c r="E64" s="40"/>
      <c r="F64" s="40"/>
      <c r="G64" s="40"/>
      <c r="H64" s="40"/>
    </row>
    <row r="65" spans="1:8" ht="15" customHeight="1" x14ac:dyDescent="0.25">
      <c r="A65" s="489"/>
      <c r="B65" s="489"/>
      <c r="C65" s="489"/>
      <c r="D65" s="489"/>
      <c r="E65" s="40"/>
      <c r="F65" s="40"/>
      <c r="G65" s="40"/>
      <c r="H65" s="40"/>
    </row>
    <row r="66" spans="1:8" ht="15" customHeight="1" x14ac:dyDescent="0.25">
      <c r="A66" s="496" t="s">
        <v>31</v>
      </c>
      <c r="B66" s="497">
        <f>B34</f>
        <v>45657</v>
      </c>
      <c r="C66" s="498">
        <f>C34</f>
        <v>45291</v>
      </c>
      <c r="D66" s="193" t="s">
        <v>466</v>
      </c>
      <c r="E66" s="40"/>
      <c r="F66" s="40"/>
      <c r="G66" s="40"/>
      <c r="H66" s="40"/>
    </row>
    <row r="67" spans="1:8" ht="15" customHeight="1" x14ac:dyDescent="0.25">
      <c r="A67" s="489" t="s">
        <v>779</v>
      </c>
      <c r="B67" s="495"/>
      <c r="C67" s="495"/>
      <c r="D67" s="495"/>
      <c r="E67" s="40"/>
      <c r="F67" s="40"/>
      <c r="G67" s="40"/>
      <c r="H67" s="40"/>
    </row>
    <row r="68" spans="1:8" ht="15" customHeight="1" x14ac:dyDescent="0.25">
      <c r="A68" s="20" t="s">
        <v>418</v>
      </c>
      <c r="B68" s="302">
        <v>0</v>
      </c>
      <c r="C68" s="302">
        <v>0</v>
      </c>
      <c r="D68" s="145" t="s">
        <v>422</v>
      </c>
      <c r="E68" s="40"/>
      <c r="F68" s="40"/>
      <c r="G68" s="40"/>
      <c r="H68" s="40"/>
    </row>
    <row r="69" spans="1:8" ht="15" customHeight="1" x14ac:dyDescent="0.25">
      <c r="A69" s="20" t="s">
        <v>419</v>
      </c>
      <c r="B69" s="302">
        <v>0</v>
      </c>
      <c r="C69" s="302">
        <v>0</v>
      </c>
      <c r="D69" s="145" t="s">
        <v>424</v>
      </c>
      <c r="E69" s="40"/>
      <c r="F69" s="40"/>
      <c r="G69" s="40"/>
      <c r="H69" s="40"/>
    </row>
    <row r="70" spans="1:8" ht="15" customHeight="1" x14ac:dyDescent="0.25">
      <c r="A70" s="20" t="s">
        <v>420</v>
      </c>
      <c r="B70" s="302">
        <v>0</v>
      </c>
      <c r="C70" s="302">
        <v>0</v>
      </c>
      <c r="D70" s="145" t="s">
        <v>425</v>
      </c>
      <c r="E70" s="40"/>
      <c r="F70" s="40"/>
      <c r="G70" s="40"/>
      <c r="H70" s="40"/>
    </row>
    <row r="71" spans="1:8" ht="15" customHeight="1" x14ac:dyDescent="0.25">
      <c r="A71" s="20" t="s">
        <v>421</v>
      </c>
      <c r="B71" s="302">
        <v>0</v>
      </c>
      <c r="C71" s="302">
        <v>0</v>
      </c>
      <c r="D71" s="145" t="s">
        <v>426</v>
      </c>
      <c r="E71" s="40"/>
      <c r="F71" s="40"/>
      <c r="G71" s="40"/>
      <c r="H71" s="40"/>
    </row>
    <row r="72" spans="1:8" ht="15" customHeight="1" x14ac:dyDescent="0.25">
      <c r="A72" s="20" t="s">
        <v>428</v>
      </c>
      <c r="B72" s="302">
        <v>0</v>
      </c>
      <c r="C72" s="302">
        <v>0</v>
      </c>
      <c r="D72" s="145" t="s">
        <v>427</v>
      </c>
      <c r="E72" s="40"/>
      <c r="F72" s="40"/>
      <c r="G72" s="40"/>
      <c r="H72" s="40"/>
    </row>
    <row r="73" spans="1:8" ht="15" customHeight="1" x14ac:dyDescent="0.25">
      <c r="A73" s="423" t="s">
        <v>823</v>
      </c>
      <c r="B73" s="415">
        <f>SUBTOTAL(9,B68:B72)</f>
        <v>0</v>
      </c>
      <c r="C73" s="303">
        <f t="shared" ref="C73" si="7">SUBTOTAL(9,C68:C72)</f>
        <v>0</v>
      </c>
      <c r="D73" s="143" t="s">
        <v>423</v>
      </c>
      <c r="E73" s="40"/>
      <c r="F73" s="40"/>
      <c r="G73" s="40"/>
      <c r="H73" s="40"/>
    </row>
    <row r="74" spans="1:8" ht="15" customHeight="1" x14ac:dyDescent="0.25">
      <c r="A74" s="488"/>
      <c r="B74" s="499"/>
      <c r="C74" s="500"/>
      <c r="D74" s="501"/>
      <c r="E74" s="40"/>
      <c r="F74" s="40"/>
      <c r="G74" s="40"/>
      <c r="H74" s="40"/>
    </row>
    <row r="75" spans="1:8" ht="15" customHeight="1" x14ac:dyDescent="0.25">
      <c r="A75" s="20" t="s">
        <v>883</v>
      </c>
      <c r="B75" s="302">
        <f>6895723/1000-B76</f>
        <v>6141.6139999999996</v>
      </c>
      <c r="C75" s="579">
        <f>6001752/1000</f>
        <v>6001.7520000000004</v>
      </c>
      <c r="D75" s="145" t="s">
        <v>271</v>
      </c>
      <c r="E75" s="40"/>
      <c r="F75" s="40"/>
      <c r="G75" s="40"/>
      <c r="H75" s="40"/>
    </row>
    <row r="76" spans="1:8" ht="15" customHeight="1" x14ac:dyDescent="0.25">
      <c r="A76" s="20" t="s">
        <v>884</v>
      </c>
      <c r="B76" s="302">
        <f>754109/1000</f>
        <v>754.10900000000004</v>
      </c>
      <c r="C76" s="302">
        <v>0</v>
      </c>
      <c r="D76" s="145" t="s">
        <v>860</v>
      </c>
      <c r="E76" s="40"/>
      <c r="F76" s="40"/>
      <c r="G76" s="40"/>
      <c r="H76" s="40"/>
    </row>
    <row r="77" spans="1:8" ht="15" customHeight="1" x14ac:dyDescent="0.25">
      <c r="A77" s="20" t="s">
        <v>429</v>
      </c>
      <c r="B77" s="302">
        <f>59186.95/1000</f>
        <v>59.186949999999996</v>
      </c>
      <c r="C77" s="579">
        <f>(35035+29491.68+1257)/1000</f>
        <v>65.78367999999999</v>
      </c>
      <c r="D77" s="145" t="s">
        <v>272</v>
      </c>
      <c r="E77" s="40"/>
      <c r="F77" s="40"/>
      <c r="G77" s="40"/>
      <c r="H77" s="40"/>
    </row>
    <row r="78" spans="1:8" ht="15" customHeight="1" x14ac:dyDescent="0.25">
      <c r="A78" s="249" t="s">
        <v>756</v>
      </c>
      <c r="B78" s="312">
        <f>SUBTOTAL(9,B68:B77)</f>
        <v>6954.9099500000002</v>
      </c>
      <c r="C78" s="338">
        <f>SUBTOTAL(9,C68:C77)</f>
        <v>6067.53568</v>
      </c>
      <c r="D78" s="143" t="s">
        <v>273</v>
      </c>
      <c r="E78" s="40"/>
      <c r="F78" s="40"/>
      <c r="G78" s="40"/>
      <c r="H78" s="40"/>
    </row>
    <row r="79" spans="1:8" ht="15" customHeight="1" x14ac:dyDescent="0.25">
      <c r="A79" s="20"/>
      <c r="B79" s="69"/>
      <c r="C79" s="76"/>
      <c r="D79" s="137"/>
      <c r="E79" s="40"/>
      <c r="F79" s="40"/>
      <c r="G79" s="40"/>
      <c r="H79" s="40"/>
    </row>
    <row r="80" spans="1:8" ht="29.25" customHeight="1" x14ac:dyDescent="0.25">
      <c r="A80" s="599" t="s">
        <v>827</v>
      </c>
      <c r="B80" s="599"/>
      <c r="C80" s="599"/>
      <c r="D80" s="599"/>
      <c r="E80" s="40"/>
      <c r="F80" s="40"/>
      <c r="G80" s="40"/>
      <c r="H80" s="40"/>
    </row>
    <row r="81" spans="1:8" ht="15" customHeight="1" x14ac:dyDescent="0.25">
      <c r="A81" s="489"/>
      <c r="B81" s="489"/>
      <c r="C81" s="489"/>
      <c r="D81" s="489"/>
      <c r="E81" s="40"/>
      <c r="F81" s="40"/>
      <c r="G81" s="40"/>
      <c r="H81" s="40"/>
    </row>
    <row r="82" spans="1:8" ht="15" hidden="1" customHeight="1" x14ac:dyDescent="0.25">
      <c r="A82" s="489"/>
      <c r="B82" s="489"/>
      <c r="C82" s="489"/>
      <c r="D82" s="489"/>
      <c r="E82" s="40"/>
      <c r="F82" s="40"/>
      <c r="G82" s="40"/>
      <c r="H82" s="40"/>
    </row>
    <row r="83" spans="1:8" ht="27" customHeight="1" x14ac:dyDescent="0.25">
      <c r="A83" s="599" t="s">
        <v>442</v>
      </c>
      <c r="B83" s="599"/>
      <c r="C83" s="599"/>
      <c r="D83" s="599"/>
      <c r="E83" s="40"/>
      <c r="F83" s="40"/>
      <c r="G83" s="40"/>
      <c r="H83" s="40"/>
    </row>
    <row r="84" spans="1:8" ht="15" customHeight="1" x14ac:dyDescent="0.25">
      <c r="A84" s="489"/>
      <c r="B84" s="489"/>
      <c r="C84" s="489"/>
      <c r="D84" s="489"/>
      <c r="E84" s="40"/>
      <c r="F84" s="40"/>
      <c r="G84" s="40"/>
      <c r="H84" s="40"/>
    </row>
    <row r="85" spans="1:8" ht="15" customHeight="1" x14ac:dyDescent="0.25">
      <c r="A85" s="452" t="s">
        <v>33</v>
      </c>
      <c r="B85" s="497">
        <f>B66</f>
        <v>45657</v>
      </c>
      <c r="C85" s="498">
        <f>C66</f>
        <v>45291</v>
      </c>
      <c r="D85" s="193" t="s">
        <v>466</v>
      </c>
      <c r="E85" s="40"/>
      <c r="F85" s="40"/>
      <c r="G85" s="40"/>
      <c r="H85" s="40"/>
    </row>
    <row r="86" spans="1:8" ht="15" customHeight="1" x14ac:dyDescent="0.25">
      <c r="B86" s="314"/>
      <c r="C86" s="302"/>
      <c r="D86" s="144"/>
      <c r="E86" s="40"/>
      <c r="F86" s="40"/>
      <c r="G86" s="40"/>
      <c r="H86" s="40"/>
    </row>
    <row r="87" spans="1:8" ht="15" customHeight="1" x14ac:dyDescent="0.25">
      <c r="A87" s="20" t="s">
        <v>274</v>
      </c>
      <c r="B87" s="302">
        <v>0</v>
      </c>
      <c r="C87" s="302">
        <v>0</v>
      </c>
      <c r="D87" s="145" t="s">
        <v>275</v>
      </c>
      <c r="E87" s="40"/>
      <c r="F87" s="40"/>
      <c r="G87" s="40"/>
      <c r="H87" s="40"/>
    </row>
    <row r="88" spans="1:8" ht="15" customHeight="1" x14ac:dyDescent="0.25">
      <c r="A88" s="20" t="s">
        <v>276</v>
      </c>
      <c r="B88" s="302">
        <v>0</v>
      </c>
      <c r="C88" s="302">
        <v>0</v>
      </c>
      <c r="D88" s="145" t="s">
        <v>277</v>
      </c>
      <c r="E88" s="40"/>
      <c r="F88" s="40"/>
      <c r="G88" s="40"/>
      <c r="H88" s="40"/>
    </row>
    <row r="89" spans="1:8" ht="15" customHeight="1" x14ac:dyDescent="0.25">
      <c r="A89" s="20" t="s">
        <v>278</v>
      </c>
      <c r="B89" s="302">
        <f>212609/1000</f>
        <v>212.60900000000001</v>
      </c>
      <c r="C89" s="579">
        <f>90774/1000</f>
        <v>90.774000000000001</v>
      </c>
      <c r="D89" s="145" t="s">
        <v>279</v>
      </c>
      <c r="E89" s="40"/>
      <c r="F89" s="40"/>
      <c r="G89" s="40"/>
      <c r="H89" s="40"/>
    </row>
    <row r="90" spans="1:8" ht="15" customHeight="1" x14ac:dyDescent="0.25">
      <c r="A90" s="20" t="s">
        <v>280</v>
      </c>
      <c r="B90" s="302">
        <f>9273/1000</f>
        <v>9.2729999999999997</v>
      </c>
      <c r="C90" s="579">
        <f>26000/1000</f>
        <v>26</v>
      </c>
      <c r="D90" s="145" t="s">
        <v>281</v>
      </c>
      <c r="E90" s="40"/>
      <c r="F90" s="40"/>
      <c r="G90" s="40"/>
      <c r="H90" s="40"/>
    </row>
    <row r="91" spans="1:8" ht="15" customHeight="1" x14ac:dyDescent="0.25">
      <c r="A91" s="249" t="s">
        <v>282</v>
      </c>
      <c r="B91" s="315">
        <f>SUBTOTAL(9,B87:B90)</f>
        <v>221.88200000000001</v>
      </c>
      <c r="C91" s="313">
        <f>SUBTOTAL(9,C87:C90)</f>
        <v>116.774</v>
      </c>
      <c r="D91" s="143" t="s">
        <v>283</v>
      </c>
      <c r="E91" s="40"/>
      <c r="F91" s="40"/>
      <c r="G91" s="40"/>
      <c r="H91" s="40"/>
    </row>
    <row r="92" spans="1:8" ht="15.75" customHeight="1" x14ac:dyDescent="0.25">
      <c r="A92" s="70"/>
      <c r="B92" s="316"/>
      <c r="C92" s="318"/>
      <c r="D92" s="144"/>
      <c r="E92" s="40"/>
      <c r="F92" s="40"/>
      <c r="G92" s="40"/>
      <c r="H92" s="40"/>
    </row>
    <row r="93" spans="1:8" ht="15.75" customHeight="1" x14ac:dyDescent="0.25">
      <c r="A93" s="71" t="s">
        <v>35</v>
      </c>
      <c r="B93" s="317">
        <f>B26+B59+B78+B91</f>
        <v>29151.202950000003</v>
      </c>
      <c r="C93" s="317">
        <f>C26+C59+C78+C91</f>
        <v>30041.331680000003</v>
      </c>
      <c r="D93" s="143" t="s">
        <v>284</v>
      </c>
      <c r="E93" s="40"/>
      <c r="F93" s="40"/>
      <c r="G93" s="40"/>
      <c r="H93" s="40"/>
    </row>
    <row r="94" spans="1:8" ht="15.75" customHeight="1" x14ac:dyDescent="0.25">
      <c r="A94" s="40"/>
      <c r="B94" s="76"/>
      <c r="C94" s="76"/>
      <c r="D94" s="137"/>
    </row>
  </sheetData>
  <sheetProtection formatCells="0" formatColumns="0" formatRows="0" insertColumns="0" insertRows="0"/>
  <mergeCells count="6">
    <mergeCell ref="A83:D83"/>
    <mergeCell ref="A28:D29"/>
    <mergeCell ref="A31:D32"/>
    <mergeCell ref="A61:D62"/>
    <mergeCell ref="A64:D64"/>
    <mergeCell ref="A80:D80"/>
  </mergeCells>
  <pageMargins left="0.70866141732283472" right="0.70866141732283472" top="0.74803149606299213" bottom="0.74803149606299213" header="0.31496062992125984" footer="0.31496062992125984"/>
  <pageSetup paperSize="9" scale="72" fitToHeight="0" orientation="portrait" r:id="rId1"/>
  <rowBreaks count="1" manualBreakCount="1">
    <brk id="65" max="16383" man="1"/>
  </row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0"/>
  <sheetViews>
    <sheetView topLeftCell="A2" zoomScaleNormal="100" workbookViewId="0">
      <selection activeCell="C24" sqref="C24"/>
    </sheetView>
  </sheetViews>
  <sheetFormatPr baseColWidth="10" defaultColWidth="17.28515625" defaultRowHeight="15.75" customHeight="1" x14ac:dyDescent="0.25"/>
  <cols>
    <col min="1" max="1" width="53.28515625" style="345" customWidth="1"/>
    <col min="2" max="2" width="12" style="350" customWidth="1"/>
    <col min="3" max="3" width="12.28515625" style="350" customWidth="1"/>
    <col min="4" max="4" width="13.7109375" style="350" customWidth="1"/>
    <col min="5" max="5" width="13.7109375" style="345" bestFit="1" customWidth="1"/>
    <col min="6" max="7" width="10.7109375" style="345" customWidth="1"/>
    <col min="8" max="16384" width="17.28515625" style="345"/>
  </cols>
  <sheetData>
    <row r="1" spans="1:8" ht="15" customHeight="1" x14ac:dyDescent="0.25">
      <c r="A1" s="2"/>
      <c r="B1" s="348"/>
      <c r="C1" s="348"/>
      <c r="D1" s="348"/>
      <c r="E1" s="1"/>
      <c r="F1" s="1"/>
      <c r="G1" s="1"/>
    </row>
    <row r="2" spans="1:8" ht="15" customHeight="1" x14ac:dyDescent="0.25">
      <c r="A2" s="342" t="str">
        <f>Resultatregnskap!A2</f>
        <v>Virksomhetens navn: Bergen Arkitekthøgskole</v>
      </c>
      <c r="B2" s="140"/>
      <c r="C2" s="140"/>
      <c r="D2" s="140"/>
      <c r="E2" s="1"/>
      <c r="F2" s="1"/>
      <c r="G2" s="1"/>
    </row>
    <row r="3" spans="1:8" ht="15" customHeight="1" x14ac:dyDescent="0.25">
      <c r="A3" s="1"/>
      <c r="B3" s="348"/>
      <c r="C3" s="348"/>
      <c r="D3" s="348"/>
      <c r="E3" s="1"/>
      <c r="F3" s="1"/>
      <c r="G3" s="1"/>
    </row>
    <row r="4" spans="1:8" ht="15" x14ac:dyDescent="0.25">
      <c r="A4" s="72" t="s">
        <v>285</v>
      </c>
      <c r="B4" s="109"/>
      <c r="C4" s="109"/>
      <c r="D4" s="109"/>
      <c r="E4" s="1"/>
      <c r="F4" s="1"/>
    </row>
    <row r="5" spans="1:8" s="42" customFormat="1" ht="15" x14ac:dyDescent="0.25">
      <c r="A5" s="194" t="str">
        <f>Resultatregnskap!A6</f>
        <v>Beløp i 1000 kroner</v>
      </c>
      <c r="B5" s="348"/>
      <c r="C5" s="348"/>
      <c r="D5" s="348"/>
      <c r="E5" s="1"/>
      <c r="F5" s="1"/>
    </row>
    <row r="6" spans="1:8" ht="15" x14ac:dyDescent="0.25">
      <c r="A6" s="165"/>
      <c r="B6" s="348"/>
      <c r="C6" s="348"/>
      <c r="D6" s="348"/>
      <c r="E6" s="1"/>
      <c r="F6" s="1"/>
    </row>
    <row r="7" spans="1:8" ht="15" x14ac:dyDescent="0.25">
      <c r="A7" s="165" t="s">
        <v>461</v>
      </c>
      <c r="B7" s="348"/>
      <c r="C7" s="348"/>
      <c r="D7" s="348"/>
      <c r="E7" s="1"/>
      <c r="F7" s="1"/>
    </row>
    <row r="8" spans="1:8" ht="15" x14ac:dyDescent="0.25">
      <c r="A8" s="397"/>
      <c r="B8" s="215">
        <f>Resultatregnskap!C8</f>
        <v>45657</v>
      </c>
      <c r="C8" s="216">
        <f>Resultatregnskap!D8</f>
        <v>45291</v>
      </c>
      <c r="D8" s="283" t="str">
        <f>Resultatregnskap!E8</f>
        <v>DBH-referanse</v>
      </c>
      <c r="E8" s="1"/>
      <c r="F8" s="1"/>
      <c r="G8" s="1"/>
      <c r="H8" s="1"/>
    </row>
    <row r="9" spans="1:8" ht="15" customHeight="1" x14ac:dyDescent="0.25">
      <c r="A9" s="273" t="s">
        <v>458</v>
      </c>
      <c r="B9" s="284">
        <f>14318288/1000</f>
        <v>14318.288</v>
      </c>
      <c r="C9" s="580">
        <v>14268.23</v>
      </c>
      <c r="D9" s="273" t="s">
        <v>286</v>
      </c>
      <c r="E9" s="1"/>
      <c r="F9" s="1"/>
      <c r="G9" s="1"/>
      <c r="H9" s="1"/>
    </row>
    <row r="10" spans="1:8" ht="15" customHeight="1" x14ac:dyDescent="0.25">
      <c r="A10" s="273" t="s">
        <v>287</v>
      </c>
      <c r="B10" s="284">
        <f>1178110/1000</f>
        <v>1178.1099999999999</v>
      </c>
      <c r="C10" s="580">
        <f>1169766.67/1000</f>
        <v>1169.76667</v>
      </c>
      <c r="D10" s="273" t="s">
        <v>288</v>
      </c>
      <c r="E10" s="1"/>
      <c r="F10" s="1"/>
      <c r="G10" s="1"/>
      <c r="H10" s="1"/>
    </row>
    <row r="11" spans="1:8" ht="15" customHeight="1" x14ac:dyDescent="0.25">
      <c r="A11" s="273" t="s">
        <v>289</v>
      </c>
      <c r="B11" s="284">
        <f>(1695544.5+147765.33)/1000</f>
        <v>1843.3098300000001</v>
      </c>
      <c r="C11" s="580">
        <f>(1730436.85+146871.39)/1000</f>
        <v>1877.3082400000003</v>
      </c>
      <c r="D11" s="273" t="s">
        <v>290</v>
      </c>
      <c r="E11" s="1"/>
      <c r="F11" s="1"/>
      <c r="G11" s="1"/>
      <c r="H11" s="1"/>
    </row>
    <row r="12" spans="1:8" ht="15" customHeight="1" x14ac:dyDescent="0.25">
      <c r="A12" s="273" t="s">
        <v>291</v>
      </c>
      <c r="B12" s="284">
        <f>910599/1000</f>
        <v>910.59900000000005</v>
      </c>
      <c r="C12" s="580">
        <f>(787311+43484)/1000</f>
        <v>830.79499999999996</v>
      </c>
      <c r="D12" s="273" t="s">
        <v>292</v>
      </c>
      <c r="E12" s="1"/>
      <c r="F12" s="1"/>
      <c r="G12" s="1"/>
      <c r="H12" s="1"/>
    </row>
    <row r="13" spans="1:8" ht="15" customHeight="1" x14ac:dyDescent="0.25">
      <c r="A13" s="273" t="s">
        <v>293</v>
      </c>
      <c r="B13" s="284">
        <f>-(33806+211383)/1000</f>
        <v>-245.18899999999999</v>
      </c>
      <c r="C13" s="580">
        <f>-(40205+44823)/1000</f>
        <v>-85.028000000000006</v>
      </c>
      <c r="D13" s="273" t="s">
        <v>294</v>
      </c>
      <c r="E13" s="1"/>
      <c r="F13" s="1"/>
      <c r="G13" s="1"/>
      <c r="H13" s="1"/>
    </row>
    <row r="14" spans="1:8" ht="15" customHeight="1" x14ac:dyDescent="0.25">
      <c r="A14" s="274" t="s">
        <v>295</v>
      </c>
      <c r="B14" s="284">
        <f>(1861.19+12211+125179.34+53558.53)/1000</f>
        <v>192.81005999999999</v>
      </c>
      <c r="C14" s="580">
        <f>(17007.65+1860+95767.97+19258.4)/1000</f>
        <v>133.89401999999998</v>
      </c>
      <c r="D14" s="273" t="s">
        <v>296</v>
      </c>
      <c r="E14" s="1"/>
      <c r="F14" s="1"/>
      <c r="G14" s="1"/>
      <c r="H14" s="1"/>
    </row>
    <row r="15" spans="1:8" ht="15" customHeight="1" x14ac:dyDescent="0.25">
      <c r="A15" s="285" t="s">
        <v>297</v>
      </c>
      <c r="B15" s="281">
        <f>SUBTOTAL(9,B9:B14)</f>
        <v>18197.927889999999</v>
      </c>
      <c r="C15" s="282">
        <f>SUBTOTAL(9,C9:C14)</f>
        <v>18194.965929999998</v>
      </c>
      <c r="D15" s="286" t="s">
        <v>298</v>
      </c>
      <c r="E15" s="1"/>
      <c r="F15" s="1"/>
      <c r="G15" s="1"/>
      <c r="H15" s="1"/>
    </row>
    <row r="16" spans="1:8" ht="15" customHeight="1" x14ac:dyDescent="0.25">
      <c r="A16" s="73"/>
      <c r="B16" s="110"/>
      <c r="C16" s="348"/>
      <c r="D16" s="1"/>
      <c r="E16" s="1"/>
      <c r="F16" s="1"/>
      <c r="G16" s="1"/>
      <c r="H16" s="1"/>
    </row>
    <row r="17" spans="1:8" ht="12.75" customHeight="1" x14ac:dyDescent="0.25">
      <c r="A17" s="1"/>
      <c r="B17" s="110"/>
      <c r="C17" s="348"/>
      <c r="D17" s="1"/>
      <c r="E17" s="1"/>
      <c r="F17" s="1"/>
      <c r="G17" s="1"/>
      <c r="H17" s="1"/>
    </row>
    <row r="18" spans="1:8" ht="15" customHeight="1" x14ac:dyDescent="0.25">
      <c r="A18" s="286" t="s">
        <v>299</v>
      </c>
      <c r="B18" s="167">
        <v>20</v>
      </c>
      <c r="C18" s="319">
        <v>22</v>
      </c>
      <c r="D18" s="286" t="s">
        <v>300</v>
      </c>
      <c r="E18" s="1"/>
      <c r="F18" s="1"/>
      <c r="G18" s="1"/>
      <c r="H18" s="1"/>
    </row>
    <row r="19" spans="1:8" ht="15.75" customHeight="1" x14ac:dyDescent="0.25">
      <c r="D19" s="345"/>
      <c r="E19" s="1"/>
      <c r="F19" s="1"/>
      <c r="G19" s="1"/>
      <c r="H19" s="1"/>
    </row>
    <row r="20" spans="1:8" ht="15.75" customHeight="1" x14ac:dyDescent="0.25">
      <c r="A20" s="358" t="s">
        <v>456</v>
      </c>
      <c r="E20" s="1"/>
      <c r="F20" s="1"/>
      <c r="G20" s="1"/>
      <c r="H20" s="1"/>
    </row>
    <row r="21" spans="1:8" ht="29.65" customHeight="1" x14ac:dyDescent="0.25">
      <c r="A21" s="163" t="s">
        <v>457</v>
      </c>
      <c r="B21" s="164" t="s">
        <v>458</v>
      </c>
      <c r="C21" s="160" t="s">
        <v>459</v>
      </c>
      <c r="D21" s="429" t="s">
        <v>466</v>
      </c>
      <c r="E21" s="1"/>
      <c r="F21" s="1"/>
      <c r="G21" s="1"/>
      <c r="H21" s="1"/>
    </row>
    <row r="22" spans="1:8" ht="15.75" customHeight="1" x14ac:dyDescent="0.25">
      <c r="A22" s="161"/>
      <c r="B22" s="162"/>
      <c r="C22" s="162"/>
      <c r="D22" s="430"/>
      <c r="E22" s="1"/>
      <c r="F22" s="1"/>
      <c r="G22" s="1"/>
      <c r="H22" s="1"/>
    </row>
    <row r="23" spans="1:8" ht="15.75" customHeight="1" x14ac:dyDescent="0.25">
      <c r="A23" s="161" t="s">
        <v>460</v>
      </c>
      <c r="B23" s="162">
        <v>971963</v>
      </c>
      <c r="C23" s="162">
        <v>6536</v>
      </c>
      <c r="D23" s="430" t="s">
        <v>717</v>
      </c>
      <c r="E23" s="1"/>
      <c r="F23" s="1"/>
      <c r="G23" s="1"/>
      <c r="H23" s="1"/>
    </row>
    <row r="24" spans="1:8" ht="15.75" customHeight="1" x14ac:dyDescent="0.25">
      <c r="A24" s="161" t="s">
        <v>617</v>
      </c>
      <c r="B24" s="162"/>
      <c r="C24" s="162"/>
      <c r="D24" s="430" t="s">
        <v>718</v>
      </c>
      <c r="E24" s="1"/>
      <c r="F24" s="1"/>
      <c r="G24" s="1"/>
      <c r="H24" s="1"/>
    </row>
    <row r="25" spans="1:8" ht="15.75" customHeight="1" x14ac:dyDescent="0.25">
      <c r="A25" s="161" t="s">
        <v>462</v>
      </c>
      <c r="B25" s="162">
        <v>74114</v>
      </c>
      <c r="C25" s="162"/>
      <c r="D25" s="430" t="s">
        <v>719</v>
      </c>
      <c r="E25" s="1"/>
      <c r="F25" s="1"/>
      <c r="G25" s="1"/>
      <c r="H25" s="1"/>
    </row>
    <row r="26" spans="1:8" ht="15.75" customHeight="1" x14ac:dyDescent="0.25">
      <c r="A26" s="161" t="s">
        <v>716</v>
      </c>
      <c r="B26" s="162">
        <v>63068</v>
      </c>
      <c r="C26" s="162"/>
      <c r="D26" s="430" t="s">
        <v>720</v>
      </c>
      <c r="E26" s="1"/>
      <c r="F26" s="1"/>
      <c r="G26" s="1"/>
      <c r="H26" s="1"/>
    </row>
    <row r="27" spans="1:8" ht="15.75" customHeight="1" x14ac:dyDescent="0.25">
      <c r="A27" s="419"/>
      <c r="B27" s="420"/>
      <c r="C27" s="420"/>
      <c r="D27" s="431"/>
      <c r="E27" s="1"/>
      <c r="F27" s="1"/>
      <c r="G27" s="1"/>
      <c r="H27" s="1"/>
    </row>
    <row r="28" spans="1:8" ht="15.75" customHeight="1" x14ac:dyDescent="0.25">
      <c r="A28" s="453" t="s">
        <v>780</v>
      </c>
      <c r="B28" s="453"/>
      <c r="C28" s="453"/>
      <c r="D28" s="453"/>
    </row>
    <row r="29" spans="1:8" ht="15.75" customHeight="1" x14ac:dyDescent="0.25">
      <c r="A29" s="453"/>
      <c r="B29" s="453"/>
      <c r="C29" s="453"/>
      <c r="D29" s="453"/>
    </row>
    <row r="30" spans="1:8" ht="15" x14ac:dyDescent="0.25">
      <c r="A30" s="453"/>
      <c r="B30" s="453"/>
      <c r="C30" s="453"/>
      <c r="D30" s="453"/>
    </row>
  </sheetData>
  <sheetProtection formatCells="0" formatColumns="0" formatRows="0" insertColumns="0" insertRows="0"/>
  <pageMargins left="0.70866141732283472" right="0.51181102362204722" top="0.74803149606299213" bottom="0.74803149606299213" header="0.31496062992125984" footer="0.31496062992125984"/>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6"/>
  <sheetViews>
    <sheetView tabSelected="1" workbookViewId="0">
      <selection activeCell="G19" sqref="G19"/>
    </sheetView>
  </sheetViews>
  <sheetFormatPr baseColWidth="10" defaultColWidth="17.28515625" defaultRowHeight="15.75" customHeight="1" x14ac:dyDescent="0.25"/>
  <cols>
    <col min="1" max="1" width="47.85546875" style="345" customWidth="1"/>
    <col min="2" max="3" width="10.140625" style="350" bestFit="1" customWidth="1"/>
    <col min="4" max="4" width="14.28515625" style="78" customWidth="1"/>
    <col min="5" max="6" width="10.7109375" style="345" customWidth="1"/>
    <col min="7" max="16384" width="17.28515625" style="345"/>
  </cols>
  <sheetData>
    <row r="1" spans="1:8" ht="15" customHeight="1" x14ac:dyDescent="0.25">
      <c r="A1" s="2"/>
      <c r="B1" s="348"/>
      <c r="C1" s="348"/>
      <c r="D1" s="77"/>
      <c r="E1" s="1"/>
      <c r="F1" s="1"/>
    </row>
    <row r="2" spans="1:8" ht="15" customHeight="1" x14ac:dyDescent="0.25">
      <c r="A2" s="342" t="str">
        <f>Resultatregnskap!A2</f>
        <v>Virksomhetens navn: Bergen Arkitekthøgskole</v>
      </c>
      <c r="B2" s="140"/>
      <c r="C2" s="140"/>
      <c r="D2" s="77"/>
      <c r="E2" s="1"/>
      <c r="F2" s="1"/>
    </row>
    <row r="3" spans="1:8" ht="15" customHeight="1" x14ac:dyDescent="0.25">
      <c r="A3" s="1"/>
      <c r="B3" s="348"/>
      <c r="C3" s="348"/>
      <c r="D3" s="77"/>
      <c r="E3" s="1"/>
      <c r="F3" s="1"/>
    </row>
    <row r="4" spans="1:8" ht="15" customHeight="1" x14ac:dyDescent="0.25">
      <c r="A4" s="72" t="s">
        <v>301</v>
      </c>
      <c r="B4" s="109"/>
      <c r="C4" s="109"/>
      <c r="D4" s="109"/>
      <c r="E4" s="1"/>
      <c r="F4" s="1"/>
    </row>
    <row r="5" spans="1:8" s="42" customFormat="1" ht="15" customHeight="1" x14ac:dyDescent="0.25">
      <c r="A5" s="194" t="str">
        <f>Resultatregnskap!A6</f>
        <v>Beløp i 1000 kroner</v>
      </c>
      <c r="B5" s="100"/>
      <c r="C5" s="100"/>
      <c r="D5" s="195"/>
      <c r="E5" s="1"/>
      <c r="F5" s="1"/>
    </row>
    <row r="6" spans="1:8" ht="15" customHeight="1" x14ac:dyDescent="0.25">
      <c r="A6" s="260"/>
      <c r="B6" s="215">
        <f>Resultatregnskap!C8</f>
        <v>45657</v>
      </c>
      <c r="C6" s="216">
        <f>Resultatregnskap!D8</f>
        <v>45291</v>
      </c>
      <c r="D6" s="143" t="str">
        <f>Resultatregnskap!E8</f>
        <v>DBH-referanse</v>
      </c>
      <c r="E6" s="1"/>
      <c r="F6" s="1"/>
      <c r="G6" s="1"/>
      <c r="H6" s="1"/>
    </row>
    <row r="7" spans="1:8" ht="15" customHeight="1" x14ac:dyDescent="0.25">
      <c r="A7" s="261"/>
      <c r="B7" s="262"/>
      <c r="C7" s="262"/>
      <c r="D7" s="263"/>
      <c r="E7" s="1"/>
      <c r="F7" s="1"/>
      <c r="G7" s="1"/>
      <c r="H7" s="1"/>
    </row>
    <row r="8" spans="1:8" ht="15" customHeight="1" x14ac:dyDescent="0.25">
      <c r="A8" s="264" t="s">
        <v>302</v>
      </c>
      <c r="B8" s="262">
        <f>3091353/1000</f>
        <v>3091.3530000000001</v>
      </c>
      <c r="C8" s="580">
        <f>3437000/1000</f>
        <v>3437</v>
      </c>
      <c r="D8" s="265" t="s">
        <v>303</v>
      </c>
      <c r="E8" s="1"/>
      <c r="F8" s="1"/>
      <c r="G8" s="1"/>
      <c r="H8" s="1"/>
    </row>
    <row r="9" spans="1:8" ht="15" customHeight="1" x14ac:dyDescent="0.25">
      <c r="A9" s="264" t="s">
        <v>304</v>
      </c>
      <c r="B9" s="262">
        <f>(17215+167244+149450.75+258180.29+197635.99+96318.71+175434.59+454075.39+22994.47+388132.62+104589.13+5648)/1000</f>
        <v>2036.91894</v>
      </c>
      <c r="C9" s="580">
        <f>(48906.25+531193.94+129761.33+374985.85+242745.5+18904.05+199591.24+860615.41+22100.4+797070.55+157279.41+5000+10252.88)/1000</f>
        <v>3398.4068099999995</v>
      </c>
      <c r="D9" s="265" t="s">
        <v>305</v>
      </c>
      <c r="E9" s="1"/>
      <c r="F9" s="1"/>
      <c r="G9" s="1"/>
      <c r="H9" s="1"/>
    </row>
    <row r="10" spans="1:8" ht="18" customHeight="1" x14ac:dyDescent="0.25">
      <c r="A10" s="264" t="s">
        <v>516</v>
      </c>
      <c r="B10" s="262">
        <v>0</v>
      </c>
      <c r="C10" s="580">
        <v>0</v>
      </c>
      <c r="D10" s="265" t="s">
        <v>606</v>
      </c>
      <c r="E10" s="1"/>
      <c r="F10" s="1"/>
      <c r="G10" s="1"/>
      <c r="H10" s="1"/>
    </row>
    <row r="11" spans="1:8" ht="15" customHeight="1" x14ac:dyDescent="0.25">
      <c r="A11" s="264" t="s">
        <v>306</v>
      </c>
      <c r="B11" s="262">
        <f>(837790.77+6912.5+38514.37+88885.42+78917.35)/1000</f>
        <v>1051.0204100000001</v>
      </c>
      <c r="C11" s="580">
        <f>(1005435.24+3093.75+65862+62184.34+29760.02+68706.25)/1000</f>
        <v>1235.0416</v>
      </c>
      <c r="D11" s="265" t="s">
        <v>607</v>
      </c>
      <c r="E11" s="1"/>
      <c r="F11" s="1"/>
      <c r="G11" s="1"/>
      <c r="H11" s="1"/>
    </row>
    <row r="12" spans="1:8" ht="15" customHeight="1" x14ac:dyDescent="0.25">
      <c r="A12" s="264" t="s">
        <v>307</v>
      </c>
      <c r="B12" s="262">
        <f>181000/1000</f>
        <v>181</v>
      </c>
      <c r="C12" s="580">
        <f>(184687.5)/1000</f>
        <v>184.6875</v>
      </c>
      <c r="D12" s="265" t="s">
        <v>608</v>
      </c>
      <c r="E12" s="1"/>
      <c r="F12" s="1"/>
      <c r="G12" s="1"/>
      <c r="H12" s="1"/>
    </row>
    <row r="13" spans="1:8" ht="15" customHeight="1" x14ac:dyDescent="0.25">
      <c r="A13" s="375" t="s">
        <v>308</v>
      </c>
      <c r="B13" s="262">
        <v>0</v>
      </c>
      <c r="C13" s="580">
        <v>0</v>
      </c>
      <c r="D13" s="273" t="s">
        <v>609</v>
      </c>
      <c r="E13" s="1"/>
      <c r="F13" s="1"/>
      <c r="G13" s="1"/>
      <c r="H13" s="1"/>
    </row>
    <row r="14" spans="1:8" ht="15" customHeight="1" x14ac:dyDescent="0.25">
      <c r="A14" s="264" t="s">
        <v>309</v>
      </c>
      <c r="B14" s="262">
        <f>29645/1000</f>
        <v>29.645</v>
      </c>
      <c r="C14" s="580">
        <f>20000/1000</f>
        <v>20</v>
      </c>
      <c r="D14" s="265" t="s">
        <v>610</v>
      </c>
      <c r="E14" s="1"/>
      <c r="F14" s="1"/>
      <c r="G14" s="1"/>
      <c r="H14" s="1"/>
    </row>
    <row r="15" spans="1:8" ht="15" customHeight="1" x14ac:dyDescent="0.25">
      <c r="A15" s="264" t="s">
        <v>310</v>
      </c>
      <c r="B15" s="262">
        <f>11535/1000</f>
        <v>11.535</v>
      </c>
      <c r="C15" s="580">
        <f>10035/1000</f>
        <v>10.035</v>
      </c>
      <c r="D15" s="265" t="s">
        <v>611</v>
      </c>
      <c r="E15" s="1"/>
      <c r="F15" s="1"/>
      <c r="G15" s="1"/>
      <c r="H15" s="1"/>
    </row>
    <row r="16" spans="1:8" ht="15" customHeight="1" x14ac:dyDescent="0.25">
      <c r="A16" s="264" t="s">
        <v>517</v>
      </c>
      <c r="B16" s="262">
        <f>133814/1000</f>
        <v>133.81399999999999</v>
      </c>
      <c r="C16" s="580">
        <f>144729.71/1000</f>
        <v>144.72970999999998</v>
      </c>
      <c r="D16" s="265" t="s">
        <v>612</v>
      </c>
      <c r="E16" s="1"/>
      <c r="F16" s="1"/>
      <c r="G16" s="1"/>
      <c r="H16" s="1"/>
    </row>
    <row r="17" spans="1:8" ht="15" customHeight="1" x14ac:dyDescent="0.25">
      <c r="A17" s="264" t="s">
        <v>311</v>
      </c>
      <c r="B17" s="262">
        <f>(83159.48+65743.97+26337.9+946667.37+459898.76+6557+54808.2+19107.55+7608+105617.24+42201+13281.5)/1000</f>
        <v>1830.9879699999999</v>
      </c>
      <c r="C17" s="580">
        <f>(68672.81+11566.19+1198816.97+481143.82+72300.6+800+32635.71+13413.46+178032.8+47976+10688.06)/1000</f>
        <v>2116.0464200000006</v>
      </c>
      <c r="D17" s="265" t="s">
        <v>613</v>
      </c>
      <c r="E17" s="1"/>
      <c r="F17" s="1"/>
      <c r="G17" s="1"/>
      <c r="H17" s="1"/>
    </row>
    <row r="18" spans="1:8" ht="15" customHeight="1" x14ac:dyDescent="0.25">
      <c r="A18" s="266" t="s">
        <v>506</v>
      </c>
      <c r="B18" s="262">
        <f>1247362.68/1000</f>
        <v>1247.36268</v>
      </c>
      <c r="C18" s="580">
        <v>1289.57</v>
      </c>
      <c r="D18" s="265" t="s">
        <v>614</v>
      </c>
      <c r="E18" s="1"/>
      <c r="F18" s="1"/>
      <c r="G18" s="1"/>
      <c r="H18" s="1"/>
    </row>
    <row r="19" spans="1:8" ht="15" customHeight="1" x14ac:dyDescent="0.25">
      <c r="A19" s="267" t="s">
        <v>312</v>
      </c>
      <c r="B19" s="268">
        <f>SUM(B8:B18)</f>
        <v>9613.6370000000006</v>
      </c>
      <c r="C19" s="269">
        <f>SUM(C8:C18)</f>
        <v>11835.517039999999</v>
      </c>
      <c r="D19" s="231" t="s">
        <v>615</v>
      </c>
      <c r="E19" s="1"/>
      <c r="F19" s="1"/>
      <c r="G19" s="1"/>
      <c r="H19" s="1"/>
    </row>
    <row r="20" spans="1:8" ht="15" customHeight="1" x14ac:dyDescent="0.25">
      <c r="A20" s="287"/>
      <c r="B20" s="288"/>
      <c r="C20" s="289"/>
      <c r="D20" s="290"/>
      <c r="E20" s="1"/>
      <c r="F20" s="1"/>
      <c r="G20" s="1"/>
      <c r="H20" s="1"/>
    </row>
    <row r="21" spans="1:8" ht="15" customHeight="1" x14ac:dyDescent="0.25">
      <c r="A21" s="161" t="s">
        <v>521</v>
      </c>
      <c r="B21" s="293">
        <f>B6</f>
        <v>45657</v>
      </c>
      <c r="C21" s="270">
        <f>C6</f>
        <v>45291</v>
      </c>
      <c r="D21" s="221" t="s">
        <v>466</v>
      </c>
      <c r="E21" s="1"/>
      <c r="F21" s="1"/>
      <c r="G21" s="1"/>
      <c r="H21" s="1"/>
    </row>
    <row r="22" spans="1:8" ht="15" customHeight="1" x14ac:dyDescent="0.25">
      <c r="A22" s="271" t="s">
        <v>518</v>
      </c>
      <c r="B22" s="262">
        <f>118375/1000</f>
        <v>118.375</v>
      </c>
      <c r="C22" s="580">
        <f>(51875+8000*1.25+40000*1.25)/1000</f>
        <v>111.875</v>
      </c>
      <c r="D22" s="222" t="s">
        <v>522</v>
      </c>
      <c r="E22" s="1"/>
      <c r="F22" s="1"/>
      <c r="G22" s="1"/>
      <c r="H22" s="1"/>
    </row>
    <row r="23" spans="1:8" ht="15.75" customHeight="1" x14ac:dyDescent="0.25">
      <c r="A23" s="271" t="s">
        <v>520</v>
      </c>
      <c r="B23" s="177">
        <f>24000/1000</f>
        <v>24</v>
      </c>
      <c r="C23" s="177">
        <f>(22500+10000*1.25)/1000</f>
        <v>35</v>
      </c>
      <c r="D23" s="222" t="s">
        <v>523</v>
      </c>
      <c r="E23" s="1"/>
      <c r="F23" s="1"/>
      <c r="G23" s="1"/>
      <c r="H23" s="1"/>
    </row>
    <row r="24" spans="1:8" ht="15.75" customHeight="1" x14ac:dyDescent="0.25">
      <c r="A24" s="271" t="s">
        <v>519</v>
      </c>
      <c r="B24" s="588">
        <f>38625/1000</f>
        <v>38.625</v>
      </c>
      <c r="C24" s="177">
        <f>(1250*1.25+29000*1.25)/1000</f>
        <v>37.8125</v>
      </c>
      <c r="D24" s="222" t="s">
        <v>524</v>
      </c>
      <c r="E24" s="1"/>
      <c r="F24" s="1"/>
      <c r="G24" s="1"/>
      <c r="H24" s="1"/>
    </row>
    <row r="25" spans="1:8" ht="15.75" customHeight="1" x14ac:dyDescent="0.25">
      <c r="A25" s="291" t="s">
        <v>430</v>
      </c>
      <c r="B25" s="162">
        <f>SUBTOTAL(9,B22:B24)</f>
        <v>181</v>
      </c>
      <c r="C25" s="162">
        <f>SUBTOTAL(9,C22:C24)</f>
        <v>184.6875</v>
      </c>
      <c r="D25" s="221" t="s">
        <v>616</v>
      </c>
      <c r="E25" s="1"/>
      <c r="F25" s="1"/>
      <c r="G25" s="1"/>
      <c r="H25" s="1"/>
    </row>
    <row r="26" spans="1:8" ht="15.75" customHeight="1" x14ac:dyDescent="0.25">
      <c r="E26" s="1"/>
      <c r="F26" s="1"/>
      <c r="G26" s="1"/>
      <c r="H26" s="1"/>
    </row>
    <row r="27" spans="1:8" ht="15.75" customHeight="1" x14ac:dyDescent="0.25">
      <c r="A27" s="345" t="s">
        <v>525</v>
      </c>
      <c r="B27" s="345"/>
      <c r="C27" s="345"/>
      <c r="D27" s="345"/>
      <c r="E27" s="1"/>
      <c r="F27" s="1"/>
      <c r="G27" s="1"/>
      <c r="H27" s="1"/>
    </row>
    <row r="28" spans="1:8" ht="15.75" customHeight="1" x14ac:dyDescent="0.25">
      <c r="E28" s="1"/>
      <c r="F28" s="1"/>
      <c r="G28" s="1"/>
      <c r="H28" s="1"/>
    </row>
    <row r="29" spans="1:8" ht="15.75" customHeight="1" x14ac:dyDescent="0.25">
      <c r="E29" s="1"/>
      <c r="F29" s="1"/>
      <c r="G29" s="1"/>
      <c r="H29" s="1"/>
    </row>
    <row r="30" spans="1:8" ht="15.75" customHeight="1" x14ac:dyDescent="0.25">
      <c r="A30" s="72" t="s">
        <v>313</v>
      </c>
      <c r="B30" s="111"/>
      <c r="C30" s="111"/>
      <c r="D30" s="111"/>
      <c r="E30" s="1"/>
      <c r="F30" s="1"/>
      <c r="G30" s="1"/>
      <c r="H30" s="1"/>
    </row>
    <row r="31" spans="1:8" ht="15.75" customHeight="1" x14ac:dyDescent="0.25">
      <c r="A31" s="194" t="s">
        <v>589</v>
      </c>
      <c r="B31" s="100"/>
      <c r="C31" s="100"/>
      <c r="D31" s="100"/>
      <c r="E31" s="1"/>
      <c r="F31" s="1"/>
      <c r="G31" s="1"/>
      <c r="H31" s="1"/>
    </row>
    <row r="32" spans="1:8" ht="15.75" customHeight="1" x14ac:dyDescent="0.25">
      <c r="A32" s="272" t="s">
        <v>52</v>
      </c>
      <c r="B32" s="224">
        <f>B21</f>
        <v>45657</v>
      </c>
      <c r="C32" s="225">
        <f>C21</f>
        <v>45291</v>
      </c>
      <c r="D32" s="228" t="s">
        <v>466</v>
      </c>
      <c r="E32" s="1"/>
      <c r="F32" s="1"/>
      <c r="G32" s="1"/>
      <c r="H32" s="1"/>
    </row>
    <row r="33" spans="1:8" ht="15.75" customHeight="1" x14ac:dyDescent="0.25">
      <c r="A33" s="273" t="s">
        <v>861</v>
      </c>
      <c r="B33" s="262">
        <f>75095/1000</f>
        <v>75.094999999999999</v>
      </c>
      <c r="C33" s="262">
        <f>Resultatregnskap!D27</f>
        <v>53.689</v>
      </c>
      <c r="D33" s="265" t="s">
        <v>864</v>
      </c>
      <c r="E33" s="1"/>
      <c r="F33" s="1"/>
      <c r="G33" s="1"/>
      <c r="H33" s="560"/>
    </row>
    <row r="34" spans="1:8" ht="15.75" customHeight="1" x14ac:dyDescent="0.25">
      <c r="A34" s="273" t="s">
        <v>869</v>
      </c>
      <c r="B34" s="262">
        <f>704199.75/1000</f>
        <v>704.19974999999999</v>
      </c>
      <c r="C34" s="262">
        <f>392468/1000</f>
        <v>392.46800000000002</v>
      </c>
      <c r="D34" s="265" t="s">
        <v>314</v>
      </c>
      <c r="E34" s="1"/>
      <c r="F34" s="1"/>
      <c r="G34" s="1"/>
      <c r="H34" s="1"/>
    </row>
    <row r="35" spans="1:8" ht="15.75" customHeight="1" x14ac:dyDescent="0.25">
      <c r="A35" s="345" t="s">
        <v>878</v>
      </c>
      <c r="B35" s="262">
        <v>0</v>
      </c>
      <c r="C35" s="262">
        <v>0</v>
      </c>
      <c r="D35" s="265" t="s">
        <v>315</v>
      </c>
      <c r="E35" s="1"/>
      <c r="F35" s="1"/>
      <c r="G35" s="1"/>
      <c r="H35" s="1"/>
    </row>
    <row r="36" spans="1:8" ht="15.75" customHeight="1" x14ac:dyDescent="0.25">
      <c r="A36" s="274" t="s">
        <v>316</v>
      </c>
      <c r="B36" s="262">
        <f>1131.71/1000</f>
        <v>1.13171</v>
      </c>
      <c r="C36" s="580">
        <f>780/1000</f>
        <v>0.78</v>
      </c>
      <c r="D36" s="265" t="s">
        <v>317</v>
      </c>
      <c r="E36" s="1"/>
      <c r="F36" s="1"/>
      <c r="G36" s="1"/>
      <c r="H36" s="1"/>
    </row>
    <row r="37" spans="1:8" ht="15.75" customHeight="1" x14ac:dyDescent="0.25">
      <c r="A37" s="275" t="s">
        <v>593</v>
      </c>
      <c r="B37" s="268">
        <f>SUM(B33:B36)</f>
        <v>780.42646000000002</v>
      </c>
      <c r="C37" s="269">
        <f>SUM(C33:C36)</f>
        <v>446.93700000000001</v>
      </c>
      <c r="D37" s="231" t="s">
        <v>318</v>
      </c>
      <c r="E37" s="1"/>
      <c r="F37" s="1"/>
      <c r="G37" s="1"/>
      <c r="H37" s="1"/>
    </row>
    <row r="38" spans="1:8" ht="15.75" customHeight="1" x14ac:dyDescent="0.25">
      <c r="A38" s="276"/>
      <c r="B38" s="277"/>
      <c r="C38" s="277"/>
      <c r="D38" s="263"/>
      <c r="E38" s="1"/>
      <c r="F38" s="1"/>
      <c r="G38" s="1"/>
      <c r="H38" s="1"/>
    </row>
    <row r="39" spans="1:8" ht="15.75" customHeight="1" x14ac:dyDescent="0.25">
      <c r="A39" s="421" t="s">
        <v>54</v>
      </c>
      <c r="B39" s="373"/>
      <c r="C39" s="373"/>
      <c r="D39" s="422"/>
      <c r="E39" s="1"/>
      <c r="F39" s="1"/>
      <c r="G39" s="1"/>
      <c r="H39" s="1"/>
    </row>
    <row r="40" spans="1:8" ht="15.75" customHeight="1" x14ac:dyDescent="0.25">
      <c r="A40" s="273" t="s">
        <v>862</v>
      </c>
      <c r="B40" s="262">
        <v>0</v>
      </c>
      <c r="C40" s="262">
        <v>0</v>
      </c>
      <c r="D40" s="265" t="s">
        <v>863</v>
      </c>
      <c r="E40" s="1"/>
      <c r="F40" s="1"/>
      <c r="G40" s="1"/>
      <c r="H40" s="1"/>
    </row>
    <row r="41" spans="1:8" ht="15.75" customHeight="1" x14ac:dyDescent="0.25">
      <c r="A41" s="273" t="s">
        <v>870</v>
      </c>
      <c r="B41" s="262">
        <f>15.17/1000</f>
        <v>1.5169999999999999E-2</v>
      </c>
      <c r="C41" s="580">
        <f>3043.17/1000</f>
        <v>3.0431699999999999</v>
      </c>
      <c r="D41" s="265" t="s">
        <v>319</v>
      </c>
      <c r="E41" s="1"/>
      <c r="F41" s="1"/>
      <c r="G41" s="1"/>
      <c r="H41" s="1"/>
    </row>
    <row r="42" spans="1:8" ht="15.75" customHeight="1" x14ac:dyDescent="0.25">
      <c r="A42" s="273" t="s">
        <v>320</v>
      </c>
      <c r="B42" s="262">
        <v>0</v>
      </c>
      <c r="C42" s="262">
        <v>0</v>
      </c>
      <c r="D42" s="265" t="s">
        <v>321</v>
      </c>
      <c r="E42" s="1"/>
      <c r="F42" s="1"/>
      <c r="G42" s="1"/>
      <c r="H42" s="1"/>
    </row>
    <row r="43" spans="1:8" ht="15.75" customHeight="1" x14ac:dyDescent="0.25">
      <c r="A43" s="274" t="s">
        <v>464</v>
      </c>
      <c r="B43" s="262">
        <f>(395.45+2455)/1000</f>
        <v>2.8504499999999999</v>
      </c>
      <c r="C43" s="580">
        <f>(169.06+4004.39)/1000</f>
        <v>4.1734499999999999</v>
      </c>
      <c r="D43" s="265" t="s">
        <v>322</v>
      </c>
      <c r="E43" s="1"/>
      <c r="F43" s="1"/>
      <c r="G43" s="1"/>
      <c r="H43" s="1"/>
    </row>
    <row r="44" spans="1:8" ht="15.75" customHeight="1" x14ac:dyDescent="0.25">
      <c r="A44" s="275" t="s">
        <v>592</v>
      </c>
      <c r="B44" s="268">
        <f>SUM(B40:B43)</f>
        <v>2.8656199999999998</v>
      </c>
      <c r="C44" s="269">
        <f>SUM(C40:C43)</f>
        <v>7.2166199999999998</v>
      </c>
      <c r="D44" s="231" t="s">
        <v>323</v>
      </c>
      <c r="E44" s="1"/>
      <c r="F44" s="1"/>
      <c r="G44" s="1"/>
      <c r="H44" s="1"/>
    </row>
    <row r="45" spans="1:8" ht="15.75" customHeight="1" x14ac:dyDescent="0.25">
      <c r="A45" s="278"/>
      <c r="B45" s="279"/>
      <c r="C45" s="279"/>
      <c r="D45" s="263"/>
      <c r="E45" s="1"/>
      <c r="F45" s="1"/>
      <c r="G45" s="1"/>
      <c r="H45" s="1"/>
    </row>
    <row r="46" spans="1:8" ht="15.75" customHeight="1" x14ac:dyDescent="0.25">
      <c r="A46" s="280" t="s">
        <v>56</v>
      </c>
      <c r="B46" s="281">
        <f>B37-B44</f>
        <v>777.56083999999998</v>
      </c>
      <c r="C46" s="282">
        <f>C37-C44</f>
        <v>439.72038000000003</v>
      </c>
      <c r="D46" s="231" t="s">
        <v>324</v>
      </c>
      <c r="E46" s="1"/>
      <c r="F46" s="1"/>
      <c r="G46" s="1"/>
      <c r="H46" s="1"/>
    </row>
  </sheetData>
  <sheetProtection formatCells="0" formatColumns="0" formatRows="0" insertColumns="0" insertRows="0"/>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kument" ma:contentTypeID="0x0101009B4C631BA811EF45892816C8DC39EBD5" ma:contentTypeVersion="8" ma:contentTypeDescription="Opprett et nytt dokument." ma:contentTypeScope="" ma:versionID="9c50e29d309b435de43583d51461a18b">
  <xsd:schema xmlns:xsd="http://www.w3.org/2001/XMLSchema" xmlns:xs="http://www.w3.org/2001/XMLSchema" xmlns:p="http://schemas.microsoft.com/office/2006/metadata/properties" xmlns:ns2="e5203fbc-8611-4cee-bc15-0f40b5482b14" xmlns:ns3="809de338-d6ed-487d-80cc-1661b6dc2dff" targetNamespace="http://schemas.microsoft.com/office/2006/metadata/properties" ma:root="true" ma:fieldsID="fe2974bed1fc52b35e4ca74203f9b5c2" ns2:_="" ns3:_="">
    <xsd:import namespace="e5203fbc-8611-4cee-bc15-0f40b5482b14"/>
    <xsd:import namespace="809de338-d6ed-487d-80cc-1661b6dc2dff"/>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KeyPoints" minOccurs="0"/>
                <xsd:element ref="ns2:MediaServiceKeyPoint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5203fbc-8611-4cee-bc15-0f40b5482b1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ObjectDetectorVersions" ma:index="14"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1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809de338-d6ed-487d-80cc-1661b6dc2dff" elementFormDefault="qualified">
    <xsd:import namespace="http://schemas.microsoft.com/office/2006/documentManagement/types"/>
    <xsd:import namespace="http://schemas.microsoft.com/office/infopath/2007/PartnerControls"/>
    <xsd:element name="SharedWithUsers" ma:index="10" nillable="true" ma:displayName="Delt med"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Delingsdetaljer"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nholdstype"/>
        <xsd:element ref="dc:title" minOccurs="0" maxOccurs="1" ma:index="4" ma:displayName="Tit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E4FD963-60ED-448D-9B35-545889DDE41F}">
  <ds:schemaRefs>
    <ds:schemaRef ds:uri="http://purl.org/dc/dcmitype/"/>
    <ds:schemaRef ds:uri="http://schemas.microsoft.com/office/infopath/2007/PartnerControls"/>
    <ds:schemaRef ds:uri="http://schemas.microsoft.com/office/2006/documentManagement/types"/>
    <ds:schemaRef ds:uri="http://purl.org/dc/elements/1.1/"/>
    <ds:schemaRef ds:uri="http://schemas.microsoft.com/office/2006/metadata/properties"/>
    <ds:schemaRef ds:uri="809de338-d6ed-487d-80cc-1661b6dc2dff"/>
    <ds:schemaRef ds:uri="http://purl.org/dc/terms/"/>
    <ds:schemaRef ds:uri="http://schemas.openxmlformats.org/package/2006/metadata/core-properties"/>
    <ds:schemaRef ds:uri="e5203fbc-8611-4cee-bc15-0f40b5482b14"/>
    <ds:schemaRef ds:uri="http://www.w3.org/XML/1998/namespace"/>
  </ds:schemaRefs>
</ds:datastoreItem>
</file>

<file path=customXml/itemProps2.xml><?xml version="1.0" encoding="utf-8"?>
<ds:datastoreItem xmlns:ds="http://schemas.openxmlformats.org/officeDocument/2006/customXml" ds:itemID="{FB1263C7-5864-4BD9-A5A9-ECE52AECE17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5203fbc-8611-4cee-bc15-0f40b5482b14"/>
    <ds:schemaRef ds:uri="809de338-d6ed-487d-80cc-1661b6dc2df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5889CE2-4C63-45A0-8359-A20B93F3E5B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Regneark</vt:lpstr>
      </vt:variant>
      <vt:variant>
        <vt:i4>20</vt:i4>
      </vt:variant>
    </vt:vector>
  </HeadingPairs>
  <TitlesOfParts>
    <vt:vector size="20" baseType="lpstr">
      <vt:lpstr>Prinsippnote</vt:lpstr>
      <vt:lpstr>Resultatregnskap</vt:lpstr>
      <vt:lpstr>Balanse - eiendeler</vt:lpstr>
      <vt:lpstr>Balanse - gjeld og egenkapital</vt:lpstr>
      <vt:lpstr> Kontantstrøm IND</vt:lpstr>
      <vt:lpstr>Kontantstrøm DIR</vt:lpstr>
      <vt:lpstr>Note 1</vt:lpstr>
      <vt:lpstr>Note 2</vt:lpstr>
      <vt:lpstr>Note  3 og 4</vt:lpstr>
      <vt:lpstr>Note 5 og 6</vt:lpstr>
      <vt:lpstr>Note 7</vt:lpstr>
      <vt:lpstr>Note 8</vt:lpstr>
      <vt:lpstr>Note 9 og 10</vt:lpstr>
      <vt:lpstr>Note 11</vt:lpstr>
      <vt:lpstr>Note 12</vt:lpstr>
      <vt:lpstr>Note 20</vt:lpstr>
      <vt:lpstr>Note 21</vt:lpstr>
      <vt:lpstr>Note 25</vt:lpstr>
      <vt:lpstr>Note 30</vt:lpstr>
      <vt:lpstr>Note 32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Oppgjørspakke private høyskoler T3 2024 (uten note 1b) - UTKAST</dc:title>
  <dc:creator>Skjefstad, Kenneth</dc:creator>
  <dc:description>Halvårspakke basert på årspakke for 2016. Notene 11 og 20 er lagt ut som egne arkfane. Ny oppstillingsplan for kontantstrøm etter dirkte modell er lagt inn som egen arkfane i tillegg til kontantstrømoppstillingen etter indrikte modell.</dc:description>
  <cp:lastModifiedBy>Ingunn Tepstad</cp:lastModifiedBy>
  <cp:lastPrinted>2025-02-14T08:05:05Z</cp:lastPrinted>
  <dcterms:created xsi:type="dcterms:W3CDTF">2014-12-23T04:09:07Z</dcterms:created>
  <dcterms:modified xsi:type="dcterms:W3CDTF">2025-02-14T08:08:42Z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0x0101009B4C631BA811EF45892816C8DC39EBD5</vt:lpwstr>
  </property>
  <property fmtid="{D5CDD505-2E9C-101B-9397-08002B2CF9AE}" pid="3" name="DssEmneord">
    <vt:lpwstr>6;#Fagskoleutdanning|dc318931-fe29-41de-8830-f91bec213162</vt:lpwstr>
  </property>
  <property fmtid="{D5CDD505-2E9C-101B-9397-08002B2CF9AE}" pid="4" name="DssFunksjon">
    <vt:lpwstr>3;#Kontroll|463643d5-ce49-409b-a124-2da4fba05cfb</vt:lpwstr>
  </property>
  <property fmtid="{D5CDD505-2E9C-101B-9397-08002B2CF9AE}" pid="5" name="DssAvdeling">
    <vt:lpwstr>7;#Universitets- og h�yskoleavdelingen|12365462-7fd7-4411-aa23-52336f678b67</vt:lpwstr>
  </property>
  <property fmtid="{D5CDD505-2E9C-101B-9397-08002B2CF9AE}" pid="6" name="DssDepartement">
    <vt:lpwstr>1;#Kunnskapsdepartementet|81227de6-cb8e-4f0f-82fe-a653bcaf2db4</vt:lpwstr>
  </property>
  <property fmtid="{D5CDD505-2E9C-101B-9397-08002B2CF9AE}" pid="7" name="DssDokumenttype">
    <vt:lpwstr>6;#Regneark|c8fcbe77-693b-46a2-b776-f8f68f353ce9</vt:lpwstr>
  </property>
  <property fmtid="{D5CDD505-2E9C-101B-9397-08002B2CF9AE}" pid="8" name="DssRomtype">
    <vt:lpwstr/>
  </property>
  <property fmtid="{D5CDD505-2E9C-101B-9397-08002B2CF9AE}" pid="9" name="MSIP_Label_73809861-fd30-4277-9b32-94dba1968e23_Enabled">
    <vt:lpwstr>true</vt:lpwstr>
  </property>
  <property fmtid="{D5CDD505-2E9C-101B-9397-08002B2CF9AE}" pid="10" name="MSIP_Label_73809861-fd30-4277-9b32-94dba1968e23_SetDate">
    <vt:lpwstr>2023-11-27T13:33:24Z</vt:lpwstr>
  </property>
  <property fmtid="{D5CDD505-2E9C-101B-9397-08002B2CF9AE}" pid="11" name="MSIP_Label_73809861-fd30-4277-9b32-94dba1968e23_Method">
    <vt:lpwstr>Standard</vt:lpwstr>
  </property>
  <property fmtid="{D5CDD505-2E9C-101B-9397-08002B2CF9AE}" pid="12" name="MSIP_Label_73809861-fd30-4277-9b32-94dba1968e23_Name">
    <vt:lpwstr>Intern (KD)</vt:lpwstr>
  </property>
  <property fmtid="{D5CDD505-2E9C-101B-9397-08002B2CF9AE}" pid="13" name="MSIP_Label_73809861-fd30-4277-9b32-94dba1968e23_SiteId">
    <vt:lpwstr>f696e186-1c3b-44cd-bf76-5ace0e7007bd</vt:lpwstr>
  </property>
  <property fmtid="{D5CDD505-2E9C-101B-9397-08002B2CF9AE}" pid="14" name="MSIP_Label_73809861-fd30-4277-9b32-94dba1968e23_ActionId">
    <vt:lpwstr>dff422bf-a1cf-46d1-b3f5-41342fa84ac7</vt:lpwstr>
  </property>
  <property fmtid="{D5CDD505-2E9C-101B-9397-08002B2CF9AE}" pid="15" name="MSIP_Label_73809861-fd30-4277-9b32-94dba1968e23_ContentBits">
    <vt:lpwstr>0</vt:lpwstr>
  </property>
</Properties>
</file>