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ragna.waago\Downloads\"/>
    </mc:Choice>
  </mc:AlternateContent>
  <xr:revisionPtr revIDLastSave="0" documentId="8_{B6370214-9E4F-45F3-B753-F450566385EF}" xr6:coauthVersionLast="47" xr6:coauthVersionMax="47" xr10:uidLastSave="{00000000-0000-0000-0000-000000000000}"/>
  <bookViews>
    <workbookView xWindow="28680" yWindow="-120" windowWidth="29040" windowHeight="15720" tabRatio="869" firstSheet="4"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1" l="1"/>
  <c r="B15" i="11" l="1"/>
  <c r="B13" i="10"/>
  <c r="D28" i="11"/>
  <c r="D24" i="11" l="1"/>
  <c r="E57" i="11"/>
  <c r="B23" i="10" l="1"/>
  <c r="C23" i="6"/>
  <c r="C31" i="6"/>
  <c r="I6" i="4"/>
  <c r="I9" i="4"/>
  <c r="C15" i="4"/>
  <c r="I8" i="4"/>
  <c r="I7" i="4"/>
  <c r="I5" i="4"/>
  <c r="B31" i="6"/>
  <c r="B30" i="6"/>
  <c r="D17" i="10" l="1"/>
  <c r="B17" i="10"/>
  <c r="D14" i="10"/>
  <c r="B16" i="10"/>
  <c r="B15" i="10"/>
  <c r="B14" i="10"/>
  <c r="D13" i="10"/>
  <c r="D9" i="10"/>
  <c r="B9" i="10" s="1"/>
  <c r="C20" i="1" l="1"/>
  <c r="B29" i="6"/>
  <c r="B36" i="11"/>
  <c r="D56" i="11" s="1"/>
  <c r="E56" i="11"/>
  <c r="C17" i="11"/>
  <c r="B17" i="11"/>
  <c r="C11" i="4"/>
  <c r="B46" i="11"/>
  <c r="D57" i="11" s="1"/>
  <c r="C10" i="11"/>
  <c r="D52" i="4"/>
  <c r="C51" i="4" s="1"/>
  <c r="B11" i="14"/>
  <c r="G15" i="12"/>
  <c r="G7" i="12"/>
  <c r="B22" i="8" l="1"/>
  <c r="B20" i="8"/>
  <c r="B16" i="8"/>
  <c r="B15" i="8"/>
  <c r="B14" i="8"/>
  <c r="B11" i="8"/>
  <c r="B10" i="8"/>
  <c r="B7" i="8"/>
  <c r="C54" i="6"/>
  <c r="B54" i="6"/>
  <c r="B46" i="6"/>
  <c r="B44" i="6"/>
  <c r="B43" i="6"/>
  <c r="B42" i="6"/>
  <c r="B41" i="6"/>
  <c r="B6" i="8"/>
  <c r="B10" i="6"/>
  <c r="C46" i="3"/>
  <c r="C45" i="3"/>
  <c r="C43" i="3"/>
  <c r="C10" i="3"/>
  <c r="C49" i="2"/>
  <c r="C39" i="2"/>
  <c r="C17" i="2"/>
  <c r="C11" i="1" l="1"/>
  <c r="C25" i="1"/>
  <c r="C19" i="1"/>
  <c r="C17" i="1"/>
  <c r="C16" i="1"/>
  <c r="C15" i="1"/>
  <c r="C10" i="1"/>
  <c r="C9" i="1"/>
  <c r="B15" i="15"/>
  <c r="B36" i="10" l="1"/>
  <c r="B35" i="10"/>
  <c r="B8" i="10"/>
  <c r="B34" i="10"/>
  <c r="B29" i="10"/>
  <c r="B24" i="10"/>
  <c r="B7" i="10"/>
  <c r="C6" i="14"/>
  <c r="B6" i="14"/>
  <c r="C17" i="13"/>
  <c r="B17" i="13"/>
  <c r="C10" i="13"/>
  <c r="B10" i="13"/>
  <c r="C5" i="13"/>
  <c r="B5" i="13"/>
  <c r="A9" i="12"/>
  <c r="A10" i="12"/>
  <c r="A11" i="12"/>
  <c r="A12" i="12"/>
  <c r="A13" i="12"/>
  <c r="A14" i="12"/>
  <c r="A15" i="12"/>
  <c r="A16" i="12"/>
  <c r="A17" i="12"/>
  <c r="A8" i="12"/>
  <c r="A7" i="12"/>
  <c r="C49" i="11"/>
  <c r="D49" i="11"/>
  <c r="E49" i="11"/>
  <c r="B49" i="11"/>
  <c r="C44" i="11"/>
  <c r="D44" i="11"/>
  <c r="E44" i="11"/>
  <c r="B44" i="11"/>
  <c r="C39" i="11"/>
  <c r="D39" i="11"/>
  <c r="E39" i="11"/>
  <c r="B39" i="11"/>
  <c r="C34" i="11"/>
  <c r="D34" i="11"/>
  <c r="E34" i="11"/>
  <c r="B34" i="11"/>
  <c r="E14" i="11"/>
  <c r="C14" i="11"/>
  <c r="D14" i="11"/>
  <c r="B14" i="11"/>
  <c r="C5" i="8"/>
  <c r="B5" i="8"/>
  <c r="C40" i="6"/>
  <c r="B40" i="6"/>
  <c r="D6" i="3"/>
  <c r="C6" i="3"/>
  <c r="D5" i="2"/>
  <c r="C5" i="2"/>
  <c r="C37" i="10"/>
  <c r="D37" i="10"/>
  <c r="D21" i="11"/>
  <c r="D52" i="11" l="1"/>
  <c r="E52" i="11"/>
  <c r="E17" i="6"/>
  <c r="E16" i="6"/>
  <c r="D20" i="6"/>
  <c r="C20" i="6"/>
  <c r="B20" i="6"/>
  <c r="E20" i="6" l="1"/>
  <c r="E11" i="6"/>
  <c r="E10" i="6"/>
  <c r="E9" i="6"/>
  <c r="E8" i="6"/>
  <c r="E21" i="11"/>
  <c r="D55" i="11"/>
  <c r="E55" i="11"/>
  <c r="D10" i="10" l="1"/>
  <c r="C10" i="10"/>
  <c r="B10" i="10"/>
  <c r="F11" i="12"/>
  <c r="F17" i="12" s="1"/>
  <c r="B11" i="12"/>
  <c r="E13" i="16"/>
  <c r="D10" i="16"/>
  <c r="E58" i="11"/>
  <c r="E29" i="11"/>
  <c r="D29"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D12" i="1"/>
  <c r="C12" i="1"/>
  <c r="D58"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s="1"/>
  <c r="E15" i="15"/>
  <c r="D15" i="15"/>
  <c r="C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2" i="11"/>
  <c r="B52" i="11"/>
  <c r="E47" i="11"/>
  <c r="D47" i="11"/>
  <c r="C47" i="11"/>
  <c r="B47" i="11"/>
  <c r="E42" i="11"/>
  <c r="D42" i="11"/>
  <c r="C42" i="11"/>
  <c r="B42" i="11"/>
  <c r="E37" i="11"/>
  <c r="D37" i="11"/>
  <c r="C37" i="11"/>
  <c r="B37"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I11" i="12"/>
  <c r="C17" i="12"/>
  <c r="I17" i="12" s="1"/>
  <c r="A1" i="16"/>
  <c r="H15" i="15" l="1"/>
  <c r="A1" i="10"/>
  <c r="C11" i="5" l="1"/>
  <c r="B11" i="5"/>
  <c r="B36" i="5" s="1"/>
  <c r="D47" i="4" l="1"/>
  <c r="D50" i="4" s="1"/>
  <c r="C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<sst xmlns="http://schemas.openxmlformats.org/spreadsheetml/2006/main" count="814" uniqueCount="670">
  <si>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</si>
  <si>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</si>
  <si>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</si>
  <si>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</si>
  <si>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</si>
  <si>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</si>
  <si>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</si>
  <si>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</si>
  <si>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</si>
  <si>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</si>
  <si>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</si>
  <si>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</si>
  <si>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</si>
  <si>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</si>
  <si>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</si>
  <si>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</si>
  <si>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</si>
  <si>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</si>
  <si>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</si>
  <si>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</si>
  <si>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</si>
  <si>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</si>
  <si>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</si>
  <si>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</si>
  <si>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</si>
  <si>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</si>
  <si>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</si>
  <si>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</si>
  <si>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</si>
  <si>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</si>
  <si>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</si>
  <si>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</si>
  <si>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</si>
  <si>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</si>
  <si>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</si>
  <si>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</si>
  <si>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</si>
  <si>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</si>
  <si>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</si>
  <si>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</si>
  <si>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</si>
  <si>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</si>
  <si>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</si>
  <si>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</si>
  <si>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</si>
  <si>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</si>
  <si>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</si>
  <si>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</si>
  <si>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</si>
  <si>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</si>
  <si>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</si>
  <si>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</si>
  <si>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</si>
  <si>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</si>
  <si>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</si>
  <si>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</si>
  <si>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</si>
  <si>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</si>
  <si>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</si>
  <si>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</si>
  <si>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</si>
  <si>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</si>
  <si>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</si>
  <si>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</si>
  <si>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</si>
  <si>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</si>
  <si>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</si>
  <si>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</si>
  <si>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</si>
  <si>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</si>
  <si>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</si>
  <si>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</si>
  <si>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</si>
  <si>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</si>
  <si>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</si>
  <si>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</si>
  <si>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</si>
  <si>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</si>
  <si>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</si>
  <si>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</si>
  <si>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</si>
  <si>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</si>
  <si>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</si>
  <si>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</si>
  <si>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</si>
  <si>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</si>
  <si>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</si>
  <si>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</si>
  <si>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</si>
  <si>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</si>
  <si>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</si>
  <si>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</si>
  <si>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</si>
  <si>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</si>
  <si>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</si>
  <si>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</si>
  <si>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</si>
  <si>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</si>
  <si>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</si>
  <si>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</si>
  <si>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</si>
  <si>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</si>
  <si>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</si>
  <si>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</si>
  <si>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</si>
  <si>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</si>
  <si>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</si>
  <si>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</si>
  <si>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</si>
  <si>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</si>
  <si>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</si>
  <si>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</si>
  <si>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</si>
  <si>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</si>
  <si>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</si>
  <si>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</si>
  <si>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</si>
  <si>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</si>
  <si>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</si>
  <si>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</si>
  <si>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</si>
  <si>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</si>
  <si>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</si>
  <si>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</si>
  <si>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</si>
  <si>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</si>
  <si>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</si>
  <si>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</si>
  <si>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</si>
  <si>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</si>
  <si>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</si>
  <si>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</si>
  <si>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</si>
  <si>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</si>
  <si>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</si>
  <si>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</si>
  <si>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</si>
  <si>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</si>
  <si>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</si>
  <si>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</si>
  <si>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</si>
  <si>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</si>
  <si>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</si>
  <si>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</si>
  <si>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</si>
  <si>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</si>
  <si>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</si>
  <si>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</si>
  <si>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</si>
  <si>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</si>
  <si>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</si>
  <si>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</si>
  <si>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</si>
  <si>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</si>
  <si>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</si>
  <si>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</si>
  <si>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</si>
  <si>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</si>
  <si>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</si>
  <si>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</si>
  <si>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</si>
  <si>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</si>
  <si>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</si>
  <si>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</si>
  <si>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</si>
  <si>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</si>
  <si>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</si>
  <si>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</si>
  <si>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</si>
  <si>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</si>
  <si>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</si>
  <si>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</si>
  <si>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</si>
  <si>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</si>
  <si>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</si>
  <si>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</si>
  <si>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</si>
  <si>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</si>
  <si>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</si>
  <si>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</si>
  <si>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</si>
  <si>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</si>
  <si>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</si>
  <si>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</si>
  <si>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</si>
  <si>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</si>
  <si>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</si>
  <si>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</si>
  <si>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</si>
  <si>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</si>
  <si>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</si>
  <si>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</si>
  <si>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</si>
  <si>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</si>
  <si>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</si>
  <si>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</si>
  <si>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</si>
  <si>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</si>
  <si>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</si>
  <si>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</si>
  <si>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</si>
  <si>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</si>
  <si>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</si>
  <si>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</si>
  <si>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</si>
  <si>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</si>
  <si>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</si>
  <si>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</si>
  <si>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</si>
  <si>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</si>
  <si>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</si>
  <si>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</si>
  <si>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</si>
  <si>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</si>
  <si>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</si>
  <si>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</si>
  <si>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</si>
  <si>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</si>
  <si>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</si>
  <si>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</si>
  <si>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</si>
  <si>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</si>
  <si>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</si>
  <si>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</si>
  <si>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</si>
  <si>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</si>
  <si>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</si>
  <si>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</si>
  <si>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</si>
  <si>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</si>
  <si>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</si>
  <si>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</si>
  <si>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</si>
  <si>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</si>
  <si>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</si>
  <si>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</si>
  <si>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</si>
  <si>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</si>
  <si>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</si>
  <si>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</si>
  <si>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</si>
  <si>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</si>
  <si>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</si>
  <si>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</si>
  <si>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</si>
  <si>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</si>
  <si>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</si>
  <si>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</si>
  <si>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</si>
  <si>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</si>
  <si>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</si>
  <si>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</si>
  <si>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</si>
  <si>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</si>
  <si>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</si>
  <si>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</si>
  <si>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</si>
  <si>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</si>
  <si>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</si>
  <si>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</si>
  <si>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</si>
  <si>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</si>
  <si>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</si>
  <si>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</si>
  <si>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</si>
  <si>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</si>
  <si>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</si>
  <si>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</si>
  <si>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</si>
  <si>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</si>
  <si>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</si>
  <si>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</si>
  <si>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</si>
  <si>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</si>
  <si>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</si>
  <si>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</si>
  <si>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</si>
  <si>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</si>
  <si>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</si>
  <si>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</si>
  <si>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</si>
  <si>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</si>
  <si>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</si>
  <si>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</si>
  <si>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</si>
  <si>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</si>
  <si>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</si>
  <si>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</si>
  <si>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</si>
  <si>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</si>
  <si>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</si>
  <si>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</si>
  <si>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</si>
  <si>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</si>
  <si>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</si>
  <si>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</si>
  <si>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</si>
  <si>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</si>
  <si>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</si>
  <si>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</si>
  <si>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</si>
  <si>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</si>
  <si>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</si>
  <si>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</si>
  <si>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</si>
  <si>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</si>
  <si>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</si>
  <si>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</si>
  <si>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</si>
  <si>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</si>
  <si>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</si>
  <si>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</si>
  <si>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</si>
  <si>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</si>
  <si>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</si>
  <si>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</si>
  <si>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</si>
  <si>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</si>
  <si>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</si>
  <si>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</si>
  <si>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</si>
  <si>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</si>
  <si>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</si>
  <si>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</si>
  <si>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</si>
  <si>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</si>
  <si>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</si>
  <si>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</si>
  <si>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</si>
  <si>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</si>
  <si>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</si>
  <si>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</si>
  <si>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</si>
  <si>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</si>
  <si>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</si>
  <si>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</si>
  <si>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</si>
  <si>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</si>
  <si>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</si>
  <si>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</si>
  <si>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</si>
  <si>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</si>
  <si>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</si>
  <si>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</si>
  <si>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</si>
  <si>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</si>
  <si>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</si>
  <si>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</si>
  <si>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</si>
  <si>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</si>
  <si>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</si>
  <si>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</si>
  <si>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</si>
  <si>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</si>
  <si>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</si>
  <si>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</si>
  <si>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</si>
  <si>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</si>
  <si>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</si>
  <si>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</si>
  <si>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</si>
  <si>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</si>
  <si>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</si>
  <si>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</si>
  <si>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</si>
  <si>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</si>
  <si>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</si>
  <si>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</si>
  <si>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</si>
  <si>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</si>
  <si>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</si>
  <si>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</si>
  <si>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</si>
  <si>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</si>
  <si>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</si>
  <si>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</si>
  <si>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</si>
  <si>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</si>
  <si>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</si>
  <si>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</si>
  <si>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</si>
  <si>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</si>
  <si>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</si>
  <si>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</si>
  <si>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</si>
  <si>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</si>
  <si>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</si>
  <si>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</si>
  <si>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</si>
  <si>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</si>
  <si>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</si>
  <si>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</si>
  <si>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</si>
  <si>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</si>
  <si>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</si>
  <si>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</si>
  <si>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</si>
  <si>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</si>
  <si>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</si>
  <si>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</si>
  <si>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</si>
  <si>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</si>
  <si>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</si>
  <si>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</si>
  <si>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</si>
  <si>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</si>
  <si>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</si>
  <si>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</si>
  <si>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</si>
  <si>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</si>
  <si>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</si>
  <si>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</si>
  <si>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</si>
  <si>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</si>
  <si>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</si>
  <si>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</si>
  <si>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</si>
  <si>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</si>
  <si>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</si>
  <si>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</si>
  <si>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</si>
  <si>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</si>
  <si>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</si>
  <si>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</si>
  <si>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</si>
  <si>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</si>
  <si>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</si>
  <si>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</si>
  <si>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</si>
  <si>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</si>
  <si>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</si>
  <si>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</si>
  <si>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</si>
  <si>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</si>
  <si>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</si>
  <si>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</si>
  <si>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</si>
  <si>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</si>
  <si>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</si>
  <si>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</si>
  <si>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</si>
  <si>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</si>
  <si>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</si>
  <si>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</si>
  <si>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</si>
  <si>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</si>
  <si>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</si>
  <si>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</si>
  <si>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</si>
  <si>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</si>
  <si>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</si>
  <si>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</si>
  <si>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</si>
  <si>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</si>
  <si>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</si>
  <si>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</si>
  <si>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</si>
  <si>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</si>
  <si>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</si>
  <si>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</si>
  <si>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</si>
  <si>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</si>
  <si>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</si>
  <si>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</si>
  <si>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</si>
  <si>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</si>
  <si>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</si>
  <si>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</si>
  <si>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</si>
  <si>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</si>
  <si>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</si>
  <si>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</si>
  <si>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</si>
  <si>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</si>
  <si>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</si>
  <si>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</si>
  <si>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</si>
  <si>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</si>
  <si>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</si>
  <si>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</si>
  <si>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</si>
  <si>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</si>
  <si>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</si>
  <si>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</si>
  <si>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</si>
  <si>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</si>
  <si>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</si>
  <si>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</si>
  <si>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</si>
  <si>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</si>
  <si>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</si>
  <si>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</si>
  <si>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</si>
  <si>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</si>
  <si>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</si>
  <si>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</si>
  <si>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</si>
  <si>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</si>
  <si>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</si>
  <si>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</si>
  <si>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</si>
  <si>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</si>
  <si>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</si>
  <si>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</si>
  <si>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</si>
  <si>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</si>
  <si>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</si>
  <si>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</si>
  <si>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</si>
  <si>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</si>
  <si>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</si>
  <si>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</si>
  <si>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</si>
  <si>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</si>
  <si>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</si>
  <si>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</si>
  <si>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</si>
  <si>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</si>
  <si>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</si>
  <si>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</si>
  <si>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</si>
  <si>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</si>
  <si>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</si>
  <si>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</si>
  <si>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</si>
  <si>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</si>
  <si>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</si>
  <si>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</si>
  <si>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</si>
  <si>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</si>
  <si>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</si>
  <si>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</si>
  <si>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</si>
  <si>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</si>
  <si>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</si>
  <si>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</si>
  <si>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</si>
  <si>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</si>
  <si>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</si>
  <si>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</si>
  <si>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</si>
  <si>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</si>
  <si>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</si>
  <si>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</si>
  <si>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</si>
  <si>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</si>
  <si>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</si>
  <si>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</si>
  <si>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</si>
  <si>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</si>
  <si>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</si>
  <si>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</si>
  <si>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</si>
  <si>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</si>
  <si>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</si>
  <si>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</si>
  <si>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</si>
  <si>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</si>
  <si>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</si>
  <si>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</si>
  <si>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</si>
  <si>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</si>
  <si>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</si>
  <si>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</si>
  <si>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</si>
  <si>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</si>
  <si>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</si>
  <si>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</si>
  <si>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</si>
  <si>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</si>
  <si>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</si>
  <si>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</si>
  <si>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</si>
  <si>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</si>
  <si>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</si>
  <si>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</si>
  <si>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</si>
  <si>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</si>
  <si>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</si>
  <si>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</si>
  <si>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</si>
  <si>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</si>
  <si>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</si>
  <si>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</si>
  <si>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</si>
  <si>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</si>
  <si>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</si>
  <si>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</si>
  <si>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</si>
  <si>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</si>
  <si>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</si>
  <si>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</si>
  <si>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</si>
  <si>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</si>
  <si>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</si>
  <si>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</si>
  <si>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</si>
  <si>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</si>
  <si>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</si>
  <si>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</si>
  <si>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</si>
  <si>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</si>
  <si>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</si>
  <si>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</si>
  <si>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</si>
  <si>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</si>
  <si>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</si>
  <si>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</si>
  <si>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</si>
  <si>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</si>
  <si>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</si>
  <si>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</si>
  <si>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</si>
  <si>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</si>
  <si>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</si>
  <si>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</si>
  <si>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</si>
  <si>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</si>
  <si>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</si>
  <si>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</si>
  <si>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</si>
  <si>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</si>
  <si>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</si>
  <si>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</si>
  <si>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</si>
  <si>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</si>
  <si>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</si>
  <si>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</si>
  <si>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</si>
  <si>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</si>
  <si>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</si>
  <si>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</si>
  <si>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</si>
  <si>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</si>
  <si>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</si>
  <si>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</si>
  <si>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</si>
  <si>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</si>
  <si>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</si>
  <si>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</si>
  <si>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</si>
  <si>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</si>
  <si>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</si>
  <si>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</si>
  <si>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</si>
  <si>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</si>
  <si>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</si>
  <si>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</si>
  <si>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</si>
  <si>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</si>
  <si>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</si>
  <si>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Frelsesarmeen</t>
  </si>
  <si>
    <t xml:space="preserve">Frelsesarmeen </t>
  </si>
  <si>
    <t>Frelsesarmeens Eiendommer AS</t>
  </si>
  <si>
    <t>Kjøp av varer: Mat og andre varer</t>
  </si>
  <si>
    <t>Kjøp av tjenester: Regnskapstjenester mm</t>
  </si>
  <si>
    <t>Kjøp av tjenester: Innleie av ansatte</t>
  </si>
  <si>
    <t>Endring leverandørgjeld</t>
  </si>
  <si>
    <t>endring annen kortsiktig gjeld</t>
  </si>
  <si>
    <t>Skyldig offentlig avgifter</t>
  </si>
  <si>
    <t>endring andre fordringer</t>
  </si>
  <si>
    <t>Beregning:</t>
  </si>
  <si>
    <t>Mva-kompensasjon</t>
  </si>
  <si>
    <t>924 357 541</t>
  </si>
  <si>
    <t>Spesifikasjon av offentlig tilskudd 2024</t>
  </si>
  <si>
    <t>Frelsesarmeens Offisersskole AS</t>
  </si>
  <si>
    <t>Virksomhetens navn: Frelsesarmeens Offisersskole AS</t>
  </si>
  <si>
    <t>Tilbakebetaling av tilskudd</t>
  </si>
  <si>
    <t>Fagskolens navn: Frelsesarmeens Offisersskole AS</t>
  </si>
  <si>
    <t>Org.nr: 924357541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</si>
</sst>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
  </numFmts>
  <fonts count="84"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0"/>
      <color rgb="FF0070C0"/>
      <name val="Arial"/>
      <family val="2"/>
    </font>
    <font>
      <b/>
      <sz val="10"/>
      <color rgb="FF0070C0"/>
      <name val="Arial"/>
      <family val="2"/>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13">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8" fillId="0" borderId="48" xfId="0" applyNumberFormat="1" applyFont="1" applyBorder="1" applyAlignment="1" applyProtection="1">
      <alignment horizontal="center" wrapText="1"/>
      <protection locked="0"/>
    </xf>
    <xf numFmtId="165" fontId="20" fillId="0" borderId="7" xfId="0" applyNumberFormat="1" applyFont="1" applyBorder="1" applyAlignment="1" applyProtection="1">
      <alignment wrapText="1"/>
      <protection locked="0"/>
    </xf>
    <xf numFmtId="3" fontId="48" fillId="0" borderId="67" xfId="0" applyNumberFormat="1" applyFont="1" applyBorder="1" applyAlignment="1" applyProtection="1">
      <alignment wrapText="1"/>
      <protection locked="0"/>
    </xf>
    <xf numFmtId="3" fontId="48" fillId="0" borderId="48" xfId="0" applyNumberFormat="1" applyFont="1" applyBorder="1" applyAlignment="1" applyProtection="1">
      <alignment wrapText="1"/>
      <protection locked="0"/>
    </xf>
    <xf numFmtId="3" fontId="48" fillId="0" borderId="21" xfId="0" applyNumberFormat="1" applyFont="1" applyBorder="1" applyAlignment="1" applyProtection="1">
      <alignment wrapText="1"/>
      <protection locked="0"/>
    </xf>
    <xf numFmtId="3" fontId="48" fillId="0" borderId="3" xfId="0" applyNumberFormat="1" applyFont="1" applyBorder="1" applyAlignment="1" applyProtection="1">
      <alignment horizontal="left" vertical="top"/>
      <protection locked="0"/>
    </xf>
    <xf numFmtId="3" fontId="48" fillId="0" borderId="5" xfId="0" applyNumberFormat="1" applyFont="1" applyBorder="1" applyAlignment="1" applyProtection="1">
      <alignment horizontal="left" vertical="top"/>
      <protection locked="0"/>
    </xf>
    <xf numFmtId="3" fontId="48" fillId="0" borderId="12" xfId="0" applyNumberFormat="1" applyFont="1" applyBorder="1" applyAlignment="1" applyProtection="1">
      <alignment horizontal="left" vertical="top"/>
      <protection locked="0"/>
    </xf>
    <xf numFmtId="1" fontId="11" fillId="0" borderId="7" xfId="6" applyNumberFormat="1" applyFont="1" applyBorder="1"/>
    <xf numFmtId="165" fontId="19" fillId="0" borderId="7" xfId="0" applyNumberFormat="1" applyFont="1" applyBorder="1" applyAlignment="1" applyProtection="1">
      <alignment wrapText="1"/>
      <protection locked="0"/>
    </xf>
    <xf numFmtId="3" fontId="62" fillId="0" borderId="5" xfId="2" applyNumberFormat="1" applyFont="1" applyFill="1" applyBorder="1" applyProtection="1">
      <protection locked="0"/>
    </xf>
    <xf numFmtId="3" fontId="15" fillId="0" borderId="29" xfId="0" applyNumberFormat="1" applyFont="1" applyBorder="1" applyProtection="1">
      <protection locked="0"/>
    </xf>
    <xf numFmtId="0" fontId="82" fillId="0" borderId="0" xfId="6" applyFont="1" applyProtection="1">
      <protection locked="0"/>
    </xf>
    <xf numFmtId="0" fontId="19" fillId="0" borderId="0" xfId="0" quotePrefix="1" applyFont="1" applyProtection="1">
      <protection locked="0"/>
    </xf>
    <xf numFmtId="0" fontId="43" fillId="0" borderId="0" xfId="0" applyFont="1" applyAlignment="1" applyProtection="1">
      <alignment horizontal="left"/>
      <protection locked="0"/>
    </xf>
    <xf numFmtId="3" fontId="82" fillId="0" borderId="0" xfId="6" applyNumberFormat="1" applyFont="1" applyProtection="1">
      <protection locked="0"/>
    </xf>
    <xf numFmtId="3" fontId="83" fillId="0" borderId="0" xfId="0" applyNumberFormat="1" applyFont="1"/>
    <xf numFmtId="3" fontId="82" fillId="0" borderId="0" xfId="0" applyNumberFormat="1" applyFont="1" applyAlignment="1" applyProtection="1">
      <alignment wrapText="1"/>
      <protection locked="0"/>
    </xf>
    <xf numFmtId="0" fontId="82" fillId="0" borderId="0" xfId="6" quotePrefix="1" applyFont="1" applyProtection="1">
      <protection locked="0"/>
    </xf>
    <xf numFmtId="3" fontId="20" fillId="0" borderId="0" xfId="6" applyNumberFormat="1" applyAlignment="1" applyProtection="1">
      <alignment horizontal="right"/>
      <protection locked="0"/>
    </xf>
    <xf numFmtId="3" fontId="20" fillId="0" borderId="6" xfId="0" applyNumberFormat="1" applyFont="1" applyBorder="1" applyAlignment="1" applyProtection="1">
      <alignment horizontal="right" wrapText="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20" fillId="0" borderId="0" xfId="0" applyNumberFormat="1" applyFont="1" applyAlignment="1" applyProtection="1">
      <alignment horizontal="left" vertical="center" wrapText="1"/>
      <protection locked="0"/>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colors>
    <mruColors>
      <color rgb="FFFFCCFF"/>
      <color rgb="FFFFFFCC"/>
      <color rgb="FFCCFF99"/>
      <color rgb="FFCCFF66"/>
      <color rgb="FF66FFCC"/>
      <color rgb="FF99CC00"/>
      <color rgb="FF66FF33"/>
      <color rgb="FF99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zoomScaleNormal="100"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63" t="s">
        <v>2</v>
      </c>
      <c r="B5" s="461"/>
      <c r="C5" s="461"/>
    </row>
    <row r="6" spans="1:3" x14ac:dyDescent="0.25">
      <c r="A6" s="461"/>
      <c r="B6" s="461"/>
      <c r="C6" s="461"/>
    </row>
    <row r="7" spans="1:3" x14ac:dyDescent="0.25">
      <c r="A7" s="18"/>
      <c r="B7" s="18"/>
      <c r="C7" s="18"/>
    </row>
    <row r="8" spans="1:3" x14ac:dyDescent="0.25">
      <c r="A8" s="17" t="s">
        <v>3</v>
      </c>
      <c r="B8" s="19"/>
      <c r="C8" s="19"/>
    </row>
    <row r="9" spans="1:3" x14ac:dyDescent="0.25">
      <c r="A9" s="20" t="s">
        <v>4</v>
      </c>
      <c r="B9" s="19"/>
      <c r="C9" s="12"/>
    </row>
    <row r="10" spans="1:3" x14ac:dyDescent="0.25">
      <c r="A10" s="464" t="s">
        <v>5</v>
      </c>
      <c r="B10" s="465"/>
      <c r="C10" s="465"/>
    </row>
    <row r="11" spans="1:3" x14ac:dyDescent="0.25">
      <c r="A11" s="465"/>
      <c r="B11" s="465"/>
      <c r="C11" s="465"/>
    </row>
    <row r="12" spans="1:3" ht="16.5" customHeight="1" x14ac:dyDescent="0.25">
      <c r="A12" s="465"/>
      <c r="B12" s="465"/>
      <c r="C12" s="465"/>
    </row>
    <row r="13" spans="1:3" x14ac:dyDescent="0.25">
      <c r="A13" s="21"/>
      <c r="B13" s="21"/>
      <c r="C13" s="21"/>
    </row>
    <row r="14" spans="1:3" x14ac:dyDescent="0.25">
      <c r="A14" s="20" t="s">
        <v>6</v>
      </c>
      <c r="B14" s="19"/>
      <c r="C14" s="12"/>
    </row>
    <row r="15" spans="1:3" x14ac:dyDescent="0.25">
      <c r="A15" s="464" t="s">
        <v>7</v>
      </c>
      <c r="B15" s="465"/>
      <c r="C15" s="465"/>
    </row>
    <row r="16" spans="1:3" x14ac:dyDescent="0.25">
      <c r="A16" s="465"/>
      <c r="B16" s="465"/>
      <c r="C16" s="465"/>
    </row>
    <row r="17" spans="1:3" x14ac:dyDescent="0.25">
      <c r="A17" s="465"/>
      <c r="B17" s="465"/>
      <c r="C17" s="465"/>
    </row>
    <row r="18" spans="1:3" x14ac:dyDescent="0.25">
      <c r="A18" s="465"/>
      <c r="B18" s="465"/>
      <c r="C18" s="465"/>
    </row>
    <row r="19" spans="1:3" x14ac:dyDescent="0.25">
      <c r="A19" s="22"/>
      <c r="B19" s="19"/>
      <c r="C19" s="12"/>
    </row>
    <row r="20" spans="1:3" x14ac:dyDescent="0.25">
      <c r="A20" s="20" t="s">
        <v>8</v>
      </c>
      <c r="B20" s="19"/>
      <c r="C20" s="12"/>
    </row>
    <row r="21" spans="1:3" x14ac:dyDescent="0.25">
      <c r="A21" s="464" t="s">
        <v>9</v>
      </c>
      <c r="B21" s="465"/>
      <c r="C21" s="465"/>
    </row>
    <row r="22" spans="1:3" x14ac:dyDescent="0.25">
      <c r="A22" s="465"/>
      <c r="B22" s="465"/>
      <c r="C22" s="465"/>
    </row>
    <row r="23" spans="1:3" x14ac:dyDescent="0.25">
      <c r="A23" s="465"/>
      <c r="B23" s="465"/>
      <c r="C23" s="465"/>
    </row>
    <row r="24" spans="1:3" x14ac:dyDescent="0.25">
      <c r="A24" s="465"/>
      <c r="B24" s="465"/>
      <c r="C24" s="465"/>
    </row>
    <row r="25" spans="1:3" x14ac:dyDescent="0.25">
      <c r="A25" s="465"/>
      <c r="B25" s="465"/>
      <c r="C25" s="465"/>
    </row>
    <row r="26" spans="1:3" x14ac:dyDescent="0.25">
      <c r="A26" s="20" t="s">
        <v>10</v>
      </c>
      <c r="B26" s="19"/>
      <c r="C26" s="12"/>
    </row>
    <row r="27" spans="1:3" x14ac:dyDescent="0.25">
      <c r="A27" s="464" t="s">
        <v>11</v>
      </c>
      <c r="B27" s="461"/>
      <c r="C27" s="461"/>
    </row>
    <row r="28" spans="1:3" x14ac:dyDescent="0.25">
      <c r="A28" s="461"/>
      <c r="B28" s="461"/>
      <c r="C28" s="461"/>
    </row>
    <row r="29" spans="1:3" x14ac:dyDescent="0.25">
      <c r="A29" s="461"/>
      <c r="B29" s="461"/>
      <c r="C29" s="461"/>
    </row>
    <row r="30" spans="1:3" x14ac:dyDescent="0.25">
      <c r="A30" s="461"/>
      <c r="B30" s="461"/>
      <c r="C30" s="461"/>
    </row>
    <row r="31" spans="1:3" x14ac:dyDescent="0.25">
      <c r="A31" s="461"/>
      <c r="B31" s="461"/>
      <c r="C31" s="461"/>
    </row>
    <row r="32" spans="1:3" x14ac:dyDescent="0.25">
      <c r="A32" s="461"/>
      <c r="B32" s="461"/>
      <c r="C32" s="461"/>
    </row>
    <row r="33" spans="1:3" x14ac:dyDescent="0.25">
      <c r="A33" s="22"/>
      <c r="B33" s="19"/>
      <c r="C33" s="12"/>
    </row>
    <row r="34" spans="1:3" x14ac:dyDescent="0.25">
      <c r="A34" s="20" t="s">
        <v>12</v>
      </c>
      <c r="B34" s="19"/>
      <c r="C34" s="12"/>
    </row>
    <row r="35" spans="1:3" x14ac:dyDescent="0.25">
      <c r="A35" s="460" t="s">
        <v>13</v>
      </c>
      <c r="B35" s="461"/>
      <c r="C35" s="461"/>
    </row>
    <row r="36" spans="1:3" x14ac:dyDescent="0.25">
      <c r="A36" s="461"/>
      <c r="B36" s="461"/>
      <c r="C36" s="461"/>
    </row>
    <row r="37" spans="1:3" x14ac:dyDescent="0.25">
      <c r="A37" s="461"/>
      <c r="B37" s="461"/>
      <c r="C37" s="461"/>
    </row>
    <row r="38" spans="1:3" x14ac:dyDescent="0.25">
      <c r="A38" s="22"/>
      <c r="B38" s="19"/>
      <c r="C38" s="12"/>
    </row>
    <row r="39" spans="1:3" x14ac:dyDescent="0.25">
      <c r="A39" s="20" t="s">
        <v>14</v>
      </c>
      <c r="B39" s="19"/>
      <c r="C39" s="12"/>
    </row>
    <row r="40" spans="1:3" x14ac:dyDescent="0.25">
      <c r="A40" s="464" t="s">
        <v>15</v>
      </c>
      <c r="B40" s="461"/>
      <c r="C40" s="461"/>
    </row>
    <row r="41" spans="1:3" x14ac:dyDescent="0.25">
      <c r="A41" s="461"/>
      <c r="B41" s="461"/>
      <c r="C41" s="461"/>
    </row>
    <row r="42" spans="1:3" x14ac:dyDescent="0.25">
      <c r="A42" s="20" t="s">
        <v>16</v>
      </c>
      <c r="B42" s="19"/>
      <c r="C42" s="12"/>
    </row>
    <row r="43" spans="1:3" x14ac:dyDescent="0.25">
      <c r="A43" s="464" t="s">
        <v>17</v>
      </c>
      <c r="B43" s="461"/>
      <c r="C43" s="461"/>
    </row>
    <row r="44" spans="1:3" x14ac:dyDescent="0.25">
      <c r="A44" s="461"/>
      <c r="B44" s="461"/>
      <c r="C44" s="461"/>
    </row>
    <row r="45" spans="1:3" x14ac:dyDescent="0.25">
      <c r="A45" s="461"/>
      <c r="B45" s="461"/>
      <c r="C45" s="461"/>
    </row>
    <row r="46" spans="1:3" x14ac:dyDescent="0.25">
      <c r="A46" s="20" t="s">
        <v>18</v>
      </c>
      <c r="B46" s="19"/>
      <c r="C46" s="12"/>
    </row>
    <row r="47" spans="1:3" x14ac:dyDescent="0.25">
      <c r="A47" s="464" t="s">
        <v>19</v>
      </c>
      <c r="B47" s="461"/>
      <c r="C47" s="461"/>
    </row>
    <row r="48" spans="1:3" x14ac:dyDescent="0.25">
      <c r="A48" s="461"/>
      <c r="B48" s="461"/>
      <c r="C48" s="461"/>
    </row>
    <row r="49" spans="1:3" x14ac:dyDescent="0.25">
      <c r="A49" s="461"/>
      <c r="B49" s="461"/>
      <c r="C49" s="461"/>
    </row>
    <row r="50" spans="1:3" x14ac:dyDescent="0.25">
      <c r="A50" s="22"/>
      <c r="B50" s="19"/>
      <c r="C50" s="12"/>
    </row>
    <row r="51" spans="1:3" x14ac:dyDescent="0.25">
      <c r="A51" s="20" t="s">
        <v>20</v>
      </c>
      <c r="B51" s="19"/>
      <c r="C51" s="12"/>
    </row>
    <row r="52" spans="1:3" x14ac:dyDescent="0.25">
      <c r="A52" s="464" t="s">
        <v>21</v>
      </c>
      <c r="B52" s="466"/>
      <c r="C52" s="466"/>
    </row>
    <row r="53" spans="1:3" x14ac:dyDescent="0.25">
      <c r="A53" s="466"/>
      <c r="B53" s="466"/>
      <c r="C53" s="466"/>
    </row>
    <row r="54" spans="1:3" x14ac:dyDescent="0.25">
      <c r="A54" s="466"/>
      <c r="B54" s="466"/>
      <c r="C54" s="466"/>
    </row>
    <row r="55" spans="1:3" x14ac:dyDescent="0.25">
      <c r="A55" s="23"/>
      <c r="B55" s="23"/>
      <c r="C55" s="23"/>
    </row>
    <row r="56" spans="1:3" x14ac:dyDescent="0.25">
      <c r="A56" s="20" t="s">
        <v>22</v>
      </c>
      <c r="B56" s="19"/>
      <c r="C56" s="12"/>
    </row>
    <row r="57" spans="1:3" ht="30" customHeight="1" x14ac:dyDescent="0.25">
      <c r="A57" s="464" t="s">
        <v>23</v>
      </c>
      <c r="B57" s="465"/>
      <c r="C57" s="465"/>
    </row>
    <row r="58" spans="1:3" x14ac:dyDescent="0.25">
      <c r="A58" s="22" t="s">
        <v>24</v>
      </c>
      <c r="B58" s="19"/>
      <c r="C58" s="12"/>
    </row>
    <row r="59" spans="1:3" ht="14.25" customHeight="1" x14ac:dyDescent="0.25">
      <c r="A59" s="462" t="s">
        <v>25</v>
      </c>
      <c r="B59" s="462"/>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60" t="s">
        <v>30</v>
      </c>
      <c r="B66" s="461"/>
      <c r="C66" s="461"/>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K22"/>
  <sheetViews>
    <sheetView topLeftCell="A4" zoomScaleNormal="100" workbookViewId="0">
      <selection activeCell="D3" sqref="D3"/>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7" t="str">
        <f>Resultatregnskap!A1</f>
        <v>Fagskolens navn: Frelsesarmeens Offisersskole AS</v>
      </c>
      <c r="B2" s="453" t="s">
        <v>665</v>
      </c>
    </row>
    <row r="4" spans="1:11" x14ac:dyDescent="0.2">
      <c r="A4" s="307" t="s">
        <v>526</v>
      </c>
      <c r="B4" s="307"/>
      <c r="C4" s="307"/>
      <c r="D4" s="307"/>
      <c r="E4" s="307"/>
      <c r="F4" s="307"/>
      <c r="G4" s="307"/>
      <c r="H4" s="307"/>
      <c r="I4" s="307"/>
      <c r="J4" s="307"/>
    </row>
    <row r="5" spans="1:11" x14ac:dyDescent="0.2">
      <c r="A5" s="354" t="s">
        <v>32</v>
      </c>
      <c r="B5" s="354"/>
    </row>
    <row r="6" spans="1:11" ht="25.5" x14ac:dyDescent="0.2">
      <c r="A6" s="355"/>
      <c r="B6" s="355" t="s">
        <v>96</v>
      </c>
      <c r="C6" s="356" t="s">
        <v>527</v>
      </c>
      <c r="D6" s="356" t="s">
        <v>528</v>
      </c>
      <c r="E6" s="356" t="s">
        <v>104</v>
      </c>
      <c r="F6" s="356" t="s">
        <v>529</v>
      </c>
      <c r="G6" s="356" t="s">
        <v>530</v>
      </c>
      <c r="H6" s="356" t="s">
        <v>531</v>
      </c>
      <c r="I6" s="355" t="s">
        <v>532</v>
      </c>
      <c r="J6" s="357" t="s">
        <v>533</v>
      </c>
    </row>
    <row r="7" spans="1:11" ht="15" customHeight="1" x14ac:dyDescent="0.2">
      <c r="A7" s="358" t="str">
        <f>'Note 7'!A6</f>
        <v>Anskaffelseskost 31.12.2023</v>
      </c>
      <c r="B7" s="359"/>
      <c r="C7" s="359"/>
      <c r="D7" s="359"/>
      <c r="E7" s="359"/>
      <c r="F7" s="359"/>
      <c r="G7" s="359">
        <f>600000/1000</f>
        <v>600</v>
      </c>
      <c r="H7" s="359"/>
      <c r="I7" s="360">
        <f t="shared" ref="I7:I17" si="0">SUM(B7:H7)</f>
        <v>600</v>
      </c>
      <c r="J7" s="358" t="s">
        <v>534</v>
      </c>
      <c r="K7" s="361"/>
    </row>
    <row r="8" spans="1:11" ht="15" customHeight="1" x14ac:dyDescent="0.2">
      <c r="A8" s="358" t="str">
        <f>'Note 7'!A7</f>
        <v xml:space="preserve"> + tilgang pr. 31.12.2024 (+)</v>
      </c>
      <c r="B8" s="359"/>
      <c r="C8" s="359"/>
      <c r="D8" s="359"/>
      <c r="E8" s="359"/>
      <c r="F8" s="359"/>
      <c r="G8" s="359"/>
      <c r="H8" s="359"/>
      <c r="I8" s="360">
        <f t="shared" si="0"/>
        <v>0</v>
      </c>
      <c r="J8" s="358" t="s">
        <v>535</v>
      </c>
    </row>
    <row r="9" spans="1:11" ht="15" customHeight="1" x14ac:dyDescent="0.2">
      <c r="A9" s="358" t="str">
        <f>'Note 7'!A8</f>
        <v xml:space="preserve"> - avgang pr. 31.12.2024 (-)</v>
      </c>
      <c r="B9" s="359"/>
      <c r="C9" s="359"/>
      <c r="D9" s="359"/>
      <c r="E9" s="359"/>
      <c r="F9" s="359"/>
      <c r="G9" s="359"/>
      <c r="H9" s="359"/>
      <c r="I9" s="360">
        <f t="shared" si="0"/>
        <v>0</v>
      </c>
      <c r="J9" s="358" t="s">
        <v>536</v>
      </c>
    </row>
    <row r="10" spans="1:11" ht="15" customHeight="1" x14ac:dyDescent="0.2">
      <c r="A10" s="358" t="str">
        <f>'Note 7'!A9</f>
        <v xml:space="preserve"> +/- fra eiendel under utførelse til annen gruppe (+/-)</v>
      </c>
      <c r="B10" s="359"/>
      <c r="C10" s="359"/>
      <c r="D10" s="359"/>
      <c r="E10" s="359"/>
      <c r="F10" s="359"/>
      <c r="G10" s="359"/>
      <c r="H10" s="359"/>
      <c r="I10" s="360">
        <f t="shared" si="0"/>
        <v>0</v>
      </c>
      <c r="J10" s="358" t="s">
        <v>537</v>
      </c>
    </row>
    <row r="11" spans="1:11" ht="15" customHeight="1" x14ac:dyDescent="0.2">
      <c r="A11" s="362" t="str">
        <f>'Note 7'!A10</f>
        <v>Anskaffelseskost 31.12.2024</v>
      </c>
      <c r="B11" s="363">
        <f>SUBTOTAL(9,B7:B10)</f>
        <v>0</v>
      </c>
      <c r="C11" s="363">
        <f t="shared" ref="C11:H11" si="1">SUBTOTAL(9,C7:C10)</f>
        <v>0</v>
      </c>
      <c r="D11" s="363">
        <f t="shared" si="1"/>
        <v>0</v>
      </c>
      <c r="E11" s="363">
        <f t="shared" si="1"/>
        <v>0</v>
      </c>
      <c r="F11" s="363">
        <f>SUBTOTAL(9,F7:F10)</f>
        <v>0</v>
      </c>
      <c r="G11" s="363">
        <f t="shared" si="1"/>
        <v>600</v>
      </c>
      <c r="H11" s="363">
        <f t="shared" si="1"/>
        <v>0</v>
      </c>
      <c r="I11" s="363">
        <f t="shared" si="0"/>
        <v>600</v>
      </c>
      <c r="J11" s="364" t="s">
        <v>538</v>
      </c>
    </row>
    <row r="12" spans="1:11" ht="15" customHeight="1" x14ac:dyDescent="0.2">
      <c r="A12" s="358" t="str">
        <f>'Note 7'!A11</f>
        <v xml:space="preserve"> - akkumulerte nedskrivninger pr. 31.12.2023 (-)</v>
      </c>
      <c r="B12" s="360"/>
      <c r="C12" s="360"/>
      <c r="D12" s="360"/>
      <c r="E12" s="360"/>
      <c r="F12" s="360"/>
      <c r="G12" s="360"/>
      <c r="H12" s="360"/>
      <c r="I12" s="360">
        <f t="shared" si="0"/>
        <v>0</v>
      </c>
      <c r="J12" s="358" t="s">
        <v>539</v>
      </c>
    </row>
    <row r="13" spans="1:11" ht="15" customHeight="1" x14ac:dyDescent="0.2">
      <c r="A13" s="358" t="str">
        <f>'Note 7'!A12</f>
        <v xml:space="preserve"> - nedskrivninger pr. 31.12.2024 (-)</v>
      </c>
      <c r="B13" s="360"/>
      <c r="C13" s="360"/>
      <c r="D13" s="360"/>
      <c r="E13" s="360"/>
      <c r="F13" s="360"/>
      <c r="G13" s="360"/>
      <c r="H13" s="360"/>
      <c r="I13" s="360">
        <f t="shared" si="0"/>
        <v>0</v>
      </c>
      <c r="J13" s="358" t="s">
        <v>540</v>
      </c>
    </row>
    <row r="14" spans="1:11" ht="15" customHeight="1" x14ac:dyDescent="0.2">
      <c r="A14" s="358" t="str">
        <f>'Note 7'!A13</f>
        <v xml:space="preserve"> - akkumulerte avskrivninger pr. 31.12.2023 (-)</v>
      </c>
      <c r="B14" s="360"/>
      <c r="C14" s="360"/>
      <c r="D14" s="360"/>
      <c r="E14" s="360"/>
      <c r="F14" s="360"/>
      <c r="G14" s="360">
        <v>-330</v>
      </c>
      <c r="H14" s="360"/>
      <c r="I14" s="360">
        <f t="shared" si="0"/>
        <v>-330</v>
      </c>
      <c r="J14" s="358" t="s">
        <v>541</v>
      </c>
    </row>
    <row r="15" spans="1:11" ht="15" customHeight="1" x14ac:dyDescent="0.2">
      <c r="A15" s="358" t="str">
        <f>'Note 7'!A14</f>
        <v xml:space="preserve"> - ordinære avskrivninger pr. 31.12.2024 (-)</v>
      </c>
      <c r="B15" s="360"/>
      <c r="C15" s="360"/>
      <c r="D15" s="360"/>
      <c r="E15" s="360"/>
      <c r="F15" s="360"/>
      <c r="G15" s="360">
        <f>-120000/1000</f>
        <v>-120</v>
      </c>
      <c r="H15" s="360"/>
      <c r="I15" s="360">
        <f t="shared" si="0"/>
        <v>-120</v>
      </c>
      <c r="J15" s="358" t="s">
        <v>542</v>
      </c>
    </row>
    <row r="16" spans="1:11" ht="15" customHeight="1" x14ac:dyDescent="0.2">
      <c r="A16" s="358" t="str">
        <f>'Note 7'!A15</f>
        <v xml:space="preserve"> + akkumulert avskrivning avgang pr. 31.12.2024 (+)</v>
      </c>
      <c r="B16" s="360"/>
      <c r="C16" s="360"/>
      <c r="D16" s="360"/>
      <c r="E16" s="360"/>
      <c r="F16" s="360"/>
      <c r="G16" s="360"/>
      <c r="H16" s="360"/>
      <c r="I16" s="360">
        <f t="shared" si="0"/>
        <v>0</v>
      </c>
      <c r="J16" s="358" t="s">
        <v>543</v>
      </c>
    </row>
    <row r="17" spans="1:10" ht="15" customHeight="1" x14ac:dyDescent="0.2">
      <c r="A17" s="362" t="str">
        <f>'Note 7'!A16</f>
        <v>Balanseført verdi 31.12.2024</v>
      </c>
      <c r="B17" s="363">
        <f t="shared" ref="B17:G17" si="2">SUBTOTAL(9,B7:B16)</f>
        <v>0</v>
      </c>
      <c r="C17" s="363">
        <f t="shared" si="2"/>
        <v>0</v>
      </c>
      <c r="D17" s="363">
        <f t="shared" si="2"/>
        <v>0</v>
      </c>
      <c r="E17" s="363">
        <f t="shared" si="2"/>
        <v>0</v>
      </c>
      <c r="F17" s="363">
        <f>SUBTOTAL(9,F7:F16)</f>
        <v>0</v>
      </c>
      <c r="G17" s="363">
        <f t="shared" si="2"/>
        <v>150</v>
      </c>
      <c r="H17" s="363">
        <f>SUBTOTAL(9,H7:H16)</f>
        <v>0</v>
      </c>
      <c r="I17" s="363">
        <f t="shared" si="0"/>
        <v>150</v>
      </c>
      <c r="J17" s="364" t="s">
        <v>544</v>
      </c>
    </row>
    <row r="19" spans="1:10" x14ac:dyDescent="0.2">
      <c r="A19" s="485" t="s">
        <v>525</v>
      </c>
      <c r="B19" s="485"/>
      <c r="C19" s="485"/>
      <c r="D19" s="485"/>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customProperties>
    <customPr name="OrphanNamesChecke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G26"/>
  <sheetViews>
    <sheetView zoomScaleNormal="100" workbookViewId="0">
      <selection activeCell="G8" sqref="G8"/>
    </sheetView>
  </sheetViews>
  <sheetFormatPr baseColWidth="10" defaultColWidth="17.42578125" defaultRowHeight="15.75" customHeight="1" x14ac:dyDescent="0.2"/>
  <cols>
    <col min="1" max="1" width="43.42578125" style="61" customWidth="1"/>
    <col min="2" max="3" width="15.5703125" style="335" customWidth="1"/>
    <col min="4" max="4" width="13.5703125" style="389" customWidth="1"/>
    <col min="5" max="6" width="10.5703125" style="61" customWidth="1"/>
    <col min="7" max="16384" width="17.42578125" style="61"/>
  </cols>
  <sheetData>
    <row r="1" spans="1:7" ht="12.75" x14ac:dyDescent="0.2">
      <c r="A1" s="307" t="str">
        <f>Resultatregnskap!A1</f>
        <v>Fagskolens navn: Frelsesarmeens Offisersskole AS</v>
      </c>
      <c r="B1" s="453" t="s">
        <v>665</v>
      </c>
      <c r="C1" s="304"/>
      <c r="D1" s="365"/>
      <c r="E1" s="310"/>
      <c r="F1" s="310"/>
    </row>
    <row r="2" spans="1:7" ht="12" customHeight="1" x14ac:dyDescent="0.2">
      <c r="A2" s="310"/>
      <c r="B2" s="304"/>
      <c r="C2" s="305"/>
      <c r="D2" s="365"/>
      <c r="E2" s="310"/>
      <c r="F2" s="310"/>
    </row>
    <row r="3" spans="1:7" ht="15" customHeight="1" x14ac:dyDescent="0.2">
      <c r="A3" s="366" t="s">
        <v>545</v>
      </c>
      <c r="B3" s="367"/>
      <c r="C3" s="273"/>
      <c r="D3" s="273"/>
      <c r="E3" s="272"/>
      <c r="F3" s="272"/>
    </row>
    <row r="4" spans="1:7" ht="15" customHeight="1" x14ac:dyDescent="0.2">
      <c r="A4" s="368" t="s">
        <v>32</v>
      </c>
      <c r="B4" s="367"/>
      <c r="C4" s="273"/>
      <c r="D4" s="276"/>
      <c r="E4" s="272"/>
      <c r="F4" s="272"/>
    </row>
    <row r="5" spans="1:7" ht="15.75" customHeight="1" x14ac:dyDescent="0.2">
      <c r="A5" s="369" t="s">
        <v>134</v>
      </c>
      <c r="B5" s="370">
        <f>Resultatregnskap!C6</f>
        <v>45657</v>
      </c>
      <c r="C5" s="371">
        <f>Resultatregnskap!D6</f>
        <v>45291</v>
      </c>
      <c r="D5" s="281" t="s">
        <v>34</v>
      </c>
      <c r="E5" s="372"/>
      <c r="F5" s="272"/>
    </row>
    <row r="6" spans="1:7" ht="15.75" customHeight="1" x14ac:dyDescent="0.2">
      <c r="A6" s="373" t="s">
        <v>546</v>
      </c>
      <c r="B6" s="323">
        <v>0</v>
      </c>
      <c r="C6" s="323">
        <v>0</v>
      </c>
      <c r="D6" s="291" t="s">
        <v>547</v>
      </c>
      <c r="E6" s="272"/>
      <c r="F6" s="272"/>
    </row>
    <row r="7" spans="1:7" ht="15.75" customHeight="1" x14ac:dyDescent="0.2">
      <c r="A7" s="373" t="s">
        <v>548</v>
      </c>
      <c r="B7" s="320"/>
      <c r="C7" s="320"/>
      <c r="D7" s="291" t="s">
        <v>549</v>
      </c>
      <c r="E7" s="272"/>
      <c r="F7" s="272"/>
    </row>
    <row r="8" spans="1:7" ht="15.75" customHeight="1" x14ac:dyDescent="0.2">
      <c r="A8" s="374" t="s">
        <v>550</v>
      </c>
      <c r="B8" s="375">
        <f>SUM(B6:B7)</f>
        <v>0</v>
      </c>
      <c r="C8" s="376">
        <f>SUM(C6:C7)</f>
        <v>0</v>
      </c>
      <c r="D8" s="291" t="s">
        <v>551</v>
      </c>
      <c r="E8" s="272"/>
      <c r="F8" s="272"/>
    </row>
    <row r="9" spans="1:7" ht="15.75" customHeight="1" x14ac:dyDescent="0.2">
      <c r="A9" s="377"/>
      <c r="B9" s="324"/>
      <c r="C9" s="324"/>
      <c r="D9" s="271"/>
      <c r="E9" s="272"/>
      <c r="F9" s="272"/>
    </row>
    <row r="10" spans="1:7" ht="15.75" customHeight="1" x14ac:dyDescent="0.2">
      <c r="A10" s="369" t="s">
        <v>136</v>
      </c>
      <c r="B10" s="370">
        <f>Resultatregnskap!C6</f>
        <v>45657</v>
      </c>
      <c r="C10" s="371">
        <f>Resultatregnskap!D6</f>
        <v>45291</v>
      </c>
      <c r="D10" s="378" t="s">
        <v>34</v>
      </c>
      <c r="E10" s="272"/>
      <c r="F10" s="272"/>
    </row>
    <row r="11" spans="1:7" ht="15.75" customHeight="1" x14ac:dyDescent="0.2">
      <c r="A11" s="379" t="s">
        <v>552</v>
      </c>
      <c r="B11" s="323">
        <v>670</v>
      </c>
      <c r="C11" s="323">
        <v>26</v>
      </c>
      <c r="D11" s="380" t="s">
        <v>553</v>
      </c>
      <c r="E11" s="272"/>
      <c r="F11" s="272"/>
      <c r="G11" s="79"/>
    </row>
    <row r="12" spans="1:7" ht="15.75" customHeight="1" x14ac:dyDescent="0.2">
      <c r="A12" s="381" t="s">
        <v>548</v>
      </c>
      <c r="B12" s="382"/>
      <c r="C12" s="382"/>
      <c r="D12" s="383" t="s">
        <v>554</v>
      </c>
      <c r="E12" s="272"/>
      <c r="F12" s="272"/>
    </row>
    <row r="13" spans="1:7" ht="15.75" customHeight="1" x14ac:dyDescent="0.2">
      <c r="A13" s="384" t="s">
        <v>555</v>
      </c>
      <c r="B13" s="322">
        <f>SUM(B11:B12)</f>
        <v>670</v>
      </c>
      <c r="C13" s="323">
        <f>SUM(C11:C12)</f>
        <v>26</v>
      </c>
      <c r="D13" s="380" t="s">
        <v>556</v>
      </c>
      <c r="E13" s="272"/>
      <c r="F13" s="272"/>
    </row>
    <row r="14" spans="1:7" ht="15.75" customHeight="1" x14ac:dyDescent="0.2">
      <c r="A14" s="272"/>
      <c r="B14" s="273"/>
      <c r="C14" s="273"/>
      <c r="D14" s="303"/>
      <c r="E14" s="272"/>
      <c r="F14" s="272"/>
    </row>
    <row r="15" spans="1:7" ht="15.75" customHeight="1" x14ac:dyDescent="0.2">
      <c r="A15" s="29" t="s">
        <v>557</v>
      </c>
      <c r="B15" s="29"/>
      <c r="C15" s="29"/>
      <c r="D15" s="29"/>
      <c r="E15" s="272"/>
      <c r="F15" s="272"/>
    </row>
    <row r="16" spans="1:7" ht="15.75" customHeight="1" x14ac:dyDescent="0.2">
      <c r="A16" s="368" t="s">
        <v>32</v>
      </c>
      <c r="B16" s="62"/>
      <c r="C16" s="62"/>
      <c r="D16" s="62"/>
      <c r="E16" s="272"/>
      <c r="F16" s="272"/>
    </row>
    <row r="17" spans="1:6" ht="15.75" customHeight="1" x14ac:dyDescent="0.2">
      <c r="A17" s="105"/>
      <c r="B17" s="370">
        <f>Resultatregnskap!C6</f>
        <v>45657</v>
      </c>
      <c r="C17" s="371">
        <f>Resultatregnskap!D6</f>
        <v>45291</v>
      </c>
      <c r="D17" s="385" t="s">
        <v>34</v>
      </c>
      <c r="E17" s="272"/>
      <c r="F17" s="272"/>
    </row>
    <row r="18" spans="1:6" ht="15.75" customHeight="1" x14ac:dyDescent="0.2">
      <c r="A18" s="379" t="s">
        <v>558</v>
      </c>
      <c r="B18" s="105"/>
      <c r="C18" s="105"/>
      <c r="D18" s="386" t="s">
        <v>559</v>
      </c>
      <c r="E18" s="387"/>
      <c r="F18" s="272"/>
    </row>
    <row r="19" spans="1:6" ht="15.75" customHeight="1" x14ac:dyDescent="0.2">
      <c r="A19" s="379" t="s">
        <v>560</v>
      </c>
      <c r="B19" s="105"/>
      <c r="C19" s="105"/>
      <c r="D19" s="386" t="s">
        <v>561</v>
      </c>
      <c r="E19" s="387"/>
      <c r="F19" s="272"/>
    </row>
    <row r="20" spans="1:6" ht="15.75" customHeight="1" x14ac:dyDescent="0.2">
      <c r="A20" s="388" t="s">
        <v>562</v>
      </c>
      <c r="B20" s="105"/>
      <c r="C20" s="105"/>
      <c r="D20" s="386" t="s">
        <v>563</v>
      </c>
      <c r="E20" s="272"/>
      <c r="F20" s="272"/>
    </row>
    <row r="21" spans="1:6" ht="15.75" customHeight="1" x14ac:dyDescent="0.2">
      <c r="A21" s="388" t="s">
        <v>317</v>
      </c>
      <c r="B21" s="322">
        <f>SUM(B18:B20)</f>
        <v>0</v>
      </c>
      <c r="C21" s="323">
        <f>SUM(C18:C20)</f>
        <v>0</v>
      </c>
      <c r="D21" s="380" t="s">
        <v>564</v>
      </c>
      <c r="E21" s="272"/>
      <c r="F21" s="272"/>
    </row>
    <row r="22" spans="1:6" ht="15.75" customHeight="1" x14ac:dyDescent="0.2">
      <c r="A22" s="62"/>
      <c r="B22" s="62"/>
      <c r="C22" s="62"/>
      <c r="D22" s="62"/>
      <c r="E22" s="129"/>
      <c r="F22" s="129"/>
    </row>
    <row r="23" spans="1:6" ht="55.5" customHeight="1" x14ac:dyDescent="0.2">
      <c r="A23" s="486" t="s">
        <v>565</v>
      </c>
      <c r="B23" s="487"/>
      <c r="C23" s="487"/>
      <c r="D23" s="487"/>
      <c r="E23" s="129"/>
      <c r="F23" s="129"/>
    </row>
    <row r="24" spans="1:6" ht="15.75" customHeight="1" x14ac:dyDescent="0.2">
      <c r="A24" s="488"/>
      <c r="B24" s="488"/>
      <c r="C24" s="488"/>
      <c r="D24" s="488"/>
      <c r="E24" s="129"/>
      <c r="F24" s="129"/>
    </row>
    <row r="25" spans="1:6" ht="15.75" customHeight="1" x14ac:dyDescent="0.2">
      <c r="A25" s="57"/>
      <c r="B25" s="94"/>
      <c r="C25" s="94"/>
      <c r="D25" s="303"/>
      <c r="E25" s="129"/>
      <c r="F25" s="129"/>
    </row>
    <row r="26" spans="1:6" ht="15.75" customHeight="1" x14ac:dyDescent="0.2">
      <c r="A26" s="129"/>
      <c r="B26" s="94"/>
      <c r="C26" s="94"/>
      <c r="D26" s="303"/>
      <c r="E26" s="129"/>
      <c r="F26" s="129"/>
    </row>
  </sheetData>
  <sheetProtection formatCells="0" formatColumns="0" formatRows="0" insertColumns="0" insertRows="0"/>
  <mergeCells count="2">
    <mergeCell ref="A23:D23"/>
    <mergeCell ref="A24:D24"/>
  </mergeCells>
  <pageMargins left="0.7" right="0.7" top="0.75" bottom="0.75" header="0.3" footer="0.3"/>
  <pageSetup paperSize="9" fitToHeight="0" orientation="landscape" r:id="rId1"/>
  <headerFooter>
    <oddFooter>&amp;C&amp;"Calibri"&amp;11&amp;K000000_x000D_&amp;1#&amp;"Calibri"&amp;10&amp;KFFFF00HK-dir Intern</oddFooter>
  </headerFooter>
  <customProperties>
    <customPr name="OrphanNamesChecke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2:G18"/>
  <sheetViews>
    <sheetView zoomScaleNormal="100" workbookViewId="0">
      <selection activeCell="B17" sqref="B17"/>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0" t="str">
        <f>'Note 9 og 10'!A1</f>
        <v>Fagskolens navn: Frelsesarmeens Offisersskole AS</v>
      </c>
      <c r="B2" s="453" t="s">
        <v>665</v>
      </c>
      <c r="C2" s="390"/>
      <c r="D2" s="390"/>
      <c r="E2" s="46"/>
      <c r="F2" s="46"/>
      <c r="G2" s="46"/>
    </row>
    <row r="4" spans="1:7" x14ac:dyDescent="0.2">
      <c r="A4" s="307" t="s">
        <v>566</v>
      </c>
      <c r="B4" s="307"/>
      <c r="C4" s="307"/>
      <c r="D4" s="307"/>
    </row>
    <row r="5" spans="1:7" ht="15" x14ac:dyDescent="0.25">
      <c r="A5" s="391" t="s">
        <v>32</v>
      </c>
      <c r="B5" s="307"/>
      <c r="C5" s="307"/>
      <c r="D5" s="307"/>
    </row>
    <row r="6" spans="1:7" ht="15" x14ac:dyDescent="0.25">
      <c r="A6" s="392"/>
      <c r="B6" s="393">
        <f>Resultatregnskap!C6</f>
        <v>45657</v>
      </c>
      <c r="C6" s="394">
        <f>Resultatregnskap!D6</f>
        <v>45291</v>
      </c>
      <c r="D6" s="395" t="s">
        <v>34</v>
      </c>
      <c r="E6" s="396"/>
    </row>
    <row r="7" spans="1:7" ht="15" x14ac:dyDescent="0.25">
      <c r="A7" s="397" t="s">
        <v>567</v>
      </c>
      <c r="B7" s="392"/>
      <c r="C7" s="392"/>
      <c r="D7" s="398" t="s">
        <v>568</v>
      </c>
    </row>
    <row r="8" spans="1:7" ht="15" x14ac:dyDescent="0.25">
      <c r="A8" s="397" t="s">
        <v>569</v>
      </c>
      <c r="B8" s="392"/>
      <c r="C8" s="392"/>
      <c r="D8" s="398" t="s">
        <v>570</v>
      </c>
    </row>
    <row r="9" spans="1:7" ht="15" x14ac:dyDescent="0.25">
      <c r="A9" s="397" t="s">
        <v>571</v>
      </c>
      <c r="B9" s="392"/>
      <c r="C9" s="392"/>
      <c r="D9" s="398" t="s">
        <v>572</v>
      </c>
    </row>
    <row r="10" spans="1:7" ht="15" x14ac:dyDescent="0.25">
      <c r="A10" s="397" t="s">
        <v>573</v>
      </c>
      <c r="B10" s="392"/>
      <c r="C10" s="392"/>
      <c r="D10" s="398" t="s">
        <v>574</v>
      </c>
    </row>
    <row r="11" spans="1:7" ht="17.25" x14ac:dyDescent="0.25">
      <c r="A11" s="399" t="s">
        <v>575</v>
      </c>
      <c r="B11" s="447">
        <f>(2237571+52894)/1000</f>
        <v>2290.4650000000001</v>
      </c>
      <c r="C11" s="447">
        <v>2144.527</v>
      </c>
      <c r="D11" s="398" t="s">
        <v>576</v>
      </c>
    </row>
    <row r="12" spans="1:7" ht="15" x14ac:dyDescent="0.25">
      <c r="A12" s="397" t="s">
        <v>577</v>
      </c>
      <c r="B12" s="392"/>
      <c r="C12" s="392"/>
      <c r="D12" s="398" t="s">
        <v>578</v>
      </c>
    </row>
    <row r="13" spans="1:7" ht="15" x14ac:dyDescent="0.25">
      <c r="A13" s="400" t="s">
        <v>579</v>
      </c>
      <c r="B13" s="447">
        <f>SUBTOTAL(9,B7:B12)</f>
        <v>2290.4650000000001</v>
      </c>
      <c r="C13" s="447">
        <f>SUBTOTAL(9,C7:C12)</f>
        <v>2144.527</v>
      </c>
      <c r="D13" s="401" t="s">
        <v>580</v>
      </c>
    </row>
    <row r="14" spans="1:7" ht="15" x14ac:dyDescent="0.25">
      <c r="A14" s="46"/>
      <c r="B14" s="46"/>
      <c r="C14" s="46"/>
    </row>
    <row r="15" spans="1:7" s="78" customFormat="1" ht="49.5" customHeight="1" x14ac:dyDescent="0.25">
      <c r="A15" s="489" t="s">
        <v>581</v>
      </c>
      <c r="B15" s="490"/>
      <c r="C15" s="490"/>
      <c r="D15" s="490"/>
    </row>
    <row r="18" spans="1:1" x14ac:dyDescent="0.2">
      <c r="A18" s="402"/>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2:J19"/>
  <sheetViews>
    <sheetView zoomScale="90" zoomScaleNormal="90" workbookViewId="0">
      <selection activeCell="H19" sqref="H19"/>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97" t="s">
        <v>666</v>
      </c>
      <c r="B2" s="497"/>
      <c r="C2" s="497"/>
      <c r="D2" s="497"/>
      <c r="E2" s="497"/>
      <c r="F2" s="497"/>
      <c r="G2" s="497"/>
      <c r="H2" s="497"/>
    </row>
    <row r="4" spans="1:10" x14ac:dyDescent="0.2">
      <c r="A4" s="307" t="s">
        <v>582</v>
      </c>
      <c r="B4" s="307"/>
      <c r="C4" s="307"/>
      <c r="D4" s="307"/>
      <c r="E4" s="307"/>
      <c r="F4" s="307"/>
      <c r="G4" s="307"/>
      <c r="H4" s="307"/>
    </row>
    <row r="5" spans="1:10" x14ac:dyDescent="0.2">
      <c r="A5" s="354" t="s">
        <v>32</v>
      </c>
      <c r="B5" s="307"/>
      <c r="C5" s="307"/>
      <c r="D5" s="307"/>
      <c r="E5" s="307"/>
      <c r="F5" s="307"/>
      <c r="G5" s="307"/>
      <c r="H5" s="307"/>
    </row>
    <row r="7" spans="1:10" x14ac:dyDescent="0.2">
      <c r="A7" s="403"/>
      <c r="B7" s="498" t="s">
        <v>583</v>
      </c>
      <c r="C7" s="499"/>
      <c r="D7" s="498" t="s">
        <v>584</v>
      </c>
      <c r="E7" s="499"/>
      <c r="F7" s="491" t="s">
        <v>585</v>
      </c>
      <c r="G7" s="492"/>
      <c r="H7" s="493"/>
      <c r="I7" s="404"/>
    </row>
    <row r="8" spans="1:10" x14ac:dyDescent="0.2">
      <c r="B8" s="500"/>
      <c r="C8" s="501"/>
      <c r="D8" s="500"/>
      <c r="E8" s="501"/>
      <c r="F8" s="494"/>
      <c r="G8" s="495"/>
      <c r="H8" s="496"/>
      <c r="I8" s="358"/>
    </row>
    <row r="9" spans="1:10" ht="26.25" customHeight="1" x14ac:dyDescent="0.2">
      <c r="B9" s="316" t="s">
        <v>586</v>
      </c>
      <c r="C9" s="316" t="s">
        <v>587</v>
      </c>
      <c r="D9" s="316" t="s">
        <v>586</v>
      </c>
      <c r="E9" s="316" t="s">
        <v>587</v>
      </c>
      <c r="F9" s="316" t="s">
        <v>586</v>
      </c>
      <c r="G9" s="316" t="s">
        <v>587</v>
      </c>
      <c r="H9" s="405" t="s">
        <v>588</v>
      </c>
      <c r="I9" s="362" t="s">
        <v>34</v>
      </c>
      <c r="J9" s="372"/>
    </row>
    <row r="10" spans="1:10" x14ac:dyDescent="0.2">
      <c r="A10" s="45" t="s">
        <v>163</v>
      </c>
      <c r="B10" s="406">
        <v>30</v>
      </c>
      <c r="C10" s="407"/>
      <c r="D10" s="406"/>
      <c r="E10" s="407"/>
      <c r="F10" s="406">
        <f t="shared" ref="F10:G14" si="0">B10+D10</f>
        <v>30</v>
      </c>
      <c r="G10" s="407">
        <f t="shared" si="0"/>
        <v>0</v>
      </c>
      <c r="H10" s="358">
        <f>SUBTOTAL(9,F10:G10)</f>
        <v>30</v>
      </c>
      <c r="I10" s="358" t="s">
        <v>589</v>
      </c>
    </row>
    <row r="11" spans="1:10" x14ac:dyDescent="0.2">
      <c r="A11" s="45" t="s">
        <v>165</v>
      </c>
      <c r="B11" s="406">
        <v>0</v>
      </c>
      <c r="C11" s="407"/>
      <c r="D11" s="406"/>
      <c r="E11" s="407"/>
      <c r="F11" s="406">
        <f t="shared" si="0"/>
        <v>0</v>
      </c>
      <c r="G11" s="407">
        <f t="shared" si="0"/>
        <v>0</v>
      </c>
      <c r="H11" s="358">
        <f>SUBTOTAL(9,F11:G11)</f>
        <v>0</v>
      </c>
      <c r="I11" s="358" t="s">
        <v>590</v>
      </c>
    </row>
    <row r="12" spans="1:10" x14ac:dyDescent="0.2">
      <c r="A12" s="45" t="s">
        <v>167</v>
      </c>
      <c r="B12" s="406">
        <v>0</v>
      </c>
      <c r="C12" s="407"/>
      <c r="D12" s="406"/>
      <c r="E12" s="407"/>
      <c r="F12" s="406">
        <f t="shared" si="0"/>
        <v>0</v>
      </c>
      <c r="G12" s="407">
        <f t="shared" si="0"/>
        <v>0</v>
      </c>
      <c r="H12" s="358">
        <f>SUBTOTAL(9,F12:G12)</f>
        <v>0</v>
      </c>
      <c r="I12" s="358" t="s">
        <v>591</v>
      </c>
    </row>
    <row r="13" spans="1:10" x14ac:dyDescent="0.2">
      <c r="A13" s="45" t="s">
        <v>592</v>
      </c>
      <c r="B13" s="406">
        <v>0</v>
      </c>
      <c r="C13" s="407"/>
      <c r="D13" s="406"/>
      <c r="E13" s="407"/>
      <c r="F13" s="406">
        <f t="shared" si="0"/>
        <v>0</v>
      </c>
      <c r="G13" s="407">
        <f t="shared" si="0"/>
        <v>0</v>
      </c>
      <c r="H13" s="358">
        <f>SUBTOTAL(9,F13:G13)</f>
        <v>0</v>
      </c>
      <c r="I13" s="358" t="s">
        <v>593</v>
      </c>
    </row>
    <row r="14" spans="1:10" x14ac:dyDescent="0.2">
      <c r="A14" s="45" t="s">
        <v>175</v>
      </c>
      <c r="B14" s="406">
        <v>0</v>
      </c>
      <c r="C14" s="407"/>
      <c r="D14" s="406"/>
      <c r="E14" s="407"/>
      <c r="F14" s="406">
        <f t="shared" si="0"/>
        <v>0</v>
      </c>
      <c r="G14" s="408">
        <f t="shared" si="0"/>
        <v>0</v>
      </c>
      <c r="H14" s="358">
        <f>SUBTOTAL(9,F14:G14)</f>
        <v>0</v>
      </c>
      <c r="I14" s="409" t="s">
        <v>594</v>
      </c>
    </row>
    <row r="15" spans="1:10" x14ac:dyDescent="0.2">
      <c r="A15" s="410" t="s">
        <v>532</v>
      </c>
      <c r="B15" s="411">
        <f>SUBTOTAL(9,B10:B14)</f>
        <v>30</v>
      </c>
      <c r="C15" s="412">
        <f>SUBTOTAL(9,C10:C14)</f>
        <v>0</v>
      </c>
      <c r="D15" s="411">
        <f>SUBTOTAL(9,D10:D14)</f>
        <v>0</v>
      </c>
      <c r="E15" s="412">
        <f>SUBTOTAL(9,E10:E14)</f>
        <v>0</v>
      </c>
      <c r="F15" s="411">
        <f>SUBTOTAL(9,F10:F14)</f>
        <v>30</v>
      </c>
      <c r="G15" s="413">
        <f>C15+E15</f>
        <v>0</v>
      </c>
      <c r="H15" s="362">
        <f>SUM(H10:H14)</f>
        <v>30</v>
      </c>
      <c r="I15" s="364" t="s">
        <v>595</v>
      </c>
    </row>
    <row r="17" spans="1:9" x14ac:dyDescent="0.2">
      <c r="A17" s="402"/>
    </row>
    <row r="18" spans="1:9" ht="108.6" customHeight="1" x14ac:dyDescent="0.2">
      <c r="A18" s="502" t="s">
        <v>596</v>
      </c>
      <c r="B18" s="502"/>
      <c r="C18" s="502"/>
      <c r="D18" s="502"/>
      <c r="E18" s="502"/>
      <c r="F18" s="502"/>
      <c r="G18" s="502"/>
      <c r="H18" s="502"/>
      <c r="I18" s="502"/>
    </row>
    <row r="19" spans="1:9" x14ac:dyDescent="0.2">
      <c r="D19" s="402"/>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H42"/>
  <sheetViews>
    <sheetView zoomScale="90" zoomScaleNormal="90" workbookViewId="0">
      <selection activeCell="G14" sqref="G14"/>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Frelsesarmeens Offisersskole AS</v>
      </c>
      <c r="B1" s="29" t="s">
        <v>665</v>
      </c>
      <c r="C1" s="29"/>
      <c r="D1" s="29"/>
      <c r="E1" s="29"/>
    </row>
    <row r="2" spans="1:6" ht="15" customHeight="1" x14ac:dyDescent="0.25">
      <c r="A2" s="28"/>
      <c r="B2" s="28"/>
      <c r="C2" s="28"/>
      <c r="D2" s="28"/>
      <c r="E2" s="28"/>
    </row>
    <row r="3" spans="1:6" ht="15" customHeight="1" x14ac:dyDescent="0.25">
      <c r="A3" s="504" t="s">
        <v>597</v>
      </c>
      <c r="B3" s="504"/>
      <c r="C3" s="504"/>
      <c r="D3" s="504"/>
      <c r="E3" s="44"/>
    </row>
    <row r="4" spans="1:6" x14ac:dyDescent="0.25">
      <c r="A4" s="196" t="s">
        <v>32</v>
      </c>
      <c r="B4" s="28"/>
      <c r="C4" s="28"/>
      <c r="D4" s="28"/>
      <c r="E4" s="28"/>
    </row>
    <row r="5" spans="1:6" ht="25.5" x14ac:dyDescent="0.25">
      <c r="A5" s="84"/>
      <c r="B5" s="85" t="s">
        <v>586</v>
      </c>
      <c r="C5" s="86" t="s">
        <v>598</v>
      </c>
      <c r="D5" s="86" t="s">
        <v>599</v>
      </c>
      <c r="E5" s="83" t="s">
        <v>34</v>
      </c>
    </row>
    <row r="6" spans="1:6" x14ac:dyDescent="0.25">
      <c r="A6" s="30" t="s">
        <v>35</v>
      </c>
      <c r="B6" s="38"/>
      <c r="C6" s="39"/>
      <c r="D6" s="40"/>
      <c r="E6" s="40"/>
    </row>
    <row r="7" spans="1:6" x14ac:dyDescent="0.25">
      <c r="A7" s="31" t="s">
        <v>38</v>
      </c>
      <c r="B7" s="426">
        <f>+Resultatregnskap!C9</f>
        <v>1506.796</v>
      </c>
      <c r="C7" s="427"/>
      <c r="D7" s="428"/>
      <c r="E7" s="43" t="s">
        <v>600</v>
      </c>
      <c r="F7" s="51"/>
    </row>
    <row r="8" spans="1:6" x14ac:dyDescent="0.25">
      <c r="A8" s="31" t="s">
        <v>36</v>
      </c>
      <c r="B8" s="426">
        <f>+Resultatregnskap!C8</f>
        <v>0</v>
      </c>
      <c r="C8" s="429"/>
      <c r="D8" s="430"/>
      <c r="E8" s="43" t="s">
        <v>601</v>
      </c>
    </row>
    <row r="9" spans="1:6" x14ac:dyDescent="0.25">
      <c r="A9" s="414" t="s">
        <v>42</v>
      </c>
      <c r="B9" s="426">
        <f>(6021529+247000+13183+571543+42121)/1000-D9</f>
        <v>5871.817</v>
      </c>
      <c r="C9" s="429"/>
      <c r="D9" s="430">
        <f>1023559/1000</f>
        <v>1023.559</v>
      </c>
      <c r="E9" s="43" t="s">
        <v>602</v>
      </c>
    </row>
    <row r="10" spans="1:6" x14ac:dyDescent="0.25">
      <c r="A10" s="415" t="s">
        <v>44</v>
      </c>
      <c r="B10" s="431">
        <f>SUM(B7:B9)</f>
        <v>7378.6130000000003</v>
      </c>
      <c r="C10" s="432">
        <f>SUM(C8:C9)</f>
        <v>0</v>
      </c>
      <c r="D10" s="433">
        <f>SUM(D8:D9)</f>
        <v>1023.559</v>
      </c>
      <c r="E10" s="416" t="s">
        <v>603</v>
      </c>
    </row>
    <row r="11" spans="1:6" x14ac:dyDescent="0.25">
      <c r="A11" s="417"/>
      <c r="B11" s="41"/>
      <c r="C11" s="42"/>
      <c r="D11" s="43"/>
      <c r="E11" s="43"/>
    </row>
    <row r="12" spans="1:6" x14ac:dyDescent="0.25">
      <c r="A12" s="418" t="s">
        <v>46</v>
      </c>
      <c r="B12" s="41"/>
      <c r="C12" s="42"/>
      <c r="D12" s="43"/>
      <c r="E12" s="43"/>
    </row>
    <row r="13" spans="1:6" x14ac:dyDescent="0.25">
      <c r="A13" s="419" t="s">
        <v>47</v>
      </c>
      <c r="B13" s="426">
        <f>+Resultatregnskap!C15-D13</f>
        <v>34.647000000000006</v>
      </c>
      <c r="C13" s="429"/>
      <c r="D13" s="430">
        <f>602/1000</f>
        <v>0.60199999999999998</v>
      </c>
      <c r="E13" s="43" t="s">
        <v>604</v>
      </c>
    </row>
    <row r="14" spans="1:6" x14ac:dyDescent="0.25">
      <c r="A14" s="419" t="s">
        <v>49</v>
      </c>
      <c r="B14" s="426">
        <f>+Resultatregnskap!C16-D14</f>
        <v>4763.2699999999995</v>
      </c>
      <c r="C14" s="429"/>
      <c r="D14" s="430">
        <f>486411/1000</f>
        <v>486.411</v>
      </c>
      <c r="E14" s="43" t="s">
        <v>605</v>
      </c>
    </row>
    <row r="15" spans="1:6" x14ac:dyDescent="0.25">
      <c r="A15" s="419" t="s">
        <v>51</v>
      </c>
      <c r="B15" s="426">
        <f>+Resultatregnskap!C17-D15</f>
        <v>120</v>
      </c>
      <c r="C15" s="429"/>
      <c r="D15" s="430"/>
      <c r="E15" s="43" t="s">
        <v>606</v>
      </c>
    </row>
    <row r="16" spans="1:6" x14ac:dyDescent="0.25">
      <c r="A16" s="419" t="s">
        <v>53</v>
      </c>
      <c r="B16" s="426">
        <f>+Resultatregnskap!C18-D16</f>
        <v>0</v>
      </c>
      <c r="C16" s="429"/>
      <c r="D16" s="430"/>
      <c r="E16" s="43" t="s">
        <v>607</v>
      </c>
    </row>
    <row r="17" spans="1:5" x14ac:dyDescent="0.25">
      <c r="A17" s="414" t="s">
        <v>55</v>
      </c>
      <c r="B17" s="426">
        <f>+Resultatregnskap!C19-D17</f>
        <v>2578.0059999999999</v>
      </c>
      <c r="C17" s="429"/>
      <c r="D17" s="430">
        <f>543561/1000</f>
        <v>543.56100000000004</v>
      </c>
      <c r="E17" s="43" t="s">
        <v>608</v>
      </c>
    </row>
    <row r="18" spans="1:5" x14ac:dyDescent="0.25">
      <c r="A18" s="415" t="s">
        <v>57</v>
      </c>
      <c r="B18" s="431">
        <f>SUM(B13:B17)</f>
        <v>7495.9229999999989</v>
      </c>
      <c r="C18" s="432">
        <f>SUM(C13:C17)</f>
        <v>0</v>
      </c>
      <c r="D18" s="433">
        <f>SUM(D13:D17)</f>
        <v>1030.5740000000001</v>
      </c>
      <c r="E18" s="416" t="s">
        <v>609</v>
      </c>
    </row>
    <row r="19" spans="1:5" x14ac:dyDescent="0.25">
      <c r="A19" s="417"/>
      <c r="B19" s="41"/>
      <c r="C19" s="42"/>
      <c r="D19" s="43"/>
      <c r="E19" s="43"/>
    </row>
    <row r="20" spans="1:5" x14ac:dyDescent="0.25">
      <c r="A20" s="415" t="s">
        <v>59</v>
      </c>
      <c r="B20" s="434">
        <f>B10-B18</f>
        <v>-117.30999999999858</v>
      </c>
      <c r="C20" s="435">
        <f>C10-C18</f>
        <v>0</v>
      </c>
      <c r="D20" s="436">
        <f>D10-D18</f>
        <v>-7.0150000000001</v>
      </c>
      <c r="E20" s="420" t="s">
        <v>610</v>
      </c>
    </row>
    <row r="21" spans="1:5" x14ac:dyDescent="0.25">
      <c r="A21" s="417"/>
      <c r="B21" s="41"/>
      <c r="C21" s="42"/>
      <c r="D21" s="43"/>
      <c r="E21" s="43"/>
    </row>
    <row r="22" spans="1:5" x14ac:dyDescent="0.25">
      <c r="A22" s="30" t="s">
        <v>61</v>
      </c>
      <c r="B22" s="41"/>
      <c r="C22" s="42"/>
      <c r="D22" s="43"/>
      <c r="E22" s="43"/>
    </row>
    <row r="23" spans="1:5" x14ac:dyDescent="0.25">
      <c r="A23" s="419" t="s">
        <v>62</v>
      </c>
      <c r="B23" s="426">
        <f>+Resultatregnskap!C25-7</f>
        <v>117.325</v>
      </c>
      <c r="C23" s="429"/>
      <c r="D23" s="430">
        <v>7</v>
      </c>
      <c r="E23" s="43" t="s">
        <v>611</v>
      </c>
    </row>
    <row r="24" spans="1:5" x14ac:dyDescent="0.25">
      <c r="A24" s="414" t="s">
        <v>64</v>
      </c>
      <c r="B24" s="426">
        <f>+Resultatregnskap!C26</f>
        <v>0</v>
      </c>
      <c r="C24" s="429"/>
      <c r="D24" s="430"/>
      <c r="E24" s="43" t="s">
        <v>612</v>
      </c>
    </row>
    <row r="25" spans="1:5" x14ac:dyDescent="0.25">
      <c r="A25" s="421" t="s">
        <v>66</v>
      </c>
      <c r="B25" s="431">
        <f>B23-B24</f>
        <v>117.325</v>
      </c>
      <c r="C25" s="432">
        <f>C23-C24</f>
        <v>0</v>
      </c>
      <c r="D25" s="433">
        <f>D23-D24</f>
        <v>7</v>
      </c>
      <c r="E25" s="416" t="s">
        <v>613</v>
      </c>
    </row>
    <row r="26" spans="1:5" x14ac:dyDescent="0.25">
      <c r="A26" s="422"/>
      <c r="B26" s="41"/>
      <c r="C26" s="42"/>
      <c r="D26" s="43"/>
      <c r="E26" s="43"/>
    </row>
    <row r="27" spans="1:5" x14ac:dyDescent="0.25">
      <c r="A27" s="421" t="s">
        <v>68</v>
      </c>
      <c r="B27" s="431">
        <f>B20+B25</f>
        <v>1.5000000001421654E-2</v>
      </c>
      <c r="C27" s="432">
        <f>C20+C25</f>
        <v>0</v>
      </c>
      <c r="D27" s="433">
        <f>D20+D25</f>
        <v>-1.5000000000100044E-2</v>
      </c>
      <c r="E27" s="416" t="s">
        <v>614</v>
      </c>
    </row>
    <row r="28" spans="1:5" x14ac:dyDescent="0.25">
      <c r="A28" s="417"/>
      <c r="B28" s="41"/>
      <c r="C28" s="42"/>
      <c r="D28" s="43"/>
      <c r="E28" s="43"/>
    </row>
    <row r="29" spans="1:5" x14ac:dyDescent="0.25">
      <c r="A29" s="419" t="s">
        <v>70</v>
      </c>
      <c r="B29" s="426">
        <f>+Resultatregnskap!C31</f>
        <v>0</v>
      </c>
      <c r="C29" s="429"/>
      <c r="D29" s="430"/>
      <c r="E29" s="43" t="s">
        <v>615</v>
      </c>
    </row>
    <row r="30" spans="1:5" x14ac:dyDescent="0.25">
      <c r="A30" s="423"/>
      <c r="B30" s="41"/>
      <c r="C30" s="42"/>
      <c r="D30" s="43"/>
      <c r="E30" s="43"/>
    </row>
    <row r="31" spans="1:5" x14ac:dyDescent="0.25">
      <c r="A31" s="421" t="s">
        <v>72</v>
      </c>
      <c r="B31" s="431">
        <f>B27-B29</f>
        <v>1.5000000001421654E-2</v>
      </c>
      <c r="C31" s="432">
        <f>C27-C29</f>
        <v>0</v>
      </c>
      <c r="D31" s="433">
        <f>D27-D29</f>
        <v>-1.5000000000100044E-2</v>
      </c>
      <c r="E31" s="416" t="s">
        <v>616</v>
      </c>
    </row>
    <row r="32" spans="1:5" x14ac:dyDescent="0.25">
      <c r="A32" s="417"/>
      <c r="B32" s="41"/>
      <c r="C32" s="42"/>
      <c r="D32" s="43"/>
      <c r="E32" s="43"/>
    </row>
    <row r="33" spans="1:8" x14ac:dyDescent="0.25">
      <c r="A33" s="30" t="s">
        <v>617</v>
      </c>
      <c r="B33" s="41"/>
      <c r="C33" s="42"/>
      <c r="D33" s="43"/>
      <c r="E33" s="43"/>
    </row>
    <row r="34" spans="1:8" x14ac:dyDescent="0.25">
      <c r="A34" s="419" t="s">
        <v>75</v>
      </c>
      <c r="B34" s="426">
        <f>+Resultatregnskap!C36</f>
        <v>0</v>
      </c>
      <c r="C34" s="429"/>
      <c r="D34" s="430"/>
      <c r="E34" s="43" t="s">
        <v>618</v>
      </c>
    </row>
    <row r="35" spans="1:8" x14ac:dyDescent="0.25">
      <c r="A35" s="419" t="s">
        <v>77</v>
      </c>
      <c r="B35" s="426">
        <f>+Resultatregnskap!C37</f>
        <v>0</v>
      </c>
      <c r="C35" s="429"/>
      <c r="D35" s="430"/>
      <c r="E35" s="43" t="s">
        <v>619</v>
      </c>
    </row>
    <row r="36" spans="1:8" x14ac:dyDescent="0.25">
      <c r="A36" s="414" t="s">
        <v>79</v>
      </c>
      <c r="B36" s="426">
        <f>+Resultatregnskap!C38</f>
        <v>0</v>
      </c>
      <c r="C36" s="429"/>
      <c r="D36" s="430"/>
      <c r="E36" s="43" t="s">
        <v>620</v>
      </c>
    </row>
    <row r="37" spans="1:8" x14ac:dyDescent="0.25">
      <c r="A37" s="415" t="s">
        <v>81</v>
      </c>
      <c r="B37" s="431">
        <f>SUM(B34:B36)</f>
        <v>0</v>
      </c>
      <c r="C37" s="431">
        <f t="shared" ref="C37:D37" si="0">SUM(C34:C36)</f>
        <v>0</v>
      </c>
      <c r="D37" s="431">
        <f t="shared" si="0"/>
        <v>0</v>
      </c>
      <c r="E37" s="416" t="s">
        <v>621</v>
      </c>
    </row>
    <row r="38" spans="1:8" x14ac:dyDescent="0.25">
      <c r="A38" s="87"/>
      <c r="B38" s="29"/>
      <c r="C38" s="29"/>
      <c r="D38" s="29"/>
      <c r="E38" s="29"/>
    </row>
    <row r="39" spans="1:8" ht="47.45" customHeight="1" x14ac:dyDescent="0.25">
      <c r="A39" s="88" t="s">
        <v>622</v>
      </c>
      <c r="B39" s="505"/>
      <c r="C39" s="506"/>
      <c r="D39" s="506"/>
      <c r="E39" s="507"/>
      <c r="G39" s="89"/>
    </row>
    <row r="40" spans="1:8" ht="42.6" customHeight="1" x14ac:dyDescent="0.25">
      <c r="A40" s="88" t="s">
        <v>623</v>
      </c>
      <c r="B40" s="508"/>
      <c r="C40" s="509"/>
      <c r="D40" s="509"/>
      <c r="E40" s="510"/>
      <c r="G40" s="89"/>
    </row>
    <row r="41" spans="1:8" x14ac:dyDescent="0.25">
      <c r="A41" s="87"/>
      <c r="B41" s="29"/>
      <c r="C41" s="29"/>
      <c r="D41" s="29"/>
      <c r="E41" s="29"/>
    </row>
    <row r="42" spans="1:8" ht="187.5" customHeight="1" x14ac:dyDescent="0.25">
      <c r="A42" s="503" t="s">
        <v>624</v>
      </c>
      <c r="B42" s="503"/>
      <c r="C42" s="503"/>
      <c r="D42" s="503"/>
      <c r="E42" s="503"/>
      <c r="F42" s="503"/>
      <c r="G42" s="503"/>
      <c r="H42" s="503"/>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scale="61" fitToHeight="0" orientation="portrait" r:id="rId1"/>
  <headerFooter>
    <oddFooter>&amp;C&amp;"Calibri"&amp;11&amp;K000000_x000D_&amp;1#&amp;"Calibri"&amp;10&amp;KFFFF00HK-dir Intern</oddFooter>
  </headerFooter>
  <customProperties>
    <customPr name="OrphanNamesChecke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Frelsesarmeens Offisersskole AS</v>
      </c>
    </row>
    <row r="3" spans="1:6" x14ac:dyDescent="0.25">
      <c r="A3" s="63" t="s">
        <v>625</v>
      </c>
      <c r="B3" s="6"/>
    </row>
    <row r="4" spans="1:6" x14ac:dyDescent="0.25">
      <c r="A4" s="64"/>
      <c r="B4" s="6"/>
    </row>
    <row r="5" spans="1:6" x14ac:dyDescent="0.25">
      <c r="A5" s="50" t="s">
        <v>626</v>
      </c>
      <c r="B5" s="32"/>
    </row>
    <row r="6" spans="1:6" x14ac:dyDescent="0.25">
      <c r="A6" s="50" t="s">
        <v>627</v>
      </c>
      <c r="B6" s="32"/>
      <c r="E6" s="5"/>
      <c r="F6" s="49"/>
    </row>
    <row r="7" spans="1:6" ht="15" customHeight="1" x14ac:dyDescent="0.25">
      <c r="A7" s="65"/>
      <c r="B7" s="511" t="s">
        <v>628</v>
      </c>
      <c r="C7" s="512"/>
    </row>
    <row r="8" spans="1:6" ht="15" customHeight="1" x14ac:dyDescent="0.25">
      <c r="A8" s="66" t="s">
        <v>629</v>
      </c>
      <c r="B8" s="67">
        <f>Resultatregnskap!C6</f>
        <v>45657</v>
      </c>
      <c r="C8" s="68">
        <f>Resultatregnskap!D6</f>
        <v>45291</v>
      </c>
      <c r="D8" s="69"/>
    </row>
    <row r="9" spans="1:6" x14ac:dyDescent="0.25">
      <c r="A9" s="1" t="s">
        <v>35</v>
      </c>
      <c r="B9" s="70">
        <f>Resultatregnskap!C12</f>
        <v>8402.1719999999987</v>
      </c>
      <c r="C9" s="71">
        <f>Resultatregnskap!D12</f>
        <v>9140.2440000000006</v>
      </c>
    </row>
    <row r="10" spans="1:6" x14ac:dyDescent="0.25">
      <c r="A10" s="72" t="s">
        <v>630</v>
      </c>
      <c r="B10" s="70">
        <f>Resultatregnskap!C9</f>
        <v>1506.796</v>
      </c>
      <c r="C10" s="71">
        <f>Resultatregnskap!D9</f>
        <v>1383.1969999999999</v>
      </c>
    </row>
    <row r="11" spans="1:6" x14ac:dyDescent="0.25">
      <c r="A11" s="72" t="s">
        <v>631</v>
      </c>
      <c r="B11" s="70">
        <f>'Note 1 og 2'!B29</f>
        <v>247</v>
      </c>
      <c r="C11" s="70">
        <f>'Note 1 og 2'!C29</f>
        <v>374.80900000000003</v>
      </c>
      <c r="D11" s="69"/>
    </row>
    <row r="12" spans="1:6" x14ac:dyDescent="0.25">
      <c r="A12" s="1" t="s">
        <v>49</v>
      </c>
      <c r="B12" s="70">
        <f>Resultatregnskap!C16</f>
        <v>5249.6809999999996</v>
      </c>
      <c r="C12" s="71">
        <f>Resultatregnskap!D16</f>
        <v>5723.3410000000003</v>
      </c>
      <c r="D12" s="69"/>
    </row>
    <row r="13" spans="1:6" x14ac:dyDescent="0.25">
      <c r="A13" s="1" t="s">
        <v>632</v>
      </c>
      <c r="B13" s="70">
        <f>Resultatregnskap!C20-Resultatregnskap!C16</f>
        <v>3276.8159999999998</v>
      </c>
      <c r="C13" s="71">
        <f>Resultatregnskap!D20-Resultatregnskap!D16</f>
        <v>3540.2479999999996</v>
      </c>
    </row>
    <row r="14" spans="1:6" x14ac:dyDescent="0.25">
      <c r="A14" s="1" t="s">
        <v>57</v>
      </c>
      <c r="B14" s="70">
        <f>Resultatregnskap!C20</f>
        <v>8526.4969999999994</v>
      </c>
      <c r="C14" s="71">
        <f>Resultatregnskap!D20</f>
        <v>9263.5889999999999</v>
      </c>
    </row>
    <row r="15" spans="1:6" x14ac:dyDescent="0.25">
      <c r="A15" s="1" t="s">
        <v>59</v>
      </c>
      <c r="B15" s="70">
        <f>Resultatregnskap!C22</f>
        <v>-124.32500000000073</v>
      </c>
      <c r="C15" s="71">
        <f>Resultatregnskap!D22</f>
        <v>-123.34499999999935</v>
      </c>
    </row>
    <row r="16" spans="1:6" x14ac:dyDescent="0.25">
      <c r="A16" s="1" t="s">
        <v>633</v>
      </c>
      <c r="B16" s="70">
        <f>Resultatregnskap!C33</f>
        <v>-7.2475359047530219E-13</v>
      </c>
      <c r="C16" s="71">
        <f>Resultatregnskap!D33</f>
        <v>6.5369931689929217E-13</v>
      </c>
    </row>
    <row r="17" spans="1:3" x14ac:dyDescent="0.25">
      <c r="A17" s="73"/>
      <c r="B17" s="74"/>
      <c r="C17" s="75"/>
    </row>
    <row r="18" spans="1:3" x14ac:dyDescent="0.25">
      <c r="A18" s="2" t="s">
        <v>634</v>
      </c>
      <c r="B18" s="74"/>
      <c r="C18" s="75"/>
    </row>
    <row r="19" spans="1:3" x14ac:dyDescent="0.25">
      <c r="A19" s="1" t="s">
        <v>635</v>
      </c>
      <c r="B19" s="33">
        <f>('Balanse - eiendeler'!C11)+('Balanse - eiendeler'!C19)+('Balanse - eiendeler'!C29)</f>
        <v>150</v>
      </c>
      <c r="C19" s="7">
        <f>('Balanse - eiendeler'!D11)+('Balanse - eiendeler'!D19)+('Balanse - eiendeler'!D29)</f>
        <v>270</v>
      </c>
    </row>
    <row r="20" spans="1:3" x14ac:dyDescent="0.25">
      <c r="A20" s="1" t="s">
        <v>636</v>
      </c>
      <c r="B20" s="33">
        <f>('Balanse - eiendeler'!C35)+('Balanse - eiendeler'!C40)+('Balanse - eiendeler'!C46)+('Balanse - eiendeler'!C51)</f>
        <v>2218.0259999999998</v>
      </c>
      <c r="C20" s="7">
        <f>('Balanse - eiendeler'!D35)+('Balanse - eiendeler'!D40)+('Balanse - eiendeler'!D46)+('Balanse - eiendeler'!D51)</f>
        <v>2003.96</v>
      </c>
    </row>
    <row r="21" spans="1:3" x14ac:dyDescent="0.25">
      <c r="A21" s="1" t="s">
        <v>637</v>
      </c>
      <c r="B21" s="33">
        <f>'Balanse - eiendeler'!C53</f>
        <v>2368.0259999999998</v>
      </c>
      <c r="C21" s="7">
        <f>'Balanse - eiendeler'!D53</f>
        <v>2273.96</v>
      </c>
    </row>
    <row r="22" spans="1:3" x14ac:dyDescent="0.25">
      <c r="A22" s="1" t="s">
        <v>638</v>
      </c>
      <c r="B22" s="33">
        <f>'Balanse - egenkapital og gjeld'!C20</f>
        <v>30</v>
      </c>
      <c r="C22" s="7">
        <f>'Balanse - egenkapital og gjeld'!D20</f>
        <v>30</v>
      </c>
    </row>
    <row r="23" spans="1:3" x14ac:dyDescent="0.25">
      <c r="A23" s="1" t="s">
        <v>639</v>
      </c>
      <c r="B23" s="33">
        <f>('Balanse - egenkapital og gjeld'!C38)+('Balanse - egenkapital og gjeld'!C30)</f>
        <v>0</v>
      </c>
      <c r="C23" s="7">
        <f>('Balanse - egenkapital og gjeld'!D38)+('Balanse - egenkapital og gjeld'!D30)</f>
        <v>0</v>
      </c>
    </row>
    <row r="24" spans="1:3" x14ac:dyDescent="0.25">
      <c r="A24" s="1" t="s">
        <v>640</v>
      </c>
      <c r="B24" s="33">
        <f>'Balanse - egenkapital og gjeld'!C47</f>
        <v>2338.027</v>
      </c>
      <c r="C24" s="7">
        <f>'Balanse - egenkapital og gjeld'!D47</f>
        <v>2243.96</v>
      </c>
    </row>
    <row r="25" spans="1:3" x14ac:dyDescent="0.25">
      <c r="A25" s="1" t="s">
        <v>641</v>
      </c>
      <c r="B25" s="33">
        <f>'Balanse - egenkapital og gjeld'!C51</f>
        <v>2368.027</v>
      </c>
      <c r="C25" s="7">
        <f>'Balanse - egenkapital og gjeld'!D51</f>
        <v>2273.96</v>
      </c>
    </row>
    <row r="26" spans="1:3" x14ac:dyDescent="0.25">
      <c r="A26" s="3"/>
      <c r="B26" s="35"/>
      <c r="C26" s="6"/>
    </row>
    <row r="27" spans="1:3" x14ac:dyDescent="0.25">
      <c r="A27" s="3"/>
      <c r="B27" s="36"/>
      <c r="C27" s="9"/>
    </row>
    <row r="28" spans="1:3" x14ac:dyDescent="0.25">
      <c r="A28" s="2" t="s">
        <v>642</v>
      </c>
      <c r="B28" s="34"/>
      <c r="C28" s="8"/>
    </row>
    <row r="29" spans="1:3" x14ac:dyDescent="0.25">
      <c r="A29" s="1" t="s">
        <v>643</v>
      </c>
      <c r="B29" s="37">
        <f>B12/B14</f>
        <v>0.61569024184257615</v>
      </c>
      <c r="C29" s="11">
        <f>C12/C14</f>
        <v>0.61783192237911255</v>
      </c>
    </row>
    <row r="30" spans="1:3" x14ac:dyDescent="0.25">
      <c r="A30" s="1" t="s">
        <v>644</v>
      </c>
      <c r="B30" s="37">
        <f>B15/B9</f>
        <v>-1.4796769216340816E-2</v>
      </c>
      <c r="C30" s="11">
        <f>C15/C9</f>
        <v>-1.3494716333612027E-2</v>
      </c>
    </row>
    <row r="31" spans="1:3" x14ac:dyDescent="0.25">
      <c r="A31" s="1" t="s">
        <v>645</v>
      </c>
      <c r="B31" s="37">
        <f>B20/B24</f>
        <v>0.94867424542145995</v>
      </c>
      <c r="C31" s="11">
        <f>C20/C24</f>
        <v>0.89304622185778715</v>
      </c>
    </row>
    <row r="32" spans="1:3" x14ac:dyDescent="0.25">
      <c r="A32" s="1" t="s">
        <v>646</v>
      </c>
      <c r="B32" s="33">
        <f>B20-B24</f>
        <v>-120.0010000000002</v>
      </c>
      <c r="C32" s="7">
        <f>C20-C24</f>
        <v>-240</v>
      </c>
    </row>
    <row r="33" spans="1:4" x14ac:dyDescent="0.25">
      <c r="A33" s="1" t="s">
        <v>647</v>
      </c>
      <c r="B33" s="37">
        <f>B22/B25</f>
        <v>1.2668774469210022E-2</v>
      </c>
      <c r="C33" s="11">
        <f>C22/C25</f>
        <v>1.3192844201305213E-2</v>
      </c>
    </row>
    <row r="34" spans="1:4" x14ac:dyDescent="0.25">
      <c r="A34" s="1" t="s">
        <v>648</v>
      </c>
      <c r="B34" s="37">
        <f>B24/B22</f>
        <v>77.934233333333339</v>
      </c>
      <c r="C34" s="11">
        <f>C24/C22</f>
        <v>74.798666666666662</v>
      </c>
    </row>
    <row r="35" spans="1:4" x14ac:dyDescent="0.25">
      <c r="A35" s="1" t="s">
        <v>649</v>
      </c>
      <c r="B35" s="37">
        <f>B10/B9</f>
        <v>0.17933410551462173</v>
      </c>
      <c r="C35" s="11">
        <f>C10/C9</f>
        <v>0.15133042400180999</v>
      </c>
    </row>
    <row r="36" spans="1:4" x14ac:dyDescent="0.25">
      <c r="A36" s="1" t="s">
        <v>650</v>
      </c>
      <c r="B36" s="76">
        <f>B11/B9</f>
        <v>2.9397160638939556E-2</v>
      </c>
      <c r="C36" s="77">
        <f>C11/C9</f>
        <v>4.1006454532286012E-2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customProperties>
    <customPr name="OrphanNamesChecke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zoomScaleNormal="100"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tabColor rgb="FF92D050"/>
  </sheetPr>
  <dimension ref="A1:J41"/>
  <sheetViews>
    <sheetView tabSelected="1" zoomScaleNormal="100" workbookViewId="0">
      <selection activeCell="I9" sqref="I9"/>
    </sheetView>
  </sheetViews>
  <sheetFormatPr baseColWidth="10" defaultColWidth="11.42578125" defaultRowHeight="12.75" x14ac:dyDescent="0.2"/>
  <cols>
    <col min="1" max="1" width="36.7109375" style="55" customWidth="1"/>
    <col min="2" max="2" width="7.140625" style="55" customWidth="1"/>
    <col min="3" max="3" width="13.5703125" style="54" customWidth="1"/>
    <col min="4" max="4" width="13" style="54" customWidth="1"/>
    <col min="5" max="5" width="13.7109375" style="55" customWidth="1"/>
    <col min="6" max="16384" width="11.42578125" style="55"/>
  </cols>
  <sheetData>
    <row r="1" spans="1:6" x14ac:dyDescent="0.2">
      <c r="A1" s="92" t="s">
        <v>668</v>
      </c>
      <c r="B1" s="92"/>
      <c r="C1" s="93"/>
      <c r="D1" s="94"/>
    </row>
    <row r="2" spans="1:6" x14ac:dyDescent="0.2">
      <c r="A2" s="95" t="s">
        <v>669</v>
      </c>
      <c r="B2" s="452"/>
      <c r="C2" s="93"/>
      <c r="D2" s="94"/>
    </row>
    <row r="3" spans="1:6" x14ac:dyDescent="0.2">
      <c r="A3" s="95" t="s">
        <v>31</v>
      </c>
      <c r="B3" s="92"/>
      <c r="C3" s="93"/>
      <c r="D3" s="94"/>
    </row>
    <row r="4" spans="1:6" x14ac:dyDescent="0.2">
      <c r="A4" s="96" t="s">
        <v>32</v>
      </c>
      <c r="B4" s="97"/>
      <c r="C4" s="467"/>
      <c r="D4" s="467"/>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c r="D8" s="82"/>
      <c r="E8" s="112" t="s">
        <v>37</v>
      </c>
      <c r="F8" s="56"/>
    </row>
    <row r="9" spans="1:6" x14ac:dyDescent="0.2">
      <c r="A9" s="111" t="s">
        <v>38</v>
      </c>
      <c r="B9" s="107">
        <v>1</v>
      </c>
      <c r="C9" s="113">
        <f>1506796/1000</f>
        <v>1506.796</v>
      </c>
      <c r="D9" s="113">
        <v>1383.1969999999999</v>
      </c>
      <c r="E9" s="112" t="s">
        <v>39</v>
      </c>
      <c r="F9" s="57"/>
    </row>
    <row r="10" spans="1:6" x14ac:dyDescent="0.2">
      <c r="A10" s="111" t="s">
        <v>40</v>
      </c>
      <c r="B10" s="107"/>
      <c r="C10" s="113">
        <f>571543/1000</f>
        <v>571.54300000000001</v>
      </c>
      <c r="D10" s="113">
        <v>533.65200000000004</v>
      </c>
      <c r="E10" s="112" t="s">
        <v>41</v>
      </c>
      <c r="F10" s="58"/>
    </row>
    <row r="11" spans="1:6" x14ac:dyDescent="0.2">
      <c r="A11" s="111" t="s">
        <v>42</v>
      </c>
      <c r="B11" s="107"/>
      <c r="C11" s="113">
        <f>(6021529+247000+13183+42121)/1000</f>
        <v>6323.8329999999996</v>
      </c>
      <c r="D11" s="113">
        <v>7223.3950000000004</v>
      </c>
      <c r="E11" s="112" t="s">
        <v>43</v>
      </c>
      <c r="F11" s="58"/>
    </row>
    <row r="12" spans="1:6" x14ac:dyDescent="0.2">
      <c r="A12" s="114" t="s">
        <v>44</v>
      </c>
      <c r="B12" s="115"/>
      <c r="C12" s="116">
        <f>SUBTOTAL(9,C8:C11)</f>
        <v>8402.1719999999987</v>
      </c>
      <c r="D12" s="117">
        <f>SUBTOTAL(9,D8:D11)</f>
        <v>9140.2440000000006</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f>35249/1000</f>
        <v>35.249000000000002</v>
      </c>
      <c r="D15" s="82">
        <v>191.35599999999999</v>
      </c>
      <c r="E15" s="112" t="s">
        <v>48</v>
      </c>
    </row>
    <row r="16" spans="1:6" x14ac:dyDescent="0.2">
      <c r="A16" s="111" t="s">
        <v>49</v>
      </c>
      <c r="B16" s="120">
        <v>2</v>
      </c>
      <c r="C16" s="82">
        <f>5249681/1000</f>
        <v>5249.6809999999996</v>
      </c>
      <c r="D16" s="82">
        <v>5723.3410000000003</v>
      </c>
      <c r="E16" s="112" t="s">
        <v>50</v>
      </c>
    </row>
    <row r="17" spans="1:10" x14ac:dyDescent="0.2">
      <c r="A17" s="111" t="s">
        <v>51</v>
      </c>
      <c r="B17" s="107"/>
      <c r="C17" s="82">
        <f>120000/1000</f>
        <v>120</v>
      </c>
      <c r="D17" s="82">
        <v>120</v>
      </c>
      <c r="E17" s="112" t="s">
        <v>52</v>
      </c>
    </row>
    <row r="18" spans="1:10" x14ac:dyDescent="0.2">
      <c r="A18" s="111" t="s">
        <v>53</v>
      </c>
      <c r="B18" s="107"/>
      <c r="C18" s="82"/>
      <c r="D18" s="82"/>
      <c r="E18" s="112" t="s">
        <v>54</v>
      </c>
      <c r="J18" s="57"/>
    </row>
    <row r="19" spans="1:10" x14ac:dyDescent="0.2">
      <c r="A19" s="111" t="s">
        <v>55</v>
      </c>
      <c r="B19" s="107">
        <v>3</v>
      </c>
      <c r="C19" s="82">
        <f>3121567/1000</f>
        <v>3121.567</v>
      </c>
      <c r="D19" s="82">
        <v>3228.8919999999998</v>
      </c>
      <c r="E19" s="112" t="s">
        <v>56</v>
      </c>
      <c r="J19" s="57"/>
    </row>
    <row r="20" spans="1:10" x14ac:dyDescent="0.2">
      <c r="A20" s="121" t="s">
        <v>57</v>
      </c>
      <c r="B20" s="115"/>
      <c r="C20" s="116">
        <f>SUBTOTAL(9,C15:C19)</f>
        <v>8526.4969999999994</v>
      </c>
      <c r="D20" s="117">
        <f>SUBTOTAL(9,D15:D19)</f>
        <v>9263.5889999999999</v>
      </c>
      <c r="E20" s="105" t="s">
        <v>58</v>
      </c>
    </row>
    <row r="21" spans="1:10" x14ac:dyDescent="0.2">
      <c r="A21" s="118"/>
      <c r="B21" s="107"/>
      <c r="C21" s="108"/>
      <c r="D21" s="109"/>
      <c r="E21" s="110"/>
    </row>
    <row r="22" spans="1:10" x14ac:dyDescent="0.2">
      <c r="A22" s="121" t="s">
        <v>59</v>
      </c>
      <c r="B22" s="115"/>
      <c r="C22" s="122">
        <f>C12-C20</f>
        <v>-124.32500000000073</v>
      </c>
      <c r="D22" s="123">
        <f>D12-D20</f>
        <v>-123.34499999999935</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f>124325/1000</f>
        <v>124.325</v>
      </c>
      <c r="D25" s="124">
        <v>123.345</v>
      </c>
      <c r="E25" s="112" t="s">
        <v>63</v>
      </c>
    </row>
    <row r="26" spans="1:10" x14ac:dyDescent="0.2">
      <c r="A26" s="111" t="s">
        <v>64</v>
      </c>
      <c r="B26" s="107"/>
      <c r="C26" s="108"/>
      <c r="D26" s="125"/>
      <c r="E26" s="112" t="s">
        <v>65</v>
      </c>
    </row>
    <row r="27" spans="1:10" x14ac:dyDescent="0.2">
      <c r="A27" s="121" t="s">
        <v>66</v>
      </c>
      <c r="B27" s="115"/>
      <c r="C27" s="122">
        <f>C25-C26</f>
        <v>124.325</v>
      </c>
      <c r="D27" s="123">
        <f>D25-D26</f>
        <v>123.345</v>
      </c>
      <c r="E27" s="105" t="s">
        <v>67</v>
      </c>
    </row>
    <row r="28" spans="1:10" x14ac:dyDescent="0.2">
      <c r="A28" s="118"/>
      <c r="B28" s="107"/>
      <c r="C28" s="108"/>
      <c r="D28" s="109"/>
      <c r="E28" s="110"/>
    </row>
    <row r="29" spans="1:10" x14ac:dyDescent="0.2">
      <c r="A29" s="121" t="s">
        <v>68</v>
      </c>
      <c r="B29" s="115"/>
      <c r="C29" s="122">
        <f>C22+C27</f>
        <v>-7.2475359047530219E-13</v>
      </c>
      <c r="D29" s="123">
        <f>D22+D27</f>
        <v>6.5369931689929217E-13</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-7.2475359047530219E-13</v>
      </c>
      <c r="D33" s="123">
        <f>D29-D31</f>
        <v>6.5369931689929217E-13</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c r="D36" s="124"/>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0</v>
      </c>
      <c r="D39" s="123">
        <f>SUBTOTAL(9,D36:D38)</f>
        <v>0</v>
      </c>
      <c r="E39" s="105" t="s">
        <v>82</v>
      </c>
    </row>
    <row r="41" spans="1:5" s="81" customFormat="1" ht="93.75" customHeight="1" x14ac:dyDescent="0.2">
      <c r="A41" s="468" t="s">
        <v>83</v>
      </c>
      <c r="B41" s="468"/>
      <c r="C41" s="468"/>
      <c r="D41" s="468"/>
      <c r="E41" s="468"/>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tabColor rgb="FF92D050"/>
  </sheetPr>
  <dimension ref="A1:K55"/>
  <sheetViews>
    <sheetView topLeftCell="A41" zoomScaleNormal="100" workbookViewId="0">
      <selection activeCell="H10" sqref="H10"/>
    </sheetView>
  </sheetViews>
  <sheetFormatPr baseColWidth="10" defaultColWidth="11.42578125" defaultRowHeight="12.75" x14ac:dyDescent="0.2"/>
  <cols>
    <col min="1" max="1" width="52.7109375" style="55" bestFit="1" customWidth="1"/>
    <col min="2" max="2" width="8" style="151" customWidth="1"/>
    <col min="3" max="4" width="14.5703125" style="54" customWidth="1"/>
    <col min="5" max="5" width="13.5703125" style="55" customWidth="1"/>
    <col min="6" max="16384" width="11.42578125" style="55"/>
  </cols>
  <sheetData>
    <row r="1" spans="1:5" ht="16.5" customHeight="1" x14ac:dyDescent="0.2">
      <c r="A1" s="29" t="str">
        <f>Resultatregnskap!A1</f>
        <v>Fagskolens navn: Frelsesarmeens Offisersskole AS</v>
      </c>
      <c r="B1" s="92" t="s">
        <v>665</v>
      </c>
      <c r="C1" s="92"/>
      <c r="D1" s="129"/>
      <c r="E1" s="129"/>
    </row>
    <row r="2" spans="1:5" ht="16.5" customHeight="1" x14ac:dyDescent="0.2">
      <c r="A2" s="29" t="s">
        <v>84</v>
      </c>
      <c r="B2" s="452" t="s">
        <v>663</v>
      </c>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E16" s="140" t="s">
        <v>101</v>
      </c>
    </row>
    <row r="17" spans="1:6" x14ac:dyDescent="0.2">
      <c r="A17" s="139" t="s">
        <v>102</v>
      </c>
      <c r="B17" s="137"/>
      <c r="C17" s="59">
        <f>150000/1000</f>
        <v>150</v>
      </c>
      <c r="D17" s="60">
        <v>270</v>
      </c>
      <c r="E17" s="140" t="s">
        <v>103</v>
      </c>
    </row>
    <row r="18" spans="1:6" x14ac:dyDescent="0.2">
      <c r="A18" s="139" t="s">
        <v>104</v>
      </c>
      <c r="B18" s="137"/>
      <c r="C18" s="59"/>
      <c r="D18" s="59"/>
      <c r="E18" s="140" t="s">
        <v>105</v>
      </c>
    </row>
    <row r="19" spans="1:6" x14ac:dyDescent="0.2">
      <c r="A19" s="141" t="s">
        <v>106</v>
      </c>
      <c r="B19" s="142"/>
      <c r="C19" s="143">
        <f>SUBTOTAL(9,C14:C18)</f>
        <v>150</v>
      </c>
      <c r="D19" s="144">
        <f>SUBTOTAL(9,D14:D18)</f>
        <v>270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c r="D38" s="113"/>
      <c r="E38" s="112" t="s">
        <v>135</v>
      </c>
      <c r="F38" s="57"/>
    </row>
    <row r="39" spans="1:11" x14ac:dyDescent="0.2">
      <c r="A39" s="111" t="s">
        <v>136</v>
      </c>
      <c r="B39" s="107" t="s">
        <v>137</v>
      </c>
      <c r="C39" s="449">
        <f>(3883+665917)/1000</f>
        <v>669.8</v>
      </c>
      <c r="D39" s="149">
        <v>26.402999999999999</v>
      </c>
      <c r="E39" s="112" t="s">
        <v>138</v>
      </c>
      <c r="F39" s="57"/>
    </row>
    <row r="40" spans="1:11" x14ac:dyDescent="0.2">
      <c r="A40" s="121" t="s">
        <v>139</v>
      </c>
      <c r="B40" s="115"/>
      <c r="C40" s="116">
        <f>SUBTOTAL(9,C38:C39)</f>
        <v>669.8</v>
      </c>
      <c r="D40" s="117">
        <f>SUBTOTAL(9,D38:D39)</f>
        <v>26.402999999999999</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f>1548226/1000</f>
        <v>1548.2260000000001</v>
      </c>
      <c r="D49" s="82">
        <v>1977.557</v>
      </c>
      <c r="E49" s="112" t="s">
        <v>152</v>
      </c>
    </row>
    <row r="50" spans="1:5" x14ac:dyDescent="0.2">
      <c r="A50" s="111" t="s">
        <v>153</v>
      </c>
      <c r="B50" s="107"/>
      <c r="C50" s="82"/>
      <c r="D50" s="82"/>
      <c r="E50" s="112" t="s">
        <v>154</v>
      </c>
    </row>
    <row r="51" spans="1:5" x14ac:dyDescent="0.2">
      <c r="A51" s="121" t="s">
        <v>155</v>
      </c>
      <c r="B51" s="115"/>
      <c r="C51" s="116">
        <f>SUBTOTAL(9,C49:C50)</f>
        <v>1548.2260000000001</v>
      </c>
      <c r="D51" s="117">
        <f>SUBTOTAL(9,D49:D50)</f>
        <v>1977.557</v>
      </c>
      <c r="E51" s="105" t="s">
        <v>156</v>
      </c>
    </row>
    <row r="52" spans="1:5" x14ac:dyDescent="0.2">
      <c r="A52" s="118"/>
      <c r="B52" s="107"/>
      <c r="C52" s="150"/>
      <c r="D52" s="150"/>
      <c r="E52" s="110"/>
    </row>
    <row r="53" spans="1:5" x14ac:dyDescent="0.2">
      <c r="A53" s="121" t="s">
        <v>157</v>
      </c>
      <c r="B53" s="115"/>
      <c r="C53" s="116">
        <f>SUBTOTAL(9,C8:C52)</f>
        <v>2368.0259999999998</v>
      </c>
      <c r="D53" s="117">
        <f>SUBTOTAL(9,D7:D52)</f>
        <v>2273.96</v>
      </c>
      <c r="E53" s="105" t="s">
        <v>158</v>
      </c>
    </row>
    <row r="55" spans="1:5" ht="83.25" customHeight="1" x14ac:dyDescent="0.2">
      <c r="A55" s="469" t="s">
        <v>159</v>
      </c>
      <c r="B55" s="469"/>
      <c r="C55" s="469"/>
      <c r="D55" s="469"/>
      <c r="E55" s="469"/>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tabColor rgb="FF92D050"/>
  </sheetPr>
  <dimension ref="A1:G53"/>
  <sheetViews>
    <sheetView topLeftCell="A40" zoomScaleNormal="100" workbookViewId="0">
      <selection activeCell="H9" sqref="H9"/>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7109375" style="55" customWidth="1"/>
    <col min="6" max="16384" width="11.42578125" style="55"/>
  </cols>
  <sheetData>
    <row r="1" spans="1:7" ht="15" customHeight="1" x14ac:dyDescent="0.2">
      <c r="A1" s="152" t="str">
        <f>Resultatregnskap!A1</f>
        <v>Fagskolens navn: Frelsesarmeens Offisersskole AS</v>
      </c>
      <c r="B1" s="153"/>
      <c r="C1" s="453" t="s">
        <v>665</v>
      </c>
      <c r="D1" s="154"/>
    </row>
    <row r="2" spans="1:7" ht="15" customHeight="1" x14ac:dyDescent="0.2">
      <c r="A2" s="152"/>
      <c r="B2" s="153"/>
      <c r="C2" s="153"/>
      <c r="D2" s="154"/>
    </row>
    <row r="3" spans="1:7" ht="15" customHeight="1" x14ac:dyDescent="0.2">
      <c r="A3" s="155" t="s">
        <v>160</v>
      </c>
      <c r="B3" s="153"/>
      <c r="C3" s="153"/>
      <c r="D3" s="154"/>
    </row>
    <row r="4" spans="1:7" ht="15" customHeight="1" x14ac:dyDescent="0.2">
      <c r="A4" s="156" t="s">
        <v>32</v>
      </c>
      <c r="B4" s="153"/>
      <c r="C4" s="153"/>
      <c r="D4" s="154"/>
    </row>
    <row r="5" spans="1:7" ht="15" customHeight="1" x14ac:dyDescent="0.2">
      <c r="A5" s="152"/>
      <c r="B5" s="157"/>
      <c r="C5" s="157"/>
      <c r="D5" s="158"/>
    </row>
    <row r="6" spans="1:7" x14ac:dyDescent="0.2">
      <c r="A6" s="114"/>
      <c r="B6" s="159" t="s">
        <v>33</v>
      </c>
      <c r="C6" s="438">
        <f>Resultatregnskap!C6</f>
        <v>45657</v>
      </c>
      <c r="D6" s="437">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f>30000/1000</f>
        <v>30</v>
      </c>
      <c r="D10" s="82">
        <v>30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0"/>
      <c r="C13" s="116">
        <f>SUBTOTAL(9,C10:C12)</f>
        <v>30</v>
      </c>
      <c r="D13" s="116">
        <f>SUBTOTAL(9,D10:D12)</f>
        <v>30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c r="D17" s="82"/>
      <c r="E17" s="112" t="s">
        <v>176</v>
      </c>
      <c r="F17" s="54"/>
    </row>
    <row r="18" spans="1:6" x14ac:dyDescent="0.2">
      <c r="A18" s="121" t="s">
        <v>177</v>
      </c>
      <c r="B18" s="160"/>
      <c r="C18" s="116">
        <f>SUBTOTAL(9,C16:C17)</f>
        <v>0</v>
      </c>
      <c r="D18" s="117">
        <f>SUBTOTAL(9,D16:D17)</f>
        <v>0</v>
      </c>
      <c r="E18" s="105" t="s">
        <v>178</v>
      </c>
    </row>
    <row r="19" spans="1:6" x14ac:dyDescent="0.2">
      <c r="A19" s="148"/>
      <c r="B19" s="110"/>
      <c r="C19" s="147"/>
      <c r="D19" s="147"/>
      <c r="E19" s="112" t="s">
        <v>171</v>
      </c>
    </row>
    <row r="20" spans="1:6" x14ac:dyDescent="0.2">
      <c r="A20" s="121" t="s">
        <v>179</v>
      </c>
      <c r="B20" s="160"/>
      <c r="C20" s="116">
        <f>SUBTOTAL(9,C10:C19)</f>
        <v>30</v>
      </c>
      <c r="D20" s="117">
        <f>SUBTOTAL(9,D10:D19)</f>
        <v>30</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0"/>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1" t="s">
        <v>205</v>
      </c>
      <c r="C37" s="82"/>
      <c r="D37" s="82"/>
      <c r="E37" s="112" t="s">
        <v>206</v>
      </c>
    </row>
    <row r="38" spans="1:6" x14ac:dyDescent="0.2">
      <c r="A38" s="121" t="s">
        <v>207</v>
      </c>
      <c r="B38" s="160"/>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f>4678/1000</f>
        <v>4.6779999999999999</v>
      </c>
      <c r="D43" s="82">
        <v>53.055</v>
      </c>
      <c r="E43" s="112" t="s">
        <v>213</v>
      </c>
      <c r="F43" s="54"/>
    </row>
    <row r="44" spans="1:6" x14ac:dyDescent="0.2">
      <c r="A44" s="111" t="s">
        <v>214</v>
      </c>
      <c r="B44" s="110"/>
      <c r="C44" s="82"/>
      <c r="D44" s="82"/>
      <c r="E44" s="112" t="s">
        <v>215</v>
      </c>
    </row>
    <row r="45" spans="1:6" x14ac:dyDescent="0.2">
      <c r="A45" s="111" t="s">
        <v>216</v>
      </c>
      <c r="B45" s="110"/>
      <c r="C45" s="82">
        <f>42884/1000</f>
        <v>42.884</v>
      </c>
      <c r="D45" s="82">
        <v>46.378</v>
      </c>
      <c r="E45" s="112" t="s">
        <v>217</v>
      </c>
    </row>
    <row r="46" spans="1:6" x14ac:dyDescent="0.2">
      <c r="A46" s="111" t="s">
        <v>218</v>
      </c>
      <c r="B46" s="161" t="s">
        <v>219</v>
      </c>
      <c r="C46" s="82">
        <f>(2237571+52894)/1000</f>
        <v>2290.4650000000001</v>
      </c>
      <c r="D46" s="82">
        <v>2144.527</v>
      </c>
      <c r="E46" s="112" t="s">
        <v>220</v>
      </c>
    </row>
    <row r="47" spans="1:6" x14ac:dyDescent="0.2">
      <c r="A47" s="121" t="s">
        <v>221</v>
      </c>
      <c r="B47" s="160"/>
      <c r="C47" s="116">
        <f>SUBTOTAL(9,C41:C46)</f>
        <v>2338.027</v>
      </c>
      <c r="D47" s="117">
        <f>SUBTOTAL(9,D41:D46)</f>
        <v>2243.96</v>
      </c>
      <c r="E47" s="105" t="s">
        <v>222</v>
      </c>
    </row>
    <row r="48" spans="1:6" x14ac:dyDescent="0.2">
      <c r="A48" s="118"/>
      <c r="B48" s="110"/>
      <c r="C48" s="150"/>
      <c r="D48" s="150"/>
      <c r="E48" s="112" t="s">
        <v>171</v>
      </c>
    </row>
    <row r="49" spans="1:6" x14ac:dyDescent="0.2">
      <c r="A49" s="121" t="s">
        <v>223</v>
      </c>
      <c r="B49" s="160"/>
      <c r="C49" s="116">
        <f>SUBTOTAL(9,C25:C47)</f>
        <v>2338.027</v>
      </c>
      <c r="D49" s="117">
        <f>SUBTOTAL(9,D25:D47)</f>
        <v>2243.96</v>
      </c>
      <c r="E49" s="105" t="s">
        <v>224</v>
      </c>
      <c r="F49" s="58"/>
    </row>
    <row r="50" spans="1:6" x14ac:dyDescent="0.2">
      <c r="A50" s="118"/>
      <c r="B50" s="110"/>
      <c r="C50" s="150"/>
      <c r="D50" s="150"/>
      <c r="E50" s="112" t="s">
        <v>171</v>
      </c>
    </row>
    <row r="51" spans="1:6" x14ac:dyDescent="0.2">
      <c r="A51" s="121" t="s">
        <v>225</v>
      </c>
      <c r="B51" s="160"/>
      <c r="C51" s="116">
        <f>SUBTOTAL(9,C10:C50)</f>
        <v>2368.027</v>
      </c>
      <c r="D51" s="117">
        <f>SUBTOTAL(9,D10:D50)</f>
        <v>2273.96</v>
      </c>
      <c r="E51" s="105" t="s">
        <v>226</v>
      </c>
    </row>
    <row r="53" spans="1:6" ht="79.5" customHeight="1" x14ac:dyDescent="0.2">
      <c r="A53" s="470" t="s">
        <v>159</v>
      </c>
      <c r="B53" s="470"/>
      <c r="C53" s="470"/>
      <c r="D53" s="470"/>
      <c r="E53" s="470"/>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tabColor rgb="FF92D050"/>
  </sheetPr>
  <dimension ref="A1:J58"/>
  <sheetViews>
    <sheetView zoomScaleNormal="100" workbookViewId="0">
      <selection activeCell="G21" sqref="G21"/>
    </sheetView>
  </sheetViews>
  <sheetFormatPr baseColWidth="10" defaultColWidth="11.42578125" defaultRowHeight="15" x14ac:dyDescent="0.25"/>
  <cols>
    <col min="1" max="1" width="59.42578125" style="10" customWidth="1"/>
    <col min="2" max="2" width="6.5703125" style="10" customWidth="1"/>
    <col min="3" max="3" width="15.5703125" style="167" customWidth="1"/>
    <col min="4" max="4" width="15.5703125" style="10" customWidth="1"/>
    <col min="5" max="5" width="13.5703125" style="10" customWidth="1"/>
    <col min="6" max="7" width="11.42578125" style="10"/>
    <col min="8" max="8" width="37" style="10" customWidth="1"/>
    <col min="9" max="9" width="22.140625" style="10" customWidth="1"/>
    <col min="10" max="16384" width="11.42578125" style="10"/>
  </cols>
  <sheetData>
    <row r="1" spans="1:10" ht="15" customHeight="1" x14ac:dyDescent="0.25">
      <c r="A1" s="162" t="str">
        <f>Resultatregnskap!A1</f>
        <v>Fagskolens navn: Frelsesarmeens Offisersskole AS</v>
      </c>
      <c r="B1" s="163"/>
      <c r="C1" s="453" t="s">
        <v>665</v>
      </c>
      <c r="D1" s="164"/>
    </row>
    <row r="2" spans="1:10" ht="15" customHeight="1" x14ac:dyDescent="0.25">
      <c r="A2" s="162"/>
      <c r="B2" s="163"/>
      <c r="C2" s="163"/>
      <c r="D2" s="164"/>
    </row>
    <row r="3" spans="1:10" ht="15" customHeight="1" x14ac:dyDescent="0.25">
      <c r="A3" s="165" t="s">
        <v>227</v>
      </c>
      <c r="B3" s="163"/>
      <c r="C3" s="163"/>
      <c r="D3" s="164"/>
    </row>
    <row r="4" spans="1:10" ht="15" customHeight="1" x14ac:dyDescent="0.25">
      <c r="A4" s="166" t="s">
        <v>32</v>
      </c>
      <c r="B4" s="163"/>
      <c r="C4" s="163"/>
      <c r="D4" s="164"/>
      <c r="H4" s="167" t="s">
        <v>661</v>
      </c>
    </row>
    <row r="5" spans="1:10" ht="15" customHeight="1" x14ac:dyDescent="0.25">
      <c r="H5" s="10" t="s">
        <v>657</v>
      </c>
      <c r="I5" s="10">
        <f>'Balanse - egenkapital og gjeld'!C43-'Balanse - egenkapital og gjeld'!D43</f>
        <v>-48.377000000000002</v>
      </c>
    </row>
    <row r="6" spans="1:10" x14ac:dyDescent="0.25">
      <c r="A6" s="168"/>
      <c r="B6" s="169" t="s">
        <v>33</v>
      </c>
      <c r="C6" s="170">
        <f>Resultatregnskap!C6</f>
        <v>45657</v>
      </c>
      <c r="D6" s="171">
        <f>Resultatregnskap!D6</f>
        <v>45291</v>
      </c>
      <c r="E6" s="172" t="s">
        <v>34</v>
      </c>
      <c r="H6" s="10" t="s">
        <v>658</v>
      </c>
      <c r="I6" s="5">
        <f>'Balanse - egenkapital og gjeld'!C46-'Balanse - egenkapital og gjeld'!D46</f>
        <v>145.9380000000001</v>
      </c>
    </row>
    <row r="7" spans="1:10" x14ac:dyDescent="0.25">
      <c r="A7" s="173" t="s">
        <v>228</v>
      </c>
      <c r="B7" s="174"/>
      <c r="C7" s="175"/>
      <c r="D7" s="176"/>
      <c r="E7" s="177"/>
      <c r="G7" s="47"/>
      <c r="H7" s="10" t="s">
        <v>659</v>
      </c>
      <c r="I7" s="10">
        <f>'Balanse - egenkapital og gjeld'!C45-'Balanse - egenkapital og gjeld'!D45</f>
        <v>-3.4939999999999998</v>
      </c>
    </row>
    <row r="8" spans="1:10" x14ac:dyDescent="0.25">
      <c r="A8" s="178" t="s">
        <v>68</v>
      </c>
      <c r="B8" s="174"/>
      <c r="C8" s="175"/>
      <c r="D8" s="176"/>
      <c r="E8" s="179" t="s">
        <v>229</v>
      </c>
      <c r="G8" s="47"/>
      <c r="H8" s="10" t="s">
        <v>660</v>
      </c>
      <c r="I8" s="10">
        <f>'Balanse - eiendeler'!D39-'Balanse - eiendeler'!C39</f>
        <v>-643.39699999999993</v>
      </c>
    </row>
    <row r="9" spans="1:10" x14ac:dyDescent="0.25">
      <c r="A9" s="178" t="s">
        <v>230</v>
      </c>
      <c r="B9" s="174"/>
      <c r="C9" s="175"/>
      <c r="D9" s="176"/>
      <c r="E9" s="179" t="s">
        <v>231</v>
      </c>
      <c r="G9" s="47"/>
      <c r="H9" s="167" t="s">
        <v>250</v>
      </c>
      <c r="I9" s="10">
        <f>I6+I7</f>
        <v>142.4440000000001</v>
      </c>
    </row>
    <row r="10" spans="1:10" x14ac:dyDescent="0.25">
      <c r="A10" s="178" t="s">
        <v>232</v>
      </c>
      <c r="B10" s="174"/>
      <c r="C10" s="175"/>
      <c r="D10" s="176"/>
      <c r="E10" s="179" t="s">
        <v>233</v>
      </c>
      <c r="G10" s="471"/>
      <c r="H10" s="471"/>
      <c r="I10" s="471"/>
      <c r="J10" s="471"/>
    </row>
    <row r="11" spans="1:10" x14ac:dyDescent="0.25">
      <c r="A11" s="178" t="s">
        <v>234</v>
      </c>
      <c r="B11" s="174"/>
      <c r="C11" s="175">
        <f>120000/1000</f>
        <v>120</v>
      </c>
      <c r="D11" s="176">
        <v>120</v>
      </c>
      <c r="E11" s="179" t="s">
        <v>235</v>
      </c>
    </row>
    <row r="12" spans="1:10" x14ac:dyDescent="0.25">
      <c r="A12" s="178" t="s">
        <v>236</v>
      </c>
      <c r="B12" s="174"/>
      <c r="C12" s="175"/>
      <c r="D12" s="176"/>
      <c r="E12" s="179" t="s">
        <v>237</v>
      </c>
    </row>
    <row r="13" spans="1:10" x14ac:dyDescent="0.25">
      <c r="A13" s="178" t="s">
        <v>238</v>
      </c>
      <c r="B13" s="174"/>
      <c r="C13" s="175"/>
      <c r="D13" s="176"/>
      <c r="E13" s="179" t="s">
        <v>239</v>
      </c>
    </row>
    <row r="14" spans="1:10" x14ac:dyDescent="0.25">
      <c r="A14" s="178" t="s">
        <v>240</v>
      </c>
      <c r="B14" s="174"/>
      <c r="C14" s="175"/>
      <c r="D14" s="176"/>
      <c r="E14" s="179" t="s">
        <v>241</v>
      </c>
    </row>
    <row r="15" spans="1:10" x14ac:dyDescent="0.25">
      <c r="A15" s="178" t="s">
        <v>242</v>
      </c>
      <c r="B15" s="174"/>
      <c r="C15" s="175">
        <f>'Balanse - eiendeler'!D40-'Balanse - eiendeler'!C40</f>
        <v>-643.39699999999993</v>
      </c>
      <c r="D15" s="176">
        <v>1324.6980000000001</v>
      </c>
      <c r="E15" s="179" t="s">
        <v>243</v>
      </c>
    </row>
    <row r="16" spans="1:10" x14ac:dyDescent="0.25">
      <c r="A16" s="178" t="s">
        <v>244</v>
      </c>
      <c r="B16" s="174"/>
      <c r="C16" s="175">
        <v>-48</v>
      </c>
      <c r="D16" s="176"/>
      <c r="E16" s="179" t="s">
        <v>245</v>
      </c>
    </row>
    <row r="17" spans="1:5" x14ac:dyDescent="0.25">
      <c r="A17" s="178" t="s">
        <v>246</v>
      </c>
      <c r="B17" s="174"/>
      <c r="C17" s="175"/>
      <c r="D17" s="176"/>
      <c r="E17" s="179" t="s">
        <v>247</v>
      </c>
    </row>
    <row r="18" spans="1:5" x14ac:dyDescent="0.25">
      <c r="A18" s="178" t="s">
        <v>248</v>
      </c>
      <c r="B18" s="174"/>
      <c r="C18" s="175"/>
      <c r="D18" s="176"/>
      <c r="E18" s="179" t="s">
        <v>249</v>
      </c>
    </row>
    <row r="19" spans="1:5" x14ac:dyDescent="0.25">
      <c r="A19" s="180" t="s">
        <v>250</v>
      </c>
      <c r="B19" s="181"/>
      <c r="C19" s="175">
        <v>142</v>
      </c>
      <c r="D19" s="176">
        <v>-533.41</v>
      </c>
      <c r="E19" s="179" t="s">
        <v>251</v>
      </c>
    </row>
    <row r="20" spans="1:5" x14ac:dyDescent="0.25">
      <c r="A20" s="182" t="s">
        <v>252</v>
      </c>
      <c r="B20" s="183"/>
      <c r="C20" s="184">
        <f>SUBTOTAL(9,C8:C19)</f>
        <v>-429.39699999999993</v>
      </c>
      <c r="D20" s="185">
        <f>SUBTOTAL(9,D8:D19)</f>
        <v>911.28800000000012</v>
      </c>
      <c r="E20" s="172" t="s">
        <v>253</v>
      </c>
    </row>
    <row r="21" spans="1:5" x14ac:dyDescent="0.25">
      <c r="A21" s="174"/>
      <c r="B21" s="174"/>
      <c r="C21" s="186"/>
      <c r="D21" s="187"/>
      <c r="E21" s="177"/>
    </row>
    <row r="22" spans="1:5" x14ac:dyDescent="0.25">
      <c r="A22" s="173" t="s">
        <v>254</v>
      </c>
      <c r="B22" s="174"/>
      <c r="C22" s="175"/>
      <c r="D22" s="176"/>
      <c r="E22" s="177"/>
    </row>
    <row r="23" spans="1:5" x14ac:dyDescent="0.25">
      <c r="A23" s="178" t="s">
        <v>255</v>
      </c>
      <c r="B23" s="174"/>
      <c r="C23" s="175"/>
      <c r="D23" s="176"/>
      <c r="E23" s="179" t="s">
        <v>256</v>
      </c>
    </row>
    <row r="24" spans="1:5" x14ac:dyDescent="0.25">
      <c r="A24" s="178" t="s">
        <v>257</v>
      </c>
      <c r="B24" s="174"/>
      <c r="C24" s="175"/>
      <c r="D24" s="176"/>
      <c r="E24" s="179" t="s">
        <v>258</v>
      </c>
    </row>
    <row r="25" spans="1:5" x14ac:dyDescent="0.25">
      <c r="A25" s="178" t="s">
        <v>259</v>
      </c>
      <c r="B25" s="174"/>
      <c r="C25" s="175"/>
      <c r="D25" s="176"/>
      <c r="E25" s="179" t="s">
        <v>260</v>
      </c>
    </row>
    <row r="26" spans="1:5" x14ac:dyDescent="0.25">
      <c r="A26" s="178" t="s">
        <v>261</v>
      </c>
      <c r="B26" s="174"/>
      <c r="C26" s="175"/>
      <c r="D26" s="176"/>
      <c r="E26" s="179" t="s">
        <v>262</v>
      </c>
    </row>
    <row r="27" spans="1:5" x14ac:dyDescent="0.25">
      <c r="A27" s="178" t="s">
        <v>263</v>
      </c>
      <c r="B27" s="174"/>
      <c r="C27" s="175"/>
      <c r="D27" s="176"/>
      <c r="E27" s="179" t="s">
        <v>264</v>
      </c>
    </row>
    <row r="28" spans="1:5" x14ac:dyDescent="0.25">
      <c r="A28" s="178" t="s">
        <v>265</v>
      </c>
      <c r="B28" s="174"/>
      <c r="C28" s="175"/>
      <c r="D28" s="176"/>
      <c r="E28" s="179" t="s">
        <v>266</v>
      </c>
    </row>
    <row r="29" spans="1:5" x14ac:dyDescent="0.25">
      <c r="A29" s="182" t="s">
        <v>267</v>
      </c>
      <c r="B29" s="183"/>
      <c r="C29" s="184">
        <f>SUBTOTAL(9,C23:C28)</f>
        <v>0</v>
      </c>
      <c r="D29" s="185">
        <f>SUBTOTAL(9,D23:D28)</f>
        <v>0</v>
      </c>
      <c r="E29" s="172" t="s">
        <v>268</v>
      </c>
    </row>
    <row r="30" spans="1:5" x14ac:dyDescent="0.25">
      <c r="A30" s="174"/>
      <c r="B30" s="174"/>
      <c r="C30" s="186"/>
      <c r="D30" s="187"/>
      <c r="E30" s="177"/>
    </row>
    <row r="31" spans="1:5" x14ac:dyDescent="0.25">
      <c r="A31" s="173" t="s">
        <v>269</v>
      </c>
      <c r="B31" s="174"/>
      <c r="C31" s="175"/>
      <c r="D31" s="176"/>
      <c r="E31" s="177"/>
    </row>
    <row r="32" spans="1:5" x14ac:dyDescent="0.25">
      <c r="A32" s="178" t="s">
        <v>270</v>
      </c>
      <c r="B32" s="174"/>
      <c r="C32" s="175"/>
      <c r="D32" s="176"/>
      <c r="E32" s="179" t="s">
        <v>271</v>
      </c>
    </row>
    <row r="33" spans="1:5" x14ac:dyDescent="0.25">
      <c r="A33" s="178" t="s">
        <v>272</v>
      </c>
      <c r="B33" s="174"/>
      <c r="C33" s="175"/>
      <c r="D33" s="176"/>
      <c r="E33" s="179" t="s">
        <v>273</v>
      </c>
    </row>
    <row r="34" spans="1:5" x14ac:dyDescent="0.25">
      <c r="A34" s="178" t="s">
        <v>274</v>
      </c>
      <c r="B34" s="174"/>
      <c r="C34" s="175"/>
      <c r="D34" s="176"/>
      <c r="E34" s="179" t="s">
        <v>275</v>
      </c>
    </row>
    <row r="35" spans="1:5" x14ac:dyDescent="0.25">
      <c r="A35" s="178" t="s">
        <v>276</v>
      </c>
      <c r="B35" s="174"/>
      <c r="C35" s="175"/>
      <c r="D35" s="176"/>
      <c r="E35" s="179" t="s">
        <v>277</v>
      </c>
    </row>
    <row r="36" spans="1:5" x14ac:dyDescent="0.25">
      <c r="A36" s="178" t="s">
        <v>278</v>
      </c>
      <c r="B36" s="174"/>
      <c r="C36" s="175"/>
      <c r="D36" s="176"/>
      <c r="E36" s="179" t="s">
        <v>279</v>
      </c>
    </row>
    <row r="37" spans="1:5" x14ac:dyDescent="0.25">
      <c r="A37" s="178" t="s">
        <v>280</v>
      </c>
      <c r="B37" s="174"/>
      <c r="C37" s="175"/>
      <c r="D37" s="176"/>
      <c r="E37" s="179" t="s">
        <v>281</v>
      </c>
    </row>
    <row r="38" spans="1:5" x14ac:dyDescent="0.25">
      <c r="A38" s="178" t="s">
        <v>282</v>
      </c>
      <c r="B38" s="174"/>
      <c r="C38" s="175"/>
      <c r="D38" s="176"/>
      <c r="E38" s="179" t="s">
        <v>283</v>
      </c>
    </row>
    <row r="39" spans="1:5" x14ac:dyDescent="0.25">
      <c r="A39" s="178" t="s">
        <v>284</v>
      </c>
      <c r="B39" s="174"/>
      <c r="C39" s="175"/>
      <c r="D39" s="176"/>
      <c r="E39" s="179" t="s">
        <v>285</v>
      </c>
    </row>
    <row r="40" spans="1:5" x14ac:dyDescent="0.25">
      <c r="A40" s="178" t="s">
        <v>286</v>
      </c>
      <c r="B40" s="174"/>
      <c r="C40" s="175"/>
      <c r="D40" s="176"/>
      <c r="E40" s="179" t="s">
        <v>287</v>
      </c>
    </row>
    <row r="41" spans="1:5" x14ac:dyDescent="0.25">
      <c r="A41" s="178" t="s">
        <v>288</v>
      </c>
      <c r="B41" s="174"/>
      <c r="C41" s="175"/>
      <c r="D41" s="176"/>
      <c r="E41" s="179" t="s">
        <v>289</v>
      </c>
    </row>
    <row r="42" spans="1:5" x14ac:dyDescent="0.25">
      <c r="A42" s="178" t="s">
        <v>290</v>
      </c>
      <c r="B42" s="174"/>
      <c r="C42" s="175"/>
      <c r="D42" s="176"/>
      <c r="E42" s="179" t="s">
        <v>291</v>
      </c>
    </row>
    <row r="43" spans="1:5" x14ac:dyDescent="0.25">
      <c r="A43" s="178" t="s">
        <v>292</v>
      </c>
      <c r="B43" s="174"/>
      <c r="C43" s="175"/>
      <c r="D43" s="176"/>
      <c r="E43" s="179" t="s">
        <v>293</v>
      </c>
    </row>
    <row r="44" spans="1:5" x14ac:dyDescent="0.25">
      <c r="A44" s="178" t="s">
        <v>294</v>
      </c>
      <c r="B44" s="174"/>
      <c r="C44" s="175"/>
      <c r="D44" s="176"/>
      <c r="E44" s="179" t="s">
        <v>295</v>
      </c>
    </row>
    <row r="45" spans="1:5" x14ac:dyDescent="0.25">
      <c r="A45" s="178" t="s">
        <v>296</v>
      </c>
      <c r="B45" s="174"/>
      <c r="C45" s="175"/>
      <c r="D45" s="176"/>
      <c r="E45" s="179" t="s">
        <v>297</v>
      </c>
    </row>
    <row r="46" spans="1:5" x14ac:dyDescent="0.25">
      <c r="A46" s="178" t="s">
        <v>298</v>
      </c>
      <c r="B46" s="174"/>
      <c r="C46" s="175"/>
      <c r="D46" s="176"/>
      <c r="E46" s="179" t="s">
        <v>299</v>
      </c>
    </row>
    <row r="47" spans="1:5" x14ac:dyDescent="0.25">
      <c r="A47" s="182" t="s">
        <v>300</v>
      </c>
      <c r="B47" s="183"/>
      <c r="C47" s="184">
        <f>SUBTOTAL(9,C32:C46)</f>
        <v>0</v>
      </c>
      <c r="D47" s="185">
        <f>SUBTOTAL(9,D32:D46)</f>
        <v>0</v>
      </c>
      <c r="E47" s="172" t="s">
        <v>301</v>
      </c>
    </row>
    <row r="48" spans="1:5" x14ac:dyDescent="0.25">
      <c r="A48" s="174"/>
      <c r="B48" s="174"/>
      <c r="C48" s="186"/>
      <c r="D48" s="187"/>
      <c r="E48" s="177"/>
    </row>
    <row r="49" spans="1:5" x14ac:dyDescent="0.25">
      <c r="A49" s="173" t="s">
        <v>302</v>
      </c>
      <c r="B49" s="174"/>
      <c r="C49" s="188"/>
      <c r="D49" s="189"/>
      <c r="E49" s="177" t="s">
        <v>303</v>
      </c>
    </row>
    <row r="50" spans="1:5" x14ac:dyDescent="0.25">
      <c r="A50" s="190" t="s">
        <v>304</v>
      </c>
      <c r="B50" s="183"/>
      <c r="C50" s="184">
        <f>SUBTOTAL(9,C8:C49)</f>
        <v>-429.39699999999993</v>
      </c>
      <c r="D50" s="185">
        <f>SUBTOTAL(9,D8:D49)</f>
        <v>911.28800000000012</v>
      </c>
      <c r="E50" s="191" t="s">
        <v>305</v>
      </c>
    </row>
    <row r="51" spans="1:5" x14ac:dyDescent="0.25">
      <c r="A51" s="190" t="s">
        <v>306</v>
      </c>
      <c r="B51" s="183"/>
      <c r="C51" s="192">
        <f>D52</f>
        <v>1977.288</v>
      </c>
      <c r="D51" s="450">
        <v>1066</v>
      </c>
      <c r="E51" s="191" t="s">
        <v>307</v>
      </c>
    </row>
    <row r="52" spans="1:5" x14ac:dyDescent="0.25">
      <c r="A52" s="193" t="s">
        <v>308</v>
      </c>
      <c r="B52" s="181"/>
      <c r="C52" s="184">
        <f>SUBTOTAL(9,C8:C51)</f>
        <v>1547.8910000000001</v>
      </c>
      <c r="D52" s="185">
        <f>SUBTOTAL(9,D8:D51)</f>
        <v>1977.288</v>
      </c>
      <c r="E52" s="194" t="s">
        <v>309</v>
      </c>
    </row>
    <row r="54" spans="1:5" ht="144" customHeight="1" x14ac:dyDescent="0.25">
      <c r="A54" s="472" t="s">
        <v>310</v>
      </c>
      <c r="B54" s="472"/>
      <c r="C54" s="472"/>
      <c r="D54" s="472"/>
      <c r="E54" s="472"/>
    </row>
    <row r="55" spans="1:5" x14ac:dyDescent="0.25">
      <c r="A55" s="471"/>
      <c r="B55" s="471"/>
      <c r="C55" s="471"/>
      <c r="D55" s="471"/>
      <c r="E55" s="471"/>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customProperties>
    <customPr name="OrphanNamesChecke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tabColor rgb="FF92D050"/>
    <pageSetUpPr fitToPage="1"/>
  </sheetPr>
  <dimension ref="A1:G74"/>
  <sheetViews>
    <sheetView topLeftCell="A36" zoomScaleNormal="100" workbookViewId="0">
      <selection activeCell="D25" sqref="D25"/>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7109375" style="54" bestFit="1" customWidth="1"/>
    <col min="7" max="7" width="15.42578125" style="54" customWidth="1"/>
    <col min="8" max="16384" width="11.42578125" style="54"/>
  </cols>
  <sheetData>
    <row r="1" spans="1:7" x14ac:dyDescent="0.2">
      <c r="A1" s="195" t="str">
        <f>Resultatregnskap!A1</f>
        <v>Fagskolens navn: Frelsesarmeens Offisersskole AS</v>
      </c>
      <c r="B1" s="453" t="s">
        <v>665</v>
      </c>
      <c r="C1" s="94"/>
      <c r="D1" s="94"/>
      <c r="E1" s="94"/>
      <c r="F1" s="94"/>
    </row>
    <row r="2" spans="1:7" x14ac:dyDescent="0.2">
      <c r="A2" s="94"/>
      <c r="B2" s="94"/>
      <c r="C2" s="94"/>
      <c r="D2" s="94"/>
      <c r="E2" s="94"/>
      <c r="F2" s="94"/>
    </row>
    <row r="3" spans="1:7" x14ac:dyDescent="0.2">
      <c r="A3" s="195" t="s">
        <v>311</v>
      </c>
      <c r="F3" s="94"/>
    </row>
    <row r="4" spans="1:7" x14ac:dyDescent="0.2">
      <c r="A4" s="196" t="s">
        <v>32</v>
      </c>
      <c r="B4" s="197"/>
      <c r="C4" s="197"/>
      <c r="D4" s="198"/>
      <c r="E4" s="198"/>
      <c r="F4" s="94"/>
    </row>
    <row r="5" spans="1:7" x14ac:dyDescent="0.2">
      <c r="A5" s="195"/>
      <c r="B5" s="199"/>
      <c r="C5" s="199"/>
      <c r="D5" s="199"/>
      <c r="E5" s="199"/>
      <c r="F5" s="199"/>
      <c r="G5" s="199"/>
    </row>
    <row r="6" spans="1:7" x14ac:dyDescent="0.2">
      <c r="A6" s="195" t="s">
        <v>312</v>
      </c>
      <c r="F6" s="94"/>
    </row>
    <row r="7" spans="1:7" ht="25.5" x14ac:dyDescent="0.2">
      <c r="A7" s="200" t="s">
        <v>664</v>
      </c>
      <c r="B7" s="201" t="s">
        <v>314</v>
      </c>
      <c r="C7" s="201" t="s">
        <v>315</v>
      </c>
      <c r="D7" s="202" t="s">
        <v>316</v>
      </c>
      <c r="E7" s="203" t="s">
        <v>317</v>
      </c>
      <c r="F7" s="204" t="s">
        <v>34</v>
      </c>
    </row>
    <row r="8" spans="1:7" x14ac:dyDescent="0.2">
      <c r="A8" s="205" t="s">
        <v>318</v>
      </c>
      <c r="B8" s="205"/>
      <c r="C8" s="205"/>
      <c r="D8" s="206"/>
      <c r="E8" s="207">
        <f>B8+C8+D8</f>
        <v>0</v>
      </c>
      <c r="F8" s="205" t="s">
        <v>319</v>
      </c>
    </row>
    <row r="9" spans="1:7" x14ac:dyDescent="0.2">
      <c r="A9" s="208" t="s">
        <v>320</v>
      </c>
      <c r="B9" s="208"/>
      <c r="C9" s="208"/>
      <c r="D9" s="209">
        <v>624</v>
      </c>
      <c r="E9" s="207">
        <f>B9+C9+D9</f>
        <v>624</v>
      </c>
      <c r="F9" s="208" t="s">
        <v>321</v>
      </c>
    </row>
    <row r="10" spans="1:7" x14ac:dyDescent="0.2">
      <c r="A10" s="210" t="s">
        <v>322</v>
      </c>
      <c r="B10" s="91">
        <f>883000/1000</f>
        <v>883</v>
      </c>
      <c r="C10" s="91"/>
      <c r="D10" s="209"/>
      <c r="E10" s="207">
        <f>B10+C10+D10</f>
        <v>883</v>
      </c>
      <c r="F10" s="208" t="s">
        <v>323</v>
      </c>
    </row>
    <row r="11" spans="1:7" x14ac:dyDescent="0.2">
      <c r="A11" s="208" t="s">
        <v>324</v>
      </c>
      <c r="B11" s="211"/>
      <c r="C11" s="211"/>
      <c r="D11" s="211"/>
      <c r="E11" s="212">
        <f>B11+C11+D11</f>
        <v>0</v>
      </c>
      <c r="F11" s="208" t="s">
        <v>325</v>
      </c>
    </row>
    <row r="12" spans="1:7" x14ac:dyDescent="0.2">
      <c r="A12" s="213" t="s">
        <v>326</v>
      </c>
      <c r="B12" s="214">
        <f>SUM(B8:B11)</f>
        <v>883</v>
      </c>
      <c r="C12" s="214">
        <f>SUM(C8:C11)</f>
        <v>0</v>
      </c>
      <c r="D12" s="214">
        <f>SUM(D8:D11)</f>
        <v>624</v>
      </c>
      <c r="E12" s="214">
        <f>B12+C12+D12</f>
        <v>1507</v>
      </c>
      <c r="F12" s="204" t="s">
        <v>327</v>
      </c>
    </row>
    <row r="13" spans="1:7" x14ac:dyDescent="0.2">
      <c r="A13" s="195"/>
      <c r="B13" s="215"/>
      <c r="C13" s="215"/>
      <c r="D13" s="215"/>
      <c r="E13" s="215"/>
      <c r="F13" s="198"/>
    </row>
    <row r="14" spans="1:7" x14ac:dyDescent="0.2">
      <c r="A14" s="195"/>
      <c r="B14" s="215"/>
      <c r="C14" s="215"/>
      <c r="D14" s="215"/>
      <c r="E14" s="215"/>
      <c r="F14" s="198"/>
    </row>
    <row r="15" spans="1:7" ht="25.5" x14ac:dyDescent="0.2">
      <c r="A15" s="213" t="s">
        <v>313</v>
      </c>
      <c r="B15" s="216" t="s">
        <v>328</v>
      </c>
      <c r="C15" s="216" t="s">
        <v>329</v>
      </c>
      <c r="D15" s="216" t="s">
        <v>330</v>
      </c>
      <c r="E15" s="203" t="s">
        <v>317</v>
      </c>
      <c r="F15" s="204" t="s">
        <v>34</v>
      </c>
      <c r="G15" s="217"/>
    </row>
    <row r="16" spans="1:7" x14ac:dyDescent="0.2">
      <c r="A16" s="205" t="s">
        <v>318</v>
      </c>
      <c r="B16" s="206"/>
      <c r="C16" s="206"/>
      <c r="D16" s="206"/>
      <c r="E16" s="209">
        <f>+B16+C16+D16</f>
        <v>0</v>
      </c>
      <c r="F16" s="424" t="s">
        <v>331</v>
      </c>
      <c r="G16" s="217"/>
    </row>
    <row r="17" spans="1:7" x14ac:dyDescent="0.2">
      <c r="A17" s="208" t="s">
        <v>320</v>
      </c>
      <c r="B17" s="209"/>
      <c r="C17" s="209"/>
      <c r="D17" s="209">
        <v>617</v>
      </c>
      <c r="E17" s="209">
        <f>+B17+C17+D17</f>
        <v>617</v>
      </c>
      <c r="F17" s="140" t="s">
        <v>332</v>
      </c>
      <c r="G17" s="217"/>
    </row>
    <row r="18" spans="1:7" x14ac:dyDescent="0.2">
      <c r="A18" s="210" t="s">
        <v>322</v>
      </c>
      <c r="B18" s="209">
        <v>766</v>
      </c>
      <c r="C18" s="209"/>
      <c r="D18" s="209"/>
      <c r="E18" s="209">
        <f>+B18+C18+D18</f>
        <v>766</v>
      </c>
      <c r="F18" s="140" t="s">
        <v>333</v>
      </c>
      <c r="G18" s="217"/>
    </row>
    <row r="19" spans="1:7" x14ac:dyDescent="0.2">
      <c r="A19" s="208" t="s">
        <v>324</v>
      </c>
      <c r="B19" s="211"/>
      <c r="C19" s="211"/>
      <c r="D19" s="211"/>
      <c r="E19" s="211">
        <f>+B19+C19+D19</f>
        <v>0</v>
      </c>
      <c r="F19" s="140" t="s">
        <v>334</v>
      </c>
      <c r="G19" s="217"/>
    </row>
    <row r="20" spans="1:7" x14ac:dyDescent="0.2">
      <c r="A20" s="213" t="s">
        <v>326</v>
      </c>
      <c r="B20" s="218">
        <f>SUM(B16:B19)</f>
        <v>766</v>
      </c>
      <c r="C20" s="218">
        <f>SUM(C16:C19)</f>
        <v>0</v>
      </c>
      <c r="D20" s="218">
        <f>SUM(D16:D19)</f>
        <v>617</v>
      </c>
      <c r="E20" s="218">
        <f>+B20+C20+D20</f>
        <v>1383</v>
      </c>
      <c r="F20" s="145" t="s">
        <v>335</v>
      </c>
      <c r="G20" s="219"/>
    </row>
    <row r="21" spans="1:7" x14ac:dyDescent="0.2">
      <c r="A21" s="195"/>
      <c r="B21" s="215"/>
      <c r="C21" s="215"/>
      <c r="D21" s="215"/>
      <c r="E21" s="215"/>
      <c r="F21" s="94"/>
    </row>
    <row r="22" spans="1:7" x14ac:dyDescent="0.2">
      <c r="A22" s="213" t="s">
        <v>336</v>
      </c>
      <c r="B22" s="220">
        <v>2024</v>
      </c>
      <c r="C22" s="221">
        <v>2023</v>
      </c>
      <c r="D22" s="215"/>
      <c r="E22" s="222"/>
      <c r="F22" s="223"/>
    </row>
    <row r="23" spans="1:7" x14ac:dyDescent="0.2">
      <c r="A23" s="204" t="s">
        <v>662</v>
      </c>
      <c r="B23" s="240">
        <v>623.79600000000005</v>
      </c>
      <c r="C23" s="240">
        <f>616.711</f>
        <v>616.71100000000001</v>
      </c>
      <c r="D23" s="215"/>
      <c r="E23" s="222"/>
      <c r="F23" s="219"/>
      <c r="G23" s="219"/>
    </row>
    <row r="24" spans="1:7" x14ac:dyDescent="0.2">
      <c r="A24" s="213"/>
      <c r="B24" s="214"/>
      <c r="C24" s="214"/>
      <c r="D24" s="215"/>
      <c r="E24" s="222"/>
      <c r="F24" s="94"/>
      <c r="G24" s="219"/>
    </row>
    <row r="25" spans="1:7" x14ac:dyDescent="0.2">
      <c r="A25" s="213"/>
      <c r="B25" s="214"/>
      <c r="C25" s="214"/>
      <c r="D25" s="215"/>
      <c r="E25" s="222"/>
      <c r="F25" s="223"/>
    </row>
    <row r="26" spans="1:7" x14ac:dyDescent="0.2">
      <c r="A26" s="224"/>
      <c r="B26" s="52"/>
      <c r="C26" s="53"/>
      <c r="D26" s="94"/>
      <c r="E26" s="94"/>
      <c r="F26" s="94"/>
    </row>
    <row r="27" spans="1:7" x14ac:dyDescent="0.2">
      <c r="A27" s="93" t="s">
        <v>337</v>
      </c>
      <c r="B27" s="52"/>
      <c r="C27" s="53"/>
      <c r="D27" s="94"/>
      <c r="E27" s="94"/>
      <c r="F27" s="94"/>
    </row>
    <row r="28" spans="1:7" x14ac:dyDescent="0.2">
      <c r="A28" s="225" t="s">
        <v>338</v>
      </c>
      <c r="B28" s="203">
        <f>Resultatregnskap!C6</f>
        <v>45657</v>
      </c>
      <c r="C28" s="226">
        <f>Resultatregnskap!D6</f>
        <v>45291</v>
      </c>
      <c r="D28" s="204" t="s">
        <v>34</v>
      </c>
      <c r="E28" s="198"/>
      <c r="F28" s="94"/>
    </row>
    <row r="29" spans="1:7" x14ac:dyDescent="0.2">
      <c r="A29" s="210" t="s">
        <v>339</v>
      </c>
      <c r="B29" s="209">
        <f>247000/1000</f>
        <v>247</v>
      </c>
      <c r="C29" s="227">
        <v>374.80900000000003</v>
      </c>
      <c r="D29" s="140" t="s">
        <v>340</v>
      </c>
      <c r="E29" s="198"/>
      <c r="F29" s="219"/>
    </row>
    <row r="30" spans="1:7" x14ac:dyDescent="0.2">
      <c r="A30" s="228" t="s">
        <v>341</v>
      </c>
      <c r="B30" s="209">
        <f>(6021529+13183)/1000</f>
        <v>6034.7120000000004</v>
      </c>
      <c r="C30" s="227">
        <v>6233.2510000000002</v>
      </c>
      <c r="D30" s="140" t="s">
        <v>342</v>
      </c>
      <c r="E30" s="198"/>
      <c r="F30" s="219"/>
    </row>
    <row r="31" spans="1:7" x14ac:dyDescent="0.2">
      <c r="A31" s="228" t="s">
        <v>343</v>
      </c>
      <c r="B31" s="211">
        <f>(571543+42121)/1000</f>
        <v>613.66399999999999</v>
      </c>
      <c r="C31" s="229">
        <f>1148.997</f>
        <v>1148.9970000000001</v>
      </c>
      <c r="D31" s="425" t="s">
        <v>344</v>
      </c>
      <c r="E31" s="198"/>
      <c r="F31" s="219"/>
    </row>
    <row r="32" spans="1:7" x14ac:dyDescent="0.2">
      <c r="A32" s="213" t="s">
        <v>345</v>
      </c>
      <c r="B32" s="230">
        <f>SUM(B29:B31)</f>
        <v>6895.3760000000002</v>
      </c>
      <c r="C32" s="218">
        <f>SUM(C29:C31)</f>
        <v>7757.0570000000007</v>
      </c>
      <c r="D32" s="425" t="s">
        <v>346</v>
      </c>
      <c r="E32" s="198"/>
      <c r="F32" s="219"/>
    </row>
    <row r="33" spans="1:6" x14ac:dyDescent="0.2">
      <c r="A33" s="195"/>
      <c r="B33" s="215"/>
      <c r="C33" s="217"/>
      <c r="D33" s="198"/>
      <c r="E33" s="198"/>
      <c r="F33" s="94"/>
    </row>
    <row r="34" spans="1:6" x14ac:dyDescent="0.2">
      <c r="A34" s="45" t="s">
        <v>347</v>
      </c>
      <c r="B34" s="215"/>
      <c r="C34" s="217"/>
      <c r="D34" s="198"/>
      <c r="E34" s="198"/>
    </row>
    <row r="35" spans="1:6" x14ac:dyDescent="0.2">
      <c r="A35" s="45"/>
      <c r="B35" s="215"/>
      <c r="C35" s="217"/>
      <c r="D35" s="198"/>
      <c r="E35" s="198"/>
    </row>
    <row r="36" spans="1:6" x14ac:dyDescent="0.2">
      <c r="A36" s="195" t="s">
        <v>348</v>
      </c>
    </row>
    <row r="37" spans="1:6" x14ac:dyDescent="0.2">
      <c r="B37" s="197"/>
      <c r="C37" s="231"/>
      <c r="D37" s="232"/>
      <c r="E37" s="232"/>
    </row>
    <row r="38" spans="1:6" x14ac:dyDescent="0.2">
      <c r="A38" s="233" t="s">
        <v>312</v>
      </c>
      <c r="B38" s="197"/>
      <c r="C38" s="231"/>
      <c r="D38" s="232"/>
      <c r="E38" s="232"/>
    </row>
    <row r="39" spans="1:6" x14ac:dyDescent="0.2">
      <c r="A39" s="196" t="s">
        <v>32</v>
      </c>
      <c r="B39" s="197"/>
      <c r="C39" s="231"/>
      <c r="D39" s="232"/>
      <c r="E39" s="232"/>
    </row>
    <row r="40" spans="1:6" x14ac:dyDescent="0.2">
      <c r="A40" s="234" t="s">
        <v>49</v>
      </c>
      <c r="B40" s="203">
        <f>Resultatregnskap!C6</f>
        <v>45657</v>
      </c>
      <c r="C40" s="226">
        <f>Resultatregnskap!D6</f>
        <v>45291</v>
      </c>
      <c r="D40" s="204" t="s">
        <v>34</v>
      </c>
      <c r="E40" s="198"/>
    </row>
    <row r="41" spans="1:6" x14ac:dyDescent="0.2">
      <c r="A41" s="205" t="s">
        <v>349</v>
      </c>
      <c r="B41" s="235">
        <f>536068/1000</f>
        <v>536.06799999999998</v>
      </c>
      <c r="C41" s="235">
        <v>964.38599999999997</v>
      </c>
      <c r="D41" s="236" t="s">
        <v>350</v>
      </c>
      <c r="E41" s="237"/>
    </row>
    <row r="42" spans="1:6" x14ac:dyDescent="0.2">
      <c r="A42" s="208" t="s">
        <v>351</v>
      </c>
      <c r="B42" s="238">
        <f>77048/1000</f>
        <v>77.048000000000002</v>
      </c>
      <c r="C42" s="238">
        <v>121.23399999999999</v>
      </c>
      <c r="D42" s="239" t="s">
        <v>352</v>
      </c>
      <c r="E42" s="237"/>
    </row>
    <row r="43" spans="1:6" x14ac:dyDescent="0.2">
      <c r="A43" s="208" t="s">
        <v>353</v>
      </c>
      <c r="B43" s="238">
        <f>94234/1000</f>
        <v>94.233999999999995</v>
      </c>
      <c r="C43" s="238">
        <v>170.102</v>
      </c>
      <c r="D43" s="239" t="s">
        <v>354</v>
      </c>
      <c r="E43" s="237"/>
    </row>
    <row r="44" spans="1:6" x14ac:dyDescent="0.2">
      <c r="A44" s="208" t="s">
        <v>355</v>
      </c>
      <c r="B44" s="238">
        <f>28285/1000</f>
        <v>28.285</v>
      </c>
      <c r="C44" s="238">
        <v>64.704999999999998</v>
      </c>
      <c r="D44" s="239" t="s">
        <v>356</v>
      </c>
      <c r="E44" s="237"/>
    </row>
    <row r="45" spans="1:6" x14ac:dyDescent="0.2">
      <c r="A45" s="208" t="s">
        <v>357</v>
      </c>
      <c r="B45" s="238"/>
      <c r="C45" s="238"/>
      <c r="D45" s="239" t="s">
        <v>358</v>
      </c>
      <c r="E45" s="237"/>
    </row>
    <row r="46" spans="1:6" x14ac:dyDescent="0.2">
      <c r="A46" s="208" t="s">
        <v>359</v>
      </c>
      <c r="B46" s="238">
        <f>4514046/1000</f>
        <v>4514.0460000000003</v>
      </c>
      <c r="C46" s="238">
        <v>4402.9139999999998</v>
      </c>
      <c r="D46" s="239" t="s">
        <v>360</v>
      </c>
      <c r="E46" s="237"/>
      <c r="F46" s="223"/>
    </row>
    <row r="47" spans="1:6" x14ac:dyDescent="0.2">
      <c r="A47" s="213" t="s">
        <v>361</v>
      </c>
      <c r="B47" s="214">
        <f>SUM(B41:B46)</f>
        <v>5249.6810000000005</v>
      </c>
      <c r="C47" s="240">
        <f>SUM(C41:C46)</f>
        <v>5723.3409999999994</v>
      </c>
      <c r="D47" s="241" t="s">
        <v>362</v>
      </c>
      <c r="E47" s="237"/>
    </row>
    <row r="48" spans="1:6" x14ac:dyDescent="0.2">
      <c r="A48" s="94"/>
      <c r="B48" s="242"/>
      <c r="C48" s="243"/>
      <c r="D48" s="244"/>
    </row>
    <row r="49" spans="1:6" x14ac:dyDescent="0.2">
      <c r="A49" s="213" t="s">
        <v>363</v>
      </c>
      <c r="B49" s="448">
        <v>4.4800000000000004</v>
      </c>
      <c r="C49" s="440">
        <v>5.35</v>
      </c>
      <c r="D49" s="241" t="s">
        <v>364</v>
      </c>
      <c r="E49" s="237"/>
    </row>
    <row r="50" spans="1:6" x14ac:dyDescent="0.2">
      <c r="A50" s="195"/>
      <c r="B50" s="243"/>
      <c r="C50" s="243"/>
      <c r="D50" s="243"/>
      <c r="E50" s="243"/>
    </row>
    <row r="51" spans="1:6" x14ac:dyDescent="0.2">
      <c r="A51" s="92" t="s">
        <v>337</v>
      </c>
      <c r="B51" s="94"/>
      <c r="C51" s="94"/>
      <c r="D51" s="94"/>
      <c r="E51" s="94"/>
    </row>
    <row r="52" spans="1:6" x14ac:dyDescent="0.2">
      <c r="A52" s="245" t="s">
        <v>365</v>
      </c>
      <c r="B52" s="94"/>
      <c r="C52" s="94"/>
      <c r="D52" s="94"/>
      <c r="E52" s="94"/>
    </row>
    <row r="53" spans="1:6" ht="26.25" x14ac:dyDescent="0.25">
      <c r="A53" s="246" t="s">
        <v>366</v>
      </c>
      <c r="B53" s="247" t="s">
        <v>367</v>
      </c>
      <c r="C53" s="248" t="s">
        <v>368</v>
      </c>
      <c r="D53" s="249" t="s">
        <v>34</v>
      </c>
      <c r="E53" s="250"/>
    </row>
    <row r="54" spans="1:6" ht="15" x14ac:dyDescent="0.25">
      <c r="A54" s="251" t="s">
        <v>369</v>
      </c>
      <c r="B54" s="252">
        <f>481480/1000</f>
        <v>481.48</v>
      </c>
      <c r="C54" s="253">
        <f>6559/1000</f>
        <v>6.5590000000000002</v>
      </c>
      <c r="D54" s="254" t="s">
        <v>370</v>
      </c>
      <c r="E54" s="255"/>
    </row>
    <row r="55" spans="1:6" ht="15" x14ac:dyDescent="0.25">
      <c r="A55" s="138" t="s">
        <v>371</v>
      </c>
      <c r="B55" s="256"/>
      <c r="C55" s="257"/>
      <c r="D55" s="258" t="s">
        <v>372</v>
      </c>
      <c r="E55" s="255"/>
    </row>
    <row r="56" spans="1:6" ht="15" x14ac:dyDescent="0.25">
      <c r="A56" s="138" t="s">
        <v>373</v>
      </c>
      <c r="B56" s="256"/>
      <c r="C56" s="257"/>
      <c r="D56" s="258" t="s">
        <v>374</v>
      </c>
      <c r="E56" s="255"/>
    </row>
    <row r="57" spans="1:6" ht="15" x14ac:dyDescent="0.25">
      <c r="A57" s="138" t="s">
        <v>375</v>
      </c>
      <c r="B57" s="256"/>
      <c r="C57" s="257"/>
      <c r="D57" s="258" t="s">
        <v>376</v>
      </c>
      <c r="E57" s="255"/>
      <c r="F57" s="223"/>
    </row>
    <row r="58" spans="1:6" ht="15" x14ac:dyDescent="0.25">
      <c r="A58" s="259" t="s">
        <v>377</v>
      </c>
      <c r="B58" s="260"/>
      <c r="C58" s="261"/>
      <c r="D58" s="262" t="s">
        <v>378</v>
      </c>
      <c r="E58" s="255"/>
    </row>
    <row r="59" spans="1:6" x14ac:dyDescent="0.2">
      <c r="A59" s="263"/>
      <c r="B59" s="264"/>
      <c r="C59" s="265"/>
      <c r="D59" s="265"/>
      <c r="E59" s="94"/>
    </row>
    <row r="60" spans="1:6" ht="26.25" x14ac:dyDescent="0.25">
      <c r="A60" s="246" t="s">
        <v>379</v>
      </c>
      <c r="B60" s="248" t="s">
        <v>380</v>
      </c>
      <c r="C60" s="248" t="s">
        <v>381</v>
      </c>
      <c r="D60" s="249" t="s">
        <v>34</v>
      </c>
      <c r="E60" s="250"/>
    </row>
    <row r="61" spans="1:6" ht="15" x14ac:dyDescent="0.25">
      <c r="A61" s="251" t="s">
        <v>382</v>
      </c>
      <c r="B61" s="253"/>
      <c r="C61" s="253"/>
      <c r="D61" s="254" t="s">
        <v>383</v>
      </c>
      <c r="E61" s="255"/>
    </row>
    <row r="62" spans="1:6" ht="15" x14ac:dyDescent="0.25">
      <c r="A62" s="138" t="s">
        <v>384</v>
      </c>
      <c r="B62" s="257"/>
      <c r="C62" s="257"/>
      <c r="D62" s="258" t="s">
        <v>385</v>
      </c>
      <c r="E62" s="255"/>
    </row>
    <row r="63" spans="1:6" ht="15" x14ac:dyDescent="0.25">
      <c r="A63" s="138" t="s">
        <v>386</v>
      </c>
      <c r="B63" s="257"/>
      <c r="C63" s="257"/>
      <c r="D63" s="258" t="s">
        <v>387</v>
      </c>
      <c r="E63" s="255"/>
    </row>
    <row r="64" spans="1:6" ht="15" x14ac:dyDescent="0.25">
      <c r="A64" s="138" t="s">
        <v>388</v>
      </c>
      <c r="B64" s="257"/>
      <c r="C64" s="257"/>
      <c r="D64" s="258" t="s">
        <v>389</v>
      </c>
      <c r="E64" s="255"/>
    </row>
    <row r="65" spans="1:5" ht="15" x14ac:dyDescent="0.25">
      <c r="A65" s="138" t="s">
        <v>390</v>
      </c>
      <c r="B65" s="257"/>
      <c r="C65" s="257"/>
      <c r="D65" s="258" t="s">
        <v>391</v>
      </c>
      <c r="E65" s="255"/>
    </row>
    <row r="66" spans="1:5" ht="15" x14ac:dyDescent="0.25">
      <c r="A66" s="138" t="s">
        <v>392</v>
      </c>
      <c r="B66" s="257"/>
      <c r="C66" s="257"/>
      <c r="D66" s="258" t="s">
        <v>393</v>
      </c>
      <c r="E66" s="255"/>
    </row>
    <row r="67" spans="1:5" ht="15" x14ac:dyDescent="0.25">
      <c r="A67" s="259" t="s">
        <v>394</v>
      </c>
      <c r="B67" s="261"/>
      <c r="C67" s="266"/>
      <c r="D67" s="262" t="s">
        <v>395</v>
      </c>
      <c r="E67" s="255"/>
    </row>
    <row r="68" spans="1:5" x14ac:dyDescent="0.2">
      <c r="A68" s="129"/>
      <c r="B68" s="94"/>
      <c r="C68" s="94"/>
      <c r="D68" s="94"/>
      <c r="E68" s="94"/>
    </row>
    <row r="69" spans="1:5" x14ac:dyDescent="0.2">
      <c r="A69" s="473" t="s">
        <v>396</v>
      </c>
      <c r="B69" s="473"/>
      <c r="C69" s="473"/>
      <c r="D69" s="267"/>
      <c r="E69" s="267"/>
    </row>
    <row r="70" spans="1:5" x14ac:dyDescent="0.2">
      <c r="A70" s="473"/>
      <c r="B70" s="473"/>
      <c r="C70" s="473"/>
      <c r="D70" s="267"/>
      <c r="E70" s="267"/>
    </row>
    <row r="71" spans="1:5" ht="92.45" customHeight="1" x14ac:dyDescent="0.2">
      <c r="A71" s="473"/>
      <c r="B71" s="473"/>
      <c r="C71" s="473"/>
      <c r="D71" s="267"/>
      <c r="E71" s="267"/>
    </row>
    <row r="72" spans="1:5" x14ac:dyDescent="0.2">
      <c r="A72" s="129"/>
      <c r="B72" s="94"/>
      <c r="C72" s="94"/>
      <c r="D72" s="94"/>
      <c r="E72" s="94"/>
    </row>
    <row r="73" spans="1:5" ht="14.25" x14ac:dyDescent="0.2">
      <c r="A73" s="268"/>
      <c r="B73" s="269"/>
      <c r="C73" s="269"/>
    </row>
    <row r="74" spans="1:5" ht="14.25" x14ac:dyDescent="0.2">
      <c r="A74" s="269"/>
      <c r="B74" s="269"/>
      <c r="C74" s="269"/>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scale="99" fitToHeight="0" orientation="landscape" verticalDpi="1200" r:id="rId1"/>
  <headerFooter>
    <oddFooter>&amp;C&amp;"Calibri"&amp;11&amp;K000000_x000D_&amp;1#&amp;"Calibri"&amp;10&amp;KFFFF00HK-dir Intern</oddFooter>
  </headerFooter>
  <customProperties>
    <customPr name="OrphanNamesChecke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25"/>
  <sheetViews>
    <sheetView zoomScaleNormal="100" workbookViewId="0">
      <selection activeCell="C3" sqref="C3"/>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0" t="str">
        <f>Resultatregnskap!A1</f>
        <v>Fagskolens navn: Frelsesarmeens Offisersskole AS</v>
      </c>
      <c r="B1" s="453" t="s">
        <v>665</v>
      </c>
      <c r="C1" s="243"/>
      <c r="D1" s="271"/>
    </row>
    <row r="2" spans="1:4" x14ac:dyDescent="0.2">
      <c r="A2" s="272"/>
      <c r="B2" s="273"/>
      <c r="C2" s="273"/>
      <c r="D2" s="271"/>
    </row>
    <row r="3" spans="1:4" x14ac:dyDescent="0.2">
      <c r="A3" s="274" t="s">
        <v>397</v>
      </c>
      <c r="B3" s="275"/>
      <c r="C3" s="275"/>
      <c r="D3" s="276"/>
    </row>
    <row r="4" spans="1:4" x14ac:dyDescent="0.2">
      <c r="A4" s="277" t="s">
        <v>32</v>
      </c>
      <c r="B4" s="275"/>
      <c r="C4" s="275"/>
      <c r="D4" s="276"/>
    </row>
    <row r="5" spans="1:4" x14ac:dyDescent="0.2">
      <c r="A5" s="278"/>
      <c r="B5" s="279">
        <f>Resultatregnskap!C6</f>
        <v>45657</v>
      </c>
      <c r="C5" s="280">
        <f>Resultatregnskap!D6</f>
        <v>45291</v>
      </c>
      <c r="D5" s="281" t="s">
        <v>34</v>
      </c>
    </row>
    <row r="6" spans="1:4" x14ac:dyDescent="0.2">
      <c r="A6" s="282" t="s">
        <v>398</v>
      </c>
      <c r="B6" s="283">
        <f>1561480/1000</f>
        <v>1561.48</v>
      </c>
      <c r="C6" s="283">
        <v>1544.16</v>
      </c>
      <c r="D6" s="284" t="s">
        <v>399</v>
      </c>
    </row>
    <row r="7" spans="1:4" x14ac:dyDescent="0.2">
      <c r="A7" s="282" t="s">
        <v>400</v>
      </c>
      <c r="B7" s="285">
        <f>31914/1000</f>
        <v>31.914000000000001</v>
      </c>
      <c r="C7" s="285">
        <v>36.347000000000001</v>
      </c>
      <c r="D7" s="284" t="s">
        <v>401</v>
      </c>
    </row>
    <row r="8" spans="1:4" x14ac:dyDescent="0.2">
      <c r="A8" s="282" t="s">
        <v>402</v>
      </c>
      <c r="B8" s="285"/>
      <c r="C8" s="285"/>
      <c r="D8" s="284" t="s">
        <v>403</v>
      </c>
    </row>
    <row r="9" spans="1:4" x14ac:dyDescent="0.2">
      <c r="A9" s="282" t="s">
        <v>404</v>
      </c>
      <c r="B9" s="285"/>
      <c r="C9" s="285"/>
      <c r="D9" s="284" t="s">
        <v>405</v>
      </c>
    </row>
    <row r="10" spans="1:4" x14ac:dyDescent="0.2">
      <c r="A10" s="282" t="s">
        <v>406</v>
      </c>
      <c r="B10" s="285">
        <f>110875/1000</f>
        <v>110.875</v>
      </c>
      <c r="C10" s="285">
        <v>105.125</v>
      </c>
      <c r="D10" s="284" t="s">
        <v>407</v>
      </c>
    </row>
    <row r="11" spans="1:4" x14ac:dyDescent="0.2">
      <c r="A11" s="282" t="s">
        <v>408</v>
      </c>
      <c r="B11" s="285">
        <f>167271/1000</f>
        <v>167.27099999999999</v>
      </c>
      <c r="C11" s="285">
        <v>45.027000000000001</v>
      </c>
      <c r="D11" s="284" t="s">
        <v>409</v>
      </c>
    </row>
    <row r="12" spans="1:4" x14ac:dyDescent="0.2">
      <c r="A12" s="282" t="s">
        <v>410</v>
      </c>
      <c r="B12" s="285"/>
      <c r="C12" s="285"/>
      <c r="D12" s="284" t="s">
        <v>411</v>
      </c>
    </row>
    <row r="13" spans="1:4" x14ac:dyDescent="0.2">
      <c r="A13" s="282" t="s">
        <v>412</v>
      </c>
      <c r="B13" s="285"/>
      <c r="C13" s="285"/>
      <c r="D13" s="284" t="s">
        <v>413</v>
      </c>
    </row>
    <row r="14" spans="1:4" x14ac:dyDescent="0.2">
      <c r="A14" s="282" t="s">
        <v>414</v>
      </c>
      <c r="B14" s="285">
        <f>26403/1000</f>
        <v>26.402999999999999</v>
      </c>
      <c r="C14" s="285">
        <v>24.393999999999998</v>
      </c>
      <c r="D14" s="284" t="s">
        <v>415</v>
      </c>
    </row>
    <row r="15" spans="1:4" x14ac:dyDescent="0.2">
      <c r="A15" s="282" t="s">
        <v>416</v>
      </c>
      <c r="B15" s="285">
        <f>556748/1000</f>
        <v>556.74800000000005</v>
      </c>
      <c r="C15" s="285">
        <v>680.04100000000005</v>
      </c>
      <c r="D15" s="284" t="s">
        <v>417</v>
      </c>
    </row>
    <row r="16" spans="1:4" x14ac:dyDescent="0.2">
      <c r="A16" s="286" t="s">
        <v>418</v>
      </c>
      <c r="B16" s="287">
        <f>666876/1000</f>
        <v>666.87599999999998</v>
      </c>
      <c r="C16" s="287">
        <v>793.71</v>
      </c>
      <c r="D16" s="284" t="s">
        <v>419</v>
      </c>
    </row>
    <row r="17" spans="1:5" ht="15.75" customHeight="1" x14ac:dyDescent="0.2">
      <c r="A17" s="288" t="s">
        <v>420</v>
      </c>
      <c r="B17" s="289">
        <f>SUM(B6:B16)</f>
        <v>3121.567</v>
      </c>
      <c r="C17" s="290">
        <f>SUM(C6:C16)</f>
        <v>3228.8040000000001</v>
      </c>
      <c r="D17" s="291" t="s">
        <v>421</v>
      </c>
    </row>
    <row r="18" spans="1:5" x14ac:dyDescent="0.2">
      <c r="A18" s="292"/>
      <c r="B18" s="293"/>
      <c r="C18" s="294"/>
      <c r="D18" s="295"/>
    </row>
    <row r="19" spans="1:5" x14ac:dyDescent="0.2">
      <c r="A19" s="296" t="s">
        <v>422</v>
      </c>
      <c r="B19" s="297">
        <f>B5</f>
        <v>45657</v>
      </c>
      <c r="C19" s="298">
        <f>C5</f>
        <v>45291</v>
      </c>
      <c r="D19" s="299"/>
    </row>
    <row r="20" spans="1:5" x14ac:dyDescent="0.2">
      <c r="A20" s="138" t="s">
        <v>423</v>
      </c>
      <c r="B20" s="285">
        <f>86875/1000</f>
        <v>86.875</v>
      </c>
      <c r="C20" s="285">
        <v>76.25</v>
      </c>
      <c r="D20" s="300" t="s">
        <v>424</v>
      </c>
    </row>
    <row r="21" spans="1:5" x14ac:dyDescent="0.2">
      <c r="A21" s="138" t="s">
        <v>425</v>
      </c>
      <c r="B21" s="257"/>
      <c r="C21" s="257"/>
      <c r="D21" s="300" t="s">
        <v>426</v>
      </c>
      <c r="E21" s="301"/>
    </row>
    <row r="22" spans="1:5" x14ac:dyDescent="0.2">
      <c r="A22" s="138" t="s">
        <v>427</v>
      </c>
      <c r="B22" s="257">
        <f>24000/1000</f>
        <v>24</v>
      </c>
      <c r="C22" s="257">
        <v>28.875</v>
      </c>
      <c r="D22" s="300" t="s">
        <v>428</v>
      </c>
    </row>
    <row r="23" spans="1:5" x14ac:dyDescent="0.2">
      <c r="A23" s="296" t="s">
        <v>317</v>
      </c>
      <c r="B23" s="225">
        <f>SUBTOTAL(9,B20:B22)</f>
        <v>110.875</v>
      </c>
      <c r="C23" s="302">
        <f>SUBTOTAL(9,C20:C22)</f>
        <v>105.125</v>
      </c>
      <c r="D23" s="299" t="s">
        <v>429</v>
      </c>
    </row>
    <row r="24" spans="1:5" x14ac:dyDescent="0.2">
      <c r="A24" s="129"/>
      <c r="B24" s="94"/>
      <c r="C24" s="94"/>
      <c r="D24" s="303"/>
    </row>
    <row r="25" spans="1:5" ht="42" customHeight="1" x14ac:dyDescent="0.2">
      <c r="A25" s="473" t="s">
        <v>430</v>
      </c>
      <c r="B25" s="474"/>
      <c r="C25" s="474"/>
      <c r="D25" s="474"/>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tabColor rgb="FF92D050"/>
    <pageSetUpPr fitToPage="1"/>
  </sheetPr>
  <dimension ref="A1:J65"/>
  <sheetViews>
    <sheetView topLeftCell="A33" zoomScale="80" zoomScaleNormal="80" workbookViewId="0">
      <selection activeCell="H57" sqref="H57"/>
    </sheetView>
  </sheetViews>
  <sheetFormatPr baseColWidth="10" defaultColWidth="17.42578125" defaultRowHeight="15.75" customHeight="1" x14ac:dyDescent="0.2"/>
  <cols>
    <col min="1" max="1" width="44.7109375" style="335" customWidth="1"/>
    <col min="2" max="2" width="24.7109375" style="335" customWidth="1"/>
    <col min="3" max="3" width="21.42578125" style="335" customWidth="1"/>
    <col min="4" max="4" width="24.140625" style="306" customWidth="1"/>
    <col min="5" max="5" width="23.140625" style="61" customWidth="1"/>
    <col min="6" max="6" width="14.7109375" style="61" customWidth="1"/>
    <col min="7" max="16384" width="17.42578125" style="61"/>
  </cols>
  <sheetData>
    <row r="1" spans="1:10" ht="12.75" customHeight="1" x14ac:dyDescent="0.2">
      <c r="A1" s="304"/>
      <c r="B1" s="305"/>
      <c r="C1" s="305"/>
    </row>
    <row r="2" spans="1:10" ht="12.75" x14ac:dyDescent="0.2">
      <c r="A2" s="307" t="str">
        <f>Resultatregnskap!A1</f>
        <v>Fagskolens navn: Frelsesarmeens Offisersskole AS</v>
      </c>
      <c r="B2" s="453" t="s">
        <v>665</v>
      </c>
      <c r="C2" s="308"/>
      <c r="D2" s="309"/>
      <c r="E2" s="310"/>
      <c r="F2" s="310"/>
    </row>
    <row r="3" spans="1:10" ht="12.75" x14ac:dyDescent="0.2">
      <c r="A3" s="305"/>
      <c r="B3" s="305"/>
      <c r="C3" s="305"/>
    </row>
    <row r="4" spans="1:10" ht="14.25" customHeight="1" x14ac:dyDescent="0.2">
      <c r="A4" s="311" t="s">
        <v>431</v>
      </c>
      <c r="B4" s="273"/>
      <c r="C4" s="273"/>
      <c r="D4" s="273"/>
      <c r="E4" s="273"/>
      <c r="F4" s="273"/>
    </row>
    <row r="5" spans="1:10" ht="14.25" customHeight="1" x14ac:dyDescent="0.2">
      <c r="A5" s="312" t="s">
        <v>32</v>
      </c>
      <c r="B5" s="273"/>
      <c r="C5" s="273"/>
      <c r="D5" s="273"/>
      <c r="E5" s="273"/>
      <c r="F5" s="313"/>
    </row>
    <row r="6" spans="1:10" ht="12.75" customHeight="1" x14ac:dyDescent="0.2">
      <c r="A6" s="273"/>
      <c r="B6" s="273"/>
      <c r="C6" s="273"/>
      <c r="D6" s="273"/>
      <c r="E6" s="273"/>
      <c r="F6" s="314"/>
    </row>
    <row r="7" spans="1:10" ht="25.5" x14ac:dyDescent="0.2">
      <c r="A7" s="315" t="s">
        <v>432</v>
      </c>
      <c r="B7" s="316" t="s">
        <v>433</v>
      </c>
      <c r="C7" s="317" t="s">
        <v>434</v>
      </c>
      <c r="D7" s="316" t="s">
        <v>435</v>
      </c>
      <c r="E7" s="316" t="s">
        <v>436</v>
      </c>
      <c r="F7" s="318" t="s">
        <v>34</v>
      </c>
    </row>
    <row r="8" spans="1:10" ht="15" customHeight="1" x14ac:dyDescent="0.2">
      <c r="A8" s="273" t="s">
        <v>437</v>
      </c>
      <c r="B8" s="319"/>
      <c r="C8" s="319">
        <v>0</v>
      </c>
      <c r="D8" s="319"/>
      <c r="E8" s="90">
        <v>0.80900000000000005</v>
      </c>
      <c r="F8" s="300" t="s">
        <v>438</v>
      </c>
    </row>
    <row r="9" spans="1:10" ht="15" customHeight="1" x14ac:dyDescent="0.2">
      <c r="A9" s="273" t="s">
        <v>439</v>
      </c>
      <c r="B9" s="90"/>
      <c r="C9" s="90">
        <v>0</v>
      </c>
      <c r="D9" s="90"/>
      <c r="E9" s="90">
        <v>0</v>
      </c>
      <c r="F9" s="300" t="s">
        <v>440</v>
      </c>
      <c r="H9" s="451"/>
    </row>
    <row r="10" spans="1:10" ht="15" customHeight="1" x14ac:dyDescent="0.2">
      <c r="A10" s="273" t="s">
        <v>441</v>
      </c>
      <c r="B10" s="320"/>
      <c r="C10" s="90">
        <f>134160/1000</f>
        <v>134.16</v>
      </c>
      <c r="D10" s="320"/>
      <c r="E10" s="90">
        <v>129</v>
      </c>
      <c r="F10" s="300" t="s">
        <v>442</v>
      </c>
    </row>
    <row r="11" spans="1:10" ht="15" customHeight="1" x14ac:dyDescent="0.2">
      <c r="A11" s="321" t="s">
        <v>443</v>
      </c>
      <c r="B11" s="322">
        <f>SUM(B8:B10)</f>
        <v>0</v>
      </c>
      <c r="C11" s="322">
        <f>SUM(C8:C10)</f>
        <v>134.16</v>
      </c>
      <c r="D11" s="323">
        <f>SUM(D8:D10)</f>
        <v>0</v>
      </c>
      <c r="E11" s="323">
        <f>SUM(E8:E10)</f>
        <v>129.809</v>
      </c>
      <c r="F11" s="299" t="s">
        <v>444</v>
      </c>
      <c r="H11" s="451"/>
      <c r="I11" s="451"/>
      <c r="J11" s="451"/>
    </row>
    <row r="12" spans="1:10" ht="15" customHeight="1" x14ac:dyDescent="0.2">
      <c r="A12" s="273"/>
      <c r="B12" s="324"/>
      <c r="C12" s="324"/>
      <c r="D12" s="324"/>
      <c r="E12" s="324"/>
      <c r="F12" s="303"/>
    </row>
    <row r="13" spans="1:10" ht="20.100000000000001" customHeight="1" x14ac:dyDescent="0.2">
      <c r="A13" s="273"/>
      <c r="B13" s="273"/>
      <c r="C13" s="273"/>
      <c r="D13" s="273"/>
      <c r="E13" s="273"/>
      <c r="F13" s="129"/>
    </row>
    <row r="14" spans="1:10" ht="25.5" x14ac:dyDescent="0.2">
      <c r="A14" s="315" t="s">
        <v>445</v>
      </c>
      <c r="B14" s="316" t="str">
        <f>B7</f>
        <v>Fagskolevirksomhet 31.12.2024</v>
      </c>
      <c r="C14" s="316" t="str">
        <f t="shared" ref="C14:D14" si="0">C7</f>
        <v>Annen virksomhet 31.12.2024</v>
      </c>
      <c r="D14" s="316" t="str">
        <f t="shared" si="0"/>
        <v>Fagskolevirksomhet 31.12.2023</v>
      </c>
      <c r="E14" s="316" t="str">
        <f>E7</f>
        <v>Annen virksomhet 31.12.2023</v>
      </c>
      <c r="F14" s="318" t="s">
        <v>34</v>
      </c>
    </row>
    <row r="15" spans="1:10" ht="15" customHeight="1" x14ac:dyDescent="0.2">
      <c r="A15" s="273" t="s">
        <v>446</v>
      </c>
      <c r="B15" s="90">
        <f>(12300+33670)/1000</f>
        <v>45.97</v>
      </c>
      <c r="C15" s="319"/>
      <c r="D15" s="319">
        <v>10.44</v>
      </c>
      <c r="E15" s="90"/>
      <c r="F15" s="300" t="s">
        <v>447</v>
      </c>
    </row>
    <row r="16" spans="1:10" ht="15" customHeight="1" x14ac:dyDescent="0.2">
      <c r="A16" s="273" t="s">
        <v>448</v>
      </c>
      <c r="B16" s="90">
        <f>(4660231/1000)-C16+264</f>
        <v>4438.2309999999998</v>
      </c>
      <c r="C16" s="90">
        <v>486</v>
      </c>
      <c r="D16" s="90">
        <v>4800</v>
      </c>
      <c r="E16" s="90">
        <v>0</v>
      </c>
      <c r="F16" s="300" t="s">
        <v>449</v>
      </c>
    </row>
    <row r="17" spans="1:8" ht="15" customHeight="1" x14ac:dyDescent="0.2">
      <c r="A17" s="273" t="s">
        <v>450</v>
      </c>
      <c r="B17" s="320">
        <f>1058635/1000</f>
        <v>1058.635</v>
      </c>
      <c r="C17" s="320">
        <f>502845/1000</f>
        <v>502.84500000000003</v>
      </c>
      <c r="D17" s="320">
        <v>1216.6640000000002</v>
      </c>
      <c r="E17" s="90">
        <v>327.49599999999998</v>
      </c>
      <c r="F17" s="300" t="s">
        <v>451</v>
      </c>
    </row>
    <row r="18" spans="1:8" ht="15" customHeight="1" x14ac:dyDescent="0.2">
      <c r="A18" s="321" t="s">
        <v>452</v>
      </c>
      <c r="B18" s="322">
        <f>SUM(B15:B17)</f>
        <v>5542.8360000000002</v>
      </c>
      <c r="C18" s="322">
        <f>SUM(C15:C17)</f>
        <v>988.84500000000003</v>
      </c>
      <c r="D18" s="323">
        <f>SUM(D15:D17)</f>
        <v>6027.1039999999994</v>
      </c>
      <c r="E18" s="323">
        <f>SUM(E15:E17)</f>
        <v>327.49599999999998</v>
      </c>
      <c r="F18" s="299" t="s">
        <v>453</v>
      </c>
    </row>
    <row r="19" spans="1:8" ht="15.75" customHeight="1" x14ac:dyDescent="0.2">
      <c r="A19" s="273"/>
      <c r="B19" s="273"/>
      <c r="C19" s="273"/>
      <c r="D19" s="273"/>
      <c r="E19" s="273"/>
      <c r="F19" s="314"/>
    </row>
    <row r="20" spans="1:8" ht="15.75" customHeight="1" x14ac:dyDescent="0.2">
      <c r="A20" s="478" t="s">
        <v>454</v>
      </c>
      <c r="B20" s="478"/>
      <c r="C20" s="478"/>
      <c r="D20" s="478"/>
      <c r="E20" s="478"/>
      <c r="F20" s="478"/>
    </row>
    <row r="21" spans="1:8" ht="15.75" customHeight="1" x14ac:dyDescent="0.2">
      <c r="A21" s="321" t="s">
        <v>455</v>
      </c>
      <c r="B21" s="479" t="s">
        <v>456</v>
      </c>
      <c r="C21" s="480"/>
      <c r="D21" s="326" t="str">
        <f>"Beløp "&amp;TEXT('Balanse - eiendeler'!C5,"DD.MM.ÅÅÅÅ")</f>
        <v>Beløp 31.12.2024</v>
      </c>
      <c r="E21" s="326" t="str">
        <f>"Beløp "&amp;TEXT('Balanse - eiendeler'!D5,"DD.MM.ÅÅÅÅ")</f>
        <v>Beløp 31.12.2023</v>
      </c>
      <c r="F21" s="318" t="s">
        <v>34</v>
      </c>
    </row>
    <row r="22" spans="1:8" ht="15.75" customHeight="1" x14ac:dyDescent="0.2">
      <c r="A22" s="273" t="s">
        <v>651</v>
      </c>
      <c r="B22" s="444" t="s">
        <v>437</v>
      </c>
      <c r="C22" s="441"/>
      <c r="D22" s="319">
        <v>0</v>
      </c>
      <c r="E22" s="90">
        <v>1</v>
      </c>
      <c r="F22" s="300" t="s">
        <v>457</v>
      </c>
      <c r="G22" s="451"/>
    </row>
    <row r="23" spans="1:8" ht="15.75" customHeight="1" x14ac:dyDescent="0.2">
      <c r="A23" s="273" t="s">
        <v>651</v>
      </c>
      <c r="B23" s="445" t="s">
        <v>441</v>
      </c>
      <c r="C23" s="439"/>
      <c r="D23" s="458">
        <v>134</v>
      </c>
      <c r="E23" s="90">
        <v>129</v>
      </c>
      <c r="F23" s="300" t="s">
        <v>457</v>
      </c>
    </row>
    <row r="24" spans="1:8" ht="15.75" customHeight="1" x14ac:dyDescent="0.2">
      <c r="A24" s="273" t="s">
        <v>652</v>
      </c>
      <c r="B24" s="445" t="s">
        <v>654</v>
      </c>
      <c r="C24" s="439"/>
      <c r="D24" s="459">
        <f>(12300+33670)/(1000)</f>
        <v>45.97</v>
      </c>
      <c r="E24" s="90">
        <v>10.44</v>
      </c>
      <c r="F24" s="300" t="s">
        <v>457</v>
      </c>
    </row>
    <row r="25" spans="1:8" ht="15.75" customHeight="1" x14ac:dyDescent="0.2">
      <c r="A25" s="273" t="s">
        <v>652</v>
      </c>
      <c r="B25" s="445" t="s">
        <v>655</v>
      </c>
      <c r="C25" s="439"/>
      <c r="D25" s="459">
        <v>410</v>
      </c>
      <c r="E25" s="90">
        <v>398.47500000000002</v>
      </c>
      <c r="F25" s="300" t="s">
        <v>457</v>
      </c>
      <c r="G25" s="457"/>
      <c r="H25" s="454"/>
    </row>
    <row r="26" spans="1:8" ht="15.75" customHeight="1" x14ac:dyDescent="0.2">
      <c r="A26" s="273" t="s">
        <v>652</v>
      </c>
      <c r="B26" s="445" t="s">
        <v>656</v>
      </c>
      <c r="C26" s="442"/>
      <c r="D26" s="459">
        <v>4514</v>
      </c>
      <c r="E26" s="90">
        <v>4402</v>
      </c>
      <c r="F26" s="300" t="s">
        <v>457</v>
      </c>
      <c r="G26" s="451"/>
      <c r="H26" s="451"/>
    </row>
    <row r="27" spans="1:8" ht="15.75" customHeight="1" x14ac:dyDescent="0.2">
      <c r="A27" s="273" t="s">
        <v>652</v>
      </c>
      <c r="B27" s="445" t="s">
        <v>450</v>
      </c>
      <c r="C27" s="442"/>
      <c r="D27" s="90">
        <v>473</v>
      </c>
      <c r="E27" s="90">
        <v>474</v>
      </c>
      <c r="F27" s="300" t="s">
        <v>457</v>
      </c>
      <c r="G27" s="451"/>
      <c r="H27" s="451"/>
    </row>
    <row r="28" spans="1:8" ht="15.75" customHeight="1" x14ac:dyDescent="0.2">
      <c r="A28" s="273" t="s">
        <v>653</v>
      </c>
      <c r="B28" s="446" t="s">
        <v>450</v>
      </c>
      <c r="C28" s="443"/>
      <c r="D28" s="459">
        <f>1561.5-472.8</f>
        <v>1088.7</v>
      </c>
      <c r="E28" s="90">
        <v>1070.1600000000001</v>
      </c>
      <c r="F28" s="300" t="s">
        <v>457</v>
      </c>
    </row>
    <row r="29" spans="1:8" ht="15.75" customHeight="1" x14ac:dyDescent="0.2">
      <c r="A29" s="321" t="s">
        <v>458</v>
      </c>
      <c r="B29" s="475"/>
      <c r="C29" s="476"/>
      <c r="D29" s="322">
        <f>SUM(D22:D28)</f>
        <v>6665.67</v>
      </c>
      <c r="E29" s="323">
        <f>SUM(E22:E28)</f>
        <v>6485.0749999999998</v>
      </c>
      <c r="F29" s="299" t="s">
        <v>459</v>
      </c>
    </row>
    <row r="30" spans="1:8" ht="15.75" customHeight="1" x14ac:dyDescent="0.2">
      <c r="A30" s="325"/>
      <c r="B30" s="325"/>
      <c r="C30" s="325"/>
      <c r="D30" s="325"/>
      <c r="E30" s="325"/>
      <c r="F30" s="325"/>
    </row>
    <row r="31" spans="1:8" ht="15.75" customHeight="1" x14ac:dyDescent="0.2">
      <c r="A31" s="311" t="s">
        <v>460</v>
      </c>
      <c r="B31" s="311"/>
      <c r="C31" s="311"/>
      <c r="D31" s="455"/>
      <c r="E31" s="311"/>
      <c r="F31" s="311"/>
      <c r="G31" s="327"/>
    </row>
    <row r="32" spans="1:8" ht="15.75" customHeight="1" x14ac:dyDescent="0.2">
      <c r="A32" s="312" t="s">
        <v>32</v>
      </c>
      <c r="B32" s="273"/>
      <c r="C32" s="273"/>
      <c r="D32" s="456"/>
      <c r="E32" s="273"/>
      <c r="F32" s="273"/>
    </row>
    <row r="33" spans="1:6" ht="15.75" customHeight="1" x14ac:dyDescent="0.2">
      <c r="A33" s="94"/>
      <c r="B33" s="94"/>
      <c r="C33" s="94"/>
      <c r="D33" s="94"/>
      <c r="E33" s="94"/>
      <c r="F33" s="273"/>
    </row>
    <row r="34" spans="1:6" ht="25.5" x14ac:dyDescent="0.2">
      <c r="A34" s="321" t="s">
        <v>461</v>
      </c>
      <c r="B34" s="316" t="str">
        <f>B7</f>
        <v>Fagskolevirksomhet 31.12.2024</v>
      </c>
      <c r="C34" s="316" t="str">
        <f t="shared" ref="C34:E34" si="1">C7</f>
        <v>Annen virksomhet 31.12.2024</v>
      </c>
      <c r="D34" s="316" t="str">
        <f t="shared" si="1"/>
        <v>Fagskolevirksomhet 31.12.2023</v>
      </c>
      <c r="E34" s="316" t="str">
        <f t="shared" si="1"/>
        <v>Annen virksomhet 31.12.2023</v>
      </c>
      <c r="F34" s="318" t="s">
        <v>34</v>
      </c>
    </row>
    <row r="35" spans="1:6" ht="15.75" customHeight="1" x14ac:dyDescent="0.2">
      <c r="A35" s="328" t="s">
        <v>462</v>
      </c>
      <c r="B35" s="319"/>
      <c r="C35" s="319"/>
      <c r="D35" s="319"/>
      <c r="E35" s="90"/>
      <c r="F35" s="257" t="s">
        <v>463</v>
      </c>
    </row>
    <row r="36" spans="1:6" ht="15.75" customHeight="1" x14ac:dyDescent="0.2">
      <c r="A36" s="328" t="s">
        <v>464</v>
      </c>
      <c r="B36" s="320">
        <f>665917/1000</f>
        <v>665.91700000000003</v>
      </c>
      <c r="C36" s="320"/>
      <c r="D36" s="320">
        <v>0</v>
      </c>
      <c r="E36" s="90"/>
      <c r="F36" s="257" t="s">
        <v>465</v>
      </c>
    </row>
    <row r="37" spans="1:6" ht="15.75" customHeight="1" x14ac:dyDescent="0.2">
      <c r="A37" s="321" t="s">
        <v>466</v>
      </c>
      <c r="B37" s="322">
        <f>SUM(B35:B36)</f>
        <v>665.91700000000003</v>
      </c>
      <c r="C37" s="322">
        <f>SUM(C35:C36)</f>
        <v>0</v>
      </c>
      <c r="D37" s="323">
        <f>SUM(D35:D36)</f>
        <v>0</v>
      </c>
      <c r="E37" s="323">
        <f>SUM(E35:E36)</f>
        <v>0</v>
      </c>
      <c r="F37" s="302" t="s">
        <v>467</v>
      </c>
    </row>
    <row r="38" spans="1:6" ht="15.75" customHeight="1" x14ac:dyDescent="0.2">
      <c r="A38" s="328"/>
      <c r="B38" s="324"/>
      <c r="C38" s="324"/>
      <c r="D38" s="324"/>
      <c r="E38" s="324"/>
      <c r="F38" s="94"/>
    </row>
    <row r="39" spans="1:6" ht="25.5" x14ac:dyDescent="0.2">
      <c r="A39" s="321" t="s">
        <v>468</v>
      </c>
      <c r="B39" s="316" t="str">
        <f>B7</f>
        <v>Fagskolevirksomhet 31.12.2024</v>
      </c>
      <c r="C39" s="316" t="str">
        <f t="shared" ref="C39:E39" si="2">C7</f>
        <v>Annen virksomhet 31.12.2024</v>
      </c>
      <c r="D39" s="316" t="str">
        <f t="shared" si="2"/>
        <v>Fagskolevirksomhet 31.12.2023</v>
      </c>
      <c r="E39" s="316" t="str">
        <f t="shared" si="2"/>
        <v>Annen virksomhet 31.12.2023</v>
      </c>
      <c r="F39" s="318" t="s">
        <v>34</v>
      </c>
    </row>
    <row r="40" spans="1:6" ht="15.75" customHeight="1" x14ac:dyDescent="0.2">
      <c r="A40" s="328" t="s">
        <v>469</v>
      </c>
      <c r="B40" s="319"/>
      <c r="C40" s="319"/>
      <c r="D40" s="319"/>
      <c r="E40" s="90"/>
      <c r="F40" s="257" t="s">
        <v>470</v>
      </c>
    </row>
    <row r="41" spans="1:6" ht="15.75" customHeight="1" x14ac:dyDescent="0.2">
      <c r="A41" s="328" t="s">
        <v>471</v>
      </c>
      <c r="B41" s="320"/>
      <c r="C41" s="320"/>
      <c r="D41" s="320"/>
      <c r="E41" s="90"/>
      <c r="F41" s="257" t="s">
        <v>472</v>
      </c>
    </row>
    <row r="42" spans="1:6" ht="15.75" customHeight="1" x14ac:dyDescent="0.2">
      <c r="A42" s="321" t="s">
        <v>473</v>
      </c>
      <c r="B42" s="322">
        <f>SUM(B40:B41)</f>
        <v>0</v>
      </c>
      <c r="C42" s="322">
        <f>SUM(C40:C41)</f>
        <v>0</v>
      </c>
      <c r="D42" s="323">
        <f>SUM(D40:D41)</f>
        <v>0</v>
      </c>
      <c r="E42" s="323">
        <f>SUM(E40:E41)</f>
        <v>0</v>
      </c>
      <c r="F42" s="302" t="s">
        <v>474</v>
      </c>
    </row>
    <row r="43" spans="1:6" ht="15.75" customHeight="1" x14ac:dyDescent="0.2">
      <c r="A43" s="328"/>
      <c r="B43" s="324"/>
      <c r="C43" s="324"/>
      <c r="D43" s="324"/>
      <c r="E43" s="324"/>
      <c r="F43" s="94"/>
    </row>
    <row r="44" spans="1:6" ht="25.5" x14ac:dyDescent="0.2">
      <c r="A44" s="321" t="s">
        <v>475</v>
      </c>
      <c r="B44" s="316" t="str">
        <f>B7</f>
        <v>Fagskolevirksomhet 31.12.2024</v>
      </c>
      <c r="C44" s="316" t="str">
        <f t="shared" ref="C44:E44" si="3">C7</f>
        <v>Annen virksomhet 31.12.2024</v>
      </c>
      <c r="D44" s="316" t="str">
        <f t="shared" si="3"/>
        <v>Fagskolevirksomhet 31.12.2023</v>
      </c>
      <c r="E44" s="316" t="str">
        <f t="shared" si="3"/>
        <v>Annen virksomhet 31.12.2023</v>
      </c>
      <c r="F44" s="318" t="s">
        <v>34</v>
      </c>
    </row>
    <row r="45" spans="1:6" ht="15.75" customHeight="1" x14ac:dyDescent="0.2">
      <c r="A45" s="328" t="s">
        <v>476</v>
      </c>
      <c r="B45" s="319"/>
      <c r="C45" s="319"/>
      <c r="D45" s="319"/>
      <c r="E45" s="90"/>
      <c r="F45" s="257" t="s">
        <v>477</v>
      </c>
    </row>
    <row r="46" spans="1:6" ht="15.75" customHeight="1" x14ac:dyDescent="0.2">
      <c r="A46" s="328" t="s">
        <v>478</v>
      </c>
      <c r="B46" s="320">
        <f>2338026/1000</f>
        <v>2338.0259999999998</v>
      </c>
      <c r="C46" s="320"/>
      <c r="D46" s="320">
        <v>2040</v>
      </c>
      <c r="E46" s="90"/>
      <c r="F46" s="257" t="s">
        <v>479</v>
      </c>
    </row>
    <row r="47" spans="1:6" ht="15.75" customHeight="1" x14ac:dyDescent="0.2">
      <c r="A47" s="321" t="s">
        <v>480</v>
      </c>
      <c r="B47" s="322">
        <f>SUM(B45:B46)</f>
        <v>2338.0259999999998</v>
      </c>
      <c r="C47" s="322">
        <f>SUM(C45:C46)</f>
        <v>0</v>
      </c>
      <c r="D47" s="323">
        <f>SUM(D45:D46)</f>
        <v>2040</v>
      </c>
      <c r="E47" s="323">
        <f>SUM(E45:E46)</f>
        <v>0</v>
      </c>
      <c r="F47" s="302" t="s">
        <v>481</v>
      </c>
    </row>
    <row r="48" spans="1:6" ht="15.75" customHeight="1" x14ac:dyDescent="0.2">
      <c r="A48" s="329"/>
      <c r="B48" s="330"/>
      <c r="C48" s="330"/>
      <c r="D48" s="330"/>
      <c r="E48" s="330"/>
      <c r="F48" s="94"/>
    </row>
    <row r="49" spans="1:7" ht="25.5" x14ac:dyDescent="0.2">
      <c r="A49" s="321" t="s">
        <v>482</v>
      </c>
      <c r="B49" s="316" t="str">
        <f>B7</f>
        <v>Fagskolevirksomhet 31.12.2024</v>
      </c>
      <c r="C49" s="316" t="str">
        <f t="shared" ref="C49:E49" si="4">C7</f>
        <v>Annen virksomhet 31.12.2024</v>
      </c>
      <c r="D49" s="316" t="str">
        <f t="shared" si="4"/>
        <v>Fagskolevirksomhet 31.12.2023</v>
      </c>
      <c r="E49" s="316" t="str">
        <f t="shared" si="4"/>
        <v>Annen virksomhet 31.12.2023</v>
      </c>
      <c r="F49" s="318" t="s">
        <v>34</v>
      </c>
    </row>
    <row r="50" spans="1:7" ht="15.75" customHeight="1" x14ac:dyDescent="0.2">
      <c r="A50" s="328" t="s">
        <v>483</v>
      </c>
      <c r="B50" s="319"/>
      <c r="C50" s="319"/>
      <c r="D50" s="319"/>
      <c r="E50" s="90"/>
      <c r="F50" s="257" t="s">
        <v>484</v>
      </c>
    </row>
    <row r="51" spans="1:7" ht="15.75" customHeight="1" x14ac:dyDescent="0.2">
      <c r="A51" s="328" t="s">
        <v>485</v>
      </c>
      <c r="B51" s="320"/>
      <c r="C51" s="320"/>
      <c r="D51" s="320"/>
      <c r="E51" s="90"/>
      <c r="F51" s="257" t="s">
        <v>486</v>
      </c>
    </row>
    <row r="52" spans="1:7" ht="15.75" customHeight="1" x14ac:dyDescent="0.2">
      <c r="A52" s="321" t="s">
        <v>487</v>
      </c>
      <c r="B52" s="322">
        <f>SUM(B50:B51)</f>
        <v>0</v>
      </c>
      <c r="C52" s="322">
        <f>SUM(C50:C51)</f>
        <v>0</v>
      </c>
      <c r="D52" s="323">
        <f>SUM(D50:D51)</f>
        <v>0</v>
      </c>
      <c r="E52" s="323">
        <f>SUM(E50:E51)</f>
        <v>0</v>
      </c>
      <c r="F52" s="302" t="s">
        <v>488</v>
      </c>
      <c r="G52" s="331"/>
    </row>
    <row r="53" spans="1:7" ht="15.75" customHeight="1" x14ac:dyDescent="0.2">
      <c r="A53" s="332"/>
      <c r="B53" s="333"/>
      <c r="C53" s="333"/>
      <c r="D53" s="324"/>
      <c r="E53" s="324"/>
      <c r="F53" s="94"/>
      <c r="G53" s="331"/>
    </row>
    <row r="54" spans="1:7" ht="15.75" customHeight="1" x14ac:dyDescent="0.2">
      <c r="A54" s="478" t="s">
        <v>454</v>
      </c>
      <c r="B54" s="478"/>
      <c r="C54" s="478"/>
      <c r="D54" s="478"/>
      <c r="E54" s="478"/>
      <c r="F54" s="478"/>
      <c r="G54" s="331"/>
    </row>
    <row r="55" spans="1:7" ht="15.75" customHeight="1" x14ac:dyDescent="0.2">
      <c r="A55" s="321" t="s">
        <v>489</v>
      </c>
      <c r="B55" s="479" t="s">
        <v>490</v>
      </c>
      <c r="C55" s="480"/>
      <c r="D55" s="326" t="str">
        <f>"Beløp "&amp;TEXT('Balanse - eiendeler'!C5,"DD.MM.ÅÅÅÅ")</f>
        <v>Beløp 31.12.2024</v>
      </c>
      <c r="E55" s="326" t="str">
        <f>"Beløp "&amp;TEXT('Balanse - eiendeler'!D5,"DD.MM.ÅÅÅÅ")</f>
        <v>Beløp 31.12.2023</v>
      </c>
      <c r="F55" s="318" t="s">
        <v>34</v>
      </c>
      <c r="G55" s="331"/>
    </row>
    <row r="56" spans="1:7" ht="15.75" customHeight="1" x14ac:dyDescent="0.2">
      <c r="A56" s="273" t="s">
        <v>651</v>
      </c>
      <c r="B56" s="482" t="s">
        <v>662</v>
      </c>
      <c r="C56" s="483"/>
      <c r="D56" s="319">
        <f>B36</f>
        <v>665.91700000000003</v>
      </c>
      <c r="E56" s="90">
        <f>D36</f>
        <v>0</v>
      </c>
      <c r="F56" s="300" t="s">
        <v>491</v>
      </c>
      <c r="G56" s="331"/>
    </row>
    <row r="57" spans="1:7" ht="18.600000000000001" customHeight="1" x14ac:dyDescent="0.2">
      <c r="A57" s="273" t="s">
        <v>651</v>
      </c>
      <c r="B57" s="475" t="s">
        <v>667</v>
      </c>
      <c r="C57" s="476"/>
      <c r="D57" s="90">
        <f>B46</f>
        <v>2338.0259999999998</v>
      </c>
      <c r="E57" s="90">
        <f>D46</f>
        <v>2040</v>
      </c>
      <c r="F57" s="300" t="s">
        <v>491</v>
      </c>
      <c r="G57" s="331"/>
    </row>
    <row r="58" spans="1:7" ht="25.5" x14ac:dyDescent="0.2">
      <c r="A58" s="334" t="s">
        <v>492</v>
      </c>
      <c r="B58" s="475"/>
      <c r="C58" s="476"/>
      <c r="D58" s="322">
        <f>SUM(D56:D57)</f>
        <v>3003.9429999999998</v>
      </c>
      <c r="E58" s="323">
        <f>SUM(E56:E57)</f>
        <v>2040</v>
      </c>
      <c r="F58" s="299" t="s">
        <v>493</v>
      </c>
    </row>
    <row r="59" spans="1:7" ht="15.75" customHeight="1" x14ac:dyDescent="0.2">
      <c r="A59" s="94"/>
      <c r="B59" s="94"/>
      <c r="C59" s="94"/>
      <c r="D59" s="94"/>
      <c r="E59" s="94"/>
      <c r="F59" s="94"/>
    </row>
    <row r="60" spans="1:7" ht="142.15" customHeight="1" x14ac:dyDescent="0.2">
      <c r="A60" s="481" t="s">
        <v>494</v>
      </c>
      <c r="B60" s="481"/>
      <c r="C60" s="481"/>
      <c r="D60" s="481"/>
      <c r="E60" s="481"/>
      <c r="F60" s="481"/>
    </row>
    <row r="61" spans="1:7" ht="15.75" customHeight="1" x14ac:dyDescent="0.2">
      <c r="A61" s="477" t="s">
        <v>495</v>
      </c>
      <c r="B61" s="477"/>
      <c r="C61" s="477"/>
      <c r="D61" s="477"/>
      <c r="E61" s="477"/>
      <c r="F61" s="477"/>
    </row>
    <row r="62" spans="1:7" ht="15.75" customHeight="1" x14ac:dyDescent="0.2">
      <c r="A62" s="477" t="s">
        <v>496</v>
      </c>
      <c r="B62" s="477"/>
      <c r="C62" s="477"/>
      <c r="D62" s="477"/>
      <c r="E62" s="477"/>
      <c r="F62" s="477"/>
    </row>
    <row r="64" spans="1:7" ht="15" customHeight="1" x14ac:dyDescent="0.2"/>
    <row r="65" ht="15.75" hidden="1" customHeight="1" x14ac:dyDescent="0.2"/>
  </sheetData>
  <sheetProtection formatCells="0" formatColumns="0" formatRows="0" insertColumns="0" insertRows="0"/>
  <mergeCells count="11">
    <mergeCell ref="B57:C57"/>
    <mergeCell ref="A62:F62"/>
    <mergeCell ref="A20:F20"/>
    <mergeCell ref="B21:C21"/>
    <mergeCell ref="A60:F60"/>
    <mergeCell ref="A61:F61"/>
    <mergeCell ref="A54:F54"/>
    <mergeCell ref="B55:C55"/>
    <mergeCell ref="B56:C56"/>
    <mergeCell ref="B58:C58"/>
    <mergeCell ref="B29:C29"/>
  </mergeCells>
  <phoneticPr fontId="81" type="noConversion"/>
  <dataValidations count="3">
    <dataValidation allowBlank="1" showInputMessage="1" showErrorMessage="1" sqref="B56:D56" xr:uid="{2C369E24-893A-446F-A0D5-1BEFDB6D8A56}"/>
    <dataValidation allowBlank="1" showInputMessage="1" showErrorMessage="1" promptTitle="OBS!" prompt="Husk å spesifisere type vare eller tjeneste i neste celle." sqref="A22:A28" xr:uid="{5C74DD20-CBBD-47F0-92BC-D8C510C753E4}"/>
    <dataValidation allowBlank="1" showInputMessage="1" showErrorMessage="1" promptTitle="OBS!" prompt="Husk å spesifisere type fordring eller gjeld i neste celle" sqref="A56:A57" xr:uid="{6F2C2D20-F271-456F-8848-961020CA5779}"/>
  </dataValidations>
  <pageMargins left="0.7" right="0.7" top="0.75" bottom="0.75" header="0.3" footer="0.3"/>
  <pageSetup paperSize="9" scale="57" fitToHeight="0" orientation="portrait" r:id="rId1"/>
  <headerFooter>
    <oddFooter>&amp;C&amp;"Calibri"&amp;11&amp;K000000_x000D_&amp;1#&amp;"Calibri"&amp;10&amp;KFFFF00HK-dir Intern</oddFooter>
  </headerFooter>
  <customProperties>
    <customPr name="OrphanNamesChecke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F18"/>
  <sheetViews>
    <sheetView zoomScaleNormal="100" workbookViewId="0">
      <selection activeCell="B1" sqref="B1"/>
    </sheetView>
  </sheetViews>
  <sheetFormatPr baseColWidth="10" defaultColWidth="9.140625" defaultRowHeight="15" x14ac:dyDescent="0.25"/>
  <cols>
    <col min="1" max="1" width="45" customWidth="1"/>
    <col min="2" max="6" width="11.42578125" customWidth="1"/>
  </cols>
  <sheetData>
    <row r="1" spans="1:6" x14ac:dyDescent="0.25">
      <c r="A1" s="307" t="str">
        <f>Resultatregnskap!A1</f>
        <v>Fagskolens navn: Frelsesarmeens Offisersskole AS</v>
      </c>
      <c r="B1" s="453" t="s">
        <v>665</v>
      </c>
      <c r="C1" s="336"/>
      <c r="D1" s="10"/>
      <c r="E1" s="10"/>
      <c r="F1" s="10"/>
    </row>
    <row r="2" spans="1:6" x14ac:dyDescent="0.25">
      <c r="A2" s="10"/>
      <c r="B2" s="337"/>
      <c r="C2" s="338"/>
      <c r="D2" s="10"/>
      <c r="E2" s="10"/>
      <c r="F2" s="10"/>
    </row>
    <row r="3" spans="1:6" x14ac:dyDescent="0.25">
      <c r="A3" s="64" t="s">
        <v>497</v>
      </c>
      <c r="B3" s="339"/>
      <c r="C3" s="339"/>
      <c r="D3" s="339"/>
      <c r="E3" s="10"/>
      <c r="F3" s="10"/>
    </row>
    <row r="4" spans="1:6" x14ac:dyDescent="0.25">
      <c r="A4" s="340" t="s">
        <v>32</v>
      </c>
      <c r="B4" s="337"/>
      <c r="C4" s="337"/>
      <c r="D4" s="32"/>
      <c r="E4" s="10"/>
      <c r="F4" s="341"/>
    </row>
    <row r="5" spans="1:6" ht="38.25" x14ac:dyDescent="0.25">
      <c r="A5" s="342"/>
      <c r="B5" s="80" t="s">
        <v>498</v>
      </c>
      <c r="C5" s="80" t="s">
        <v>499</v>
      </c>
      <c r="D5" s="343" t="s">
        <v>500</v>
      </c>
      <c r="E5" s="343" t="s">
        <v>501</v>
      </c>
      <c r="F5" s="344" t="s">
        <v>502</v>
      </c>
    </row>
    <row r="6" spans="1:6" x14ac:dyDescent="0.25">
      <c r="A6" s="342" t="s">
        <v>503</v>
      </c>
      <c r="B6" s="345"/>
      <c r="C6" s="345"/>
      <c r="D6" s="345"/>
      <c r="E6" s="345">
        <f>SUM(B6:D6)</f>
        <v>0</v>
      </c>
      <c r="F6" s="341" t="s">
        <v>504</v>
      </c>
    </row>
    <row r="7" spans="1:6" x14ac:dyDescent="0.25">
      <c r="A7" s="346" t="s">
        <v>505</v>
      </c>
      <c r="B7" s="345"/>
      <c r="C7" s="345"/>
      <c r="D7" s="345"/>
      <c r="E7" s="345">
        <f>SUM(B7:D7)</f>
        <v>0</v>
      </c>
      <c r="F7" s="341" t="s">
        <v>506</v>
      </c>
    </row>
    <row r="8" spans="1:6" x14ac:dyDescent="0.25">
      <c r="A8" s="346" t="s">
        <v>507</v>
      </c>
      <c r="B8" s="347"/>
      <c r="C8" s="347"/>
      <c r="D8" s="347"/>
      <c r="E8" s="345">
        <f>SUM(B8:D8)</f>
        <v>0</v>
      </c>
      <c r="F8" s="341" t="s">
        <v>508</v>
      </c>
    </row>
    <row r="9" spans="1:6" x14ac:dyDescent="0.25">
      <c r="A9" s="348" t="s">
        <v>509</v>
      </c>
      <c r="B9" s="349"/>
      <c r="C9" s="349"/>
      <c r="D9" s="349"/>
      <c r="E9" s="345">
        <f>SUM(B9:D9)</f>
        <v>0</v>
      </c>
      <c r="F9" s="341" t="s">
        <v>510</v>
      </c>
    </row>
    <row r="10" spans="1:6" x14ac:dyDescent="0.25">
      <c r="A10" s="350" t="s">
        <v>511</v>
      </c>
      <c r="B10" s="351">
        <f>SUBTOTAL(9,B6:B9)</f>
        <v>0</v>
      </c>
      <c r="C10" s="351">
        <f>SUBTOTAL(9,C6:C9)</f>
        <v>0</v>
      </c>
      <c r="D10" s="351">
        <f>SUBTOTAL(9,D6:D9)</f>
        <v>0</v>
      </c>
      <c r="E10" s="351">
        <f>SUBTOTAL(9,E6:E9)</f>
        <v>0</v>
      </c>
      <c r="F10" s="352" t="s">
        <v>512</v>
      </c>
    </row>
    <row r="11" spans="1:6" x14ac:dyDescent="0.25">
      <c r="A11" s="346" t="s">
        <v>513</v>
      </c>
      <c r="B11" s="347"/>
      <c r="C11" s="347"/>
      <c r="D11" s="347"/>
      <c r="E11" s="345">
        <f>SUM(B11:D11)</f>
        <v>0</v>
      </c>
      <c r="F11" s="341" t="s">
        <v>514</v>
      </c>
    </row>
    <row r="12" spans="1:6" x14ac:dyDescent="0.25">
      <c r="A12" s="346" t="s">
        <v>515</v>
      </c>
      <c r="B12" s="347"/>
      <c r="C12" s="347"/>
      <c r="D12" s="347"/>
      <c r="E12" s="345">
        <f>SUM(B12:D12)</f>
        <v>0</v>
      </c>
      <c r="F12" s="341" t="s">
        <v>516</v>
      </c>
    </row>
    <row r="13" spans="1:6" x14ac:dyDescent="0.25">
      <c r="A13" s="346" t="s">
        <v>517</v>
      </c>
      <c r="B13" s="347"/>
      <c r="C13" s="347"/>
      <c r="D13" s="347"/>
      <c r="E13" s="345">
        <f>SUM(B13:D13)</f>
        <v>0</v>
      </c>
      <c r="F13" s="341" t="s">
        <v>518</v>
      </c>
    </row>
    <row r="14" spans="1:6" x14ac:dyDescent="0.25">
      <c r="A14" s="346" t="s">
        <v>519</v>
      </c>
      <c r="B14" s="347"/>
      <c r="C14" s="347"/>
      <c r="D14" s="347"/>
      <c r="E14" s="345">
        <f>SUM(B14:D14)</f>
        <v>0</v>
      </c>
      <c r="F14" s="341" t="s">
        <v>520</v>
      </c>
    </row>
    <row r="15" spans="1:6" x14ac:dyDescent="0.25">
      <c r="A15" s="346" t="s">
        <v>521</v>
      </c>
      <c r="B15" s="347"/>
      <c r="C15" s="347"/>
      <c r="D15" s="347"/>
      <c r="E15" s="345">
        <f>SUM(B15:D15)</f>
        <v>0</v>
      </c>
      <c r="F15" s="341" t="s">
        <v>522</v>
      </c>
    </row>
    <row r="16" spans="1:6" x14ac:dyDescent="0.25">
      <c r="A16" s="350" t="s">
        <v>523</v>
      </c>
      <c r="B16" s="351">
        <f>SUBTOTAL(9,B6:B15)</f>
        <v>0</v>
      </c>
      <c r="C16" s="353">
        <f>SUBTOTAL(9,C6:C15)</f>
        <v>0</v>
      </c>
      <c r="D16" s="353">
        <f>SUBTOTAL(9,D6:D15)</f>
        <v>0</v>
      </c>
      <c r="E16" s="353">
        <f>SUBTOTAL(9,E6:E15)</f>
        <v>0</v>
      </c>
      <c r="F16" s="352" t="s">
        <v>524</v>
      </c>
    </row>
    <row r="17" spans="1:6" x14ac:dyDescent="0.25">
      <c r="A17" s="342"/>
      <c r="B17" s="32"/>
      <c r="C17" s="32"/>
      <c r="D17" s="32"/>
      <c r="E17" s="129"/>
      <c r="F17" s="341"/>
    </row>
    <row r="18" spans="1:6" x14ac:dyDescent="0.25">
      <c r="A18" s="484" t="s">
        <v>525</v>
      </c>
      <c r="B18" s="484"/>
      <c r="C18" s="484"/>
      <c r="D18" s="484"/>
      <c r="E18" s="484"/>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DAEMSEngagementItemInfo xmlns="http://schemas.microsoft.com/DAEMSEngagementItemInfoXML">
  <EngagementID>5000990167</EngagementID>
  <LogicalEMSServerID>-8268436468947238730</LogicalEMSServerID>
  <WorkingPaperID>4776423531300001867</WorkingPaperID>
</DAEMSEngagementItemInfo>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20274F-2E48-4A64-9980-4C7473804F4E}">
  <ds:schemaRefs>
    <ds:schemaRef ds:uri="http://schemas.microsoft.com/DAEMSEngagementItemInfoXML"/>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4.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Ragna Marie Waagø</cp:lastModifiedBy>
  <cp:revision/>
  <cp:lastPrinted>2025-06-17T19:19:14Z</cp:lastPrinted>
  <dcterms:created xsi:type="dcterms:W3CDTF">2010-03-24T14:06:30Z</dcterms:created>
  <dcterms:modified xsi:type="dcterms:W3CDTF">2025-08-04T19:16:20Z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